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comments29.xml" ContentType="application/vnd.openxmlformats-officedocument.spreadsheetml.comments+xml"/>
  <Override PartName="/xl/workbook.xml" ContentType="application/vnd.openxmlformats-officedocument.spreadsheetml.sheet.main+xml"/>
  <Override PartName="/xl/theme/theme1.xml" ContentType="application/vnd.openxmlformats-officedocument.theme+xml"/>
  <Override PartName="/xl/_rels/workbook.xml.rels" ContentType="application/vnd.openxmlformats-package.relationships+xml"/>
  <Override PartName="/xl/comments27.xml" ContentType="application/vnd.openxmlformats-officedocument.spreadsheetml.comments+xml"/>
  <Override PartName="/xl/comments19.xml" ContentType="application/vnd.openxmlformats-officedocument.spreadsheetml.comments+xml"/>
  <Override PartName="/xl/worksheets/_rels/sheet29.xml.rels" ContentType="application/vnd.openxmlformats-package.relationships+xml"/>
  <Override PartName="/xl/worksheets/_rels/sheet27.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9.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17.xml" ContentType="application/vnd.openxmlformats-officedocument.spreadsheetml.worksheet+xml"/>
  <Override PartName="/xl/worksheets/sheet29.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comments2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comments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Uplifters" sheetId="15" state="visible" r:id="rId17"/>
    <sheet name="Appendix" sheetId="16" state="hidden" r:id="rId18"/>
    <sheet name="Sensitivity" sheetId="17" state="hidden" r:id="rId19"/>
    <sheet name="Curves" sheetId="18" state="hidden" r:id="rId20"/>
    <sheet name="Assumptions" sheetId="19" state="visible" r:id="rId21"/>
    <sheet name="Escalation" sheetId="20" state="hidden" r:id="rId22"/>
    <sheet name="Helpers" sheetId="21" state="hidden" r:id="rId23"/>
    <sheet name="LIHTC Project P&amp;L" sheetId="22" state="hidden" r:id="rId24"/>
    <sheet name="BD Commission Detail" sheetId="23" state="visible" r:id="rId25"/>
    <sheet name="Retention" sheetId="24" state="visible" r:id="rId26"/>
    <sheet name="APA Assumptions" sheetId="25" state="visible" r:id="rId27"/>
    <sheet name="APA Projection" sheetId="26" state="visible" r:id="rId28"/>
    <sheet name="Deal Terms" sheetId="27" state="visible" r:id="rId29"/>
    <sheet name="Staffing" sheetId="28" state="visible" r:id="rId30"/>
    <sheet name="Bonding Program" sheetId="29" state="visible" r:id="rId31"/>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58" authorId="0">
      <text>
        <r>
          <rPr>
            <sz val="10"/>
            <rFont val="Arial"/>
            <family val="2"/>
          </rPr>
          <t xml:space="preserve">8/31 B/S payables (8,606,048) less any Krueger bonding fee accrued in them (Bonding Program!H8), which is held to the payout month. When the cash build rolls: = -(B/S payables) + 'Bonding Program'!$H$8.</t>
        </r>
      </text>
    </comment>
    <comment ref="J359"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8" authorId="0">
      <text>
        <r>
          <rPr>
            <sz val="10"/>
            <rFont val="Arial"/>
            <family val="2"/>
          </rPr>
          <t xml:space="preserve">Restored 27-Sep-26 to the HVN Round 2 ROM ($11,317,385). The 26-Sep rename had copied the in-construction Riverton contract ($14,337,010.80) onto this row.</t>
        </r>
      </text>
    </comment>
    <comment ref="D9" authorId="0">
      <text>
        <r>
          <rPr>
            <sz val="10"/>
            <rFont val="Arial"/>
            <family val="2"/>
          </rPr>
          <t xml:space="preserve">26-Sep-26 (Chris): Riverton completion Feb-2028 (month 23) = start 5 + 19 months - 1. Curve 3 (19-month).</t>
        </r>
      </text>
    </comment>
    <comment ref="J11" authorId="0">
      <text>
        <r>
          <rPr>
            <sz val="10"/>
            <rFont val="Arial"/>
            <family val="2"/>
          </rPr>
          <t xml:space="preserve">Was Yes. Steyn no longer guarantees Klump &amp; Scott (Chris 3 Oct 2026).</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B51" authorId="0">
      <text>
        <r>
          <rPr>
            <sz val="10"/>
            <rFont val="Arial"/>
            <family val="2"/>
          </rPr>
          <t xml:space="preserve">Was 2,000,000. Steyn no longer guarantees Klump &amp; Scott (Chris 3 Oct 2026).</t>
        </r>
      </text>
    </comment>
    <comment ref="B65" authorId="0">
      <text>
        <r>
          <rPr>
            <sz val="10"/>
            <rFont val="Arial"/>
            <family val="2"/>
          </rPr>
          <t xml:space="preserve">Chris 3 Oct 2026: $60,000 per project, straight line over the build (Projects col D). Accounting and guarantee fees no longer exist.</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comment>
  </commentList>
</comments>
</file>

<file path=xl/sharedStrings.xml><?xml version="1.0" encoding="utf-8"?>
<sst xmlns="http://schemas.openxmlformats.org/spreadsheetml/2006/main" count="3717" uniqueCount="1492">
  <si>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</si>
  <si>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</si>
  <si>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</si>
  <si>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</si>
  <si>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</si>
  <si>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</si>
  <si>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</si>
  <si>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</si>
  <si>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</si>
  <si>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</si>
  <si>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</si>
  <si>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</si>
  <si>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</si>
  <si>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</si>
  <si>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</si>
  <si>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</si>
  <si>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</si>
  <si>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</si>
  <si>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</si>
  <si>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</si>
  <si>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Dickens</t>
  </si>
  <si>
    <t xml:space="preserve">Riverton 75</t>
  </si>
  <si>
    <t xml:space="preserve">Moorpark</t>
  </si>
  <si>
    <t xml:space="preserve">Beverly (BD-04)</t>
  </si>
  <si>
    <t xml:space="preserve">Troost</t>
  </si>
  <si>
    <t xml:space="preserve">BD-06</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</si>
  <si>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</si>
  <si>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</si>
  <si>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</si>
  <si>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</si>
  <si>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</si>
  <si>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</si>
  <si>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</si>
  <si>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</si>
  <si>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</si>
  <si>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</si>
  <si>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</si>
  <si>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</si>
  <si>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</si>
  <si>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</si>
  <si>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</si>
  <si>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</si>
  <si>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</si>
  <si>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</si>
  <si>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</si>
  <si>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</si>
  <si>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</si>
  <si>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</si>
  <si>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</si>
  <si>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</si>
  <si>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</si>
  <si>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</si>
  <si>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</si>
  <si>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</si>
  <si>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</si>
  <si>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</si>
  <si>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</si>
  <si>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</si>
  <si>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</si>
  <si>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</si>
  <si>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</si>
  <si>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</si>
  <si>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</si>
  <si>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</si>
  <si>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</si>
  <si>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</si>
  <si>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</si>
  <si>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</si>
  <si>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</si>
  <si>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</si>
  <si>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</si>
  <si>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</si>
  <si>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</si>
  <si>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</si>
  <si>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</si>
  <si>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</si>
  <si>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</si>
  <si>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</si>
  <si>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</si>
  <si>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</si>
  <si>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</si>
  <si>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</si>
  <si>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</si>
  <si>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</si>
  <si>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</si>
  <si>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</si>
  <si>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</si>
  <si>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</si>
  <si>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</si>
  <si>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</si>
  <si>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</si>
  <si>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</si>
  <si>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</si>
  <si>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</si>
  <si>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</si>
  <si>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</si>
  <si>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</si>
  <si>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</si>
  <si>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</si>
  <si>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</si>
  <si>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</si>
  <si>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</si>
  <si>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</si>
  <si>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</si>
  <si>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</si>
  <si>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</si>
  <si>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</si>
  <si>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</si>
  <si>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</si>
  <si>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</si>
  <si>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</si>
  <si>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</si>
  <si>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</si>
  <si>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</si>
  <si>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</si>
  <si>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</si>
  <si>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</si>
  <si>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Total to SP</t>
  </si>
  <si>
    <t xml:space="preserve">Non-Cash Revenue Items</t>
  </si>
  <si>
    <t xml:space="preserve">Less: Non-Cash Revenue Items (not assumed)</t>
  </si>
  <si>
    <t xml:space="preserve">APA LLP Net Income (Six Peak 50% share)</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</si>
  <si>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</si>
  <si>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</si>
  <si>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</si>
  <si>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</si>
  <si>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</si>
  <si>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</si>
  <si>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</si>
  <si>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</si>
  <si>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</si>
  <si>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</si>
  <si>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</si>
  <si>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</si>
  <si>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</si>
  <si>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</si>
  <si>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</si>
  <si>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</si>
  <si>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</si>
  <si>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</si>
  <si>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CONSOLIDATED P&amp;L</t>
  </si>
  <si>
    <t xml:space="preserve">GC Gross Profit</t>
  </si>
  <si>
    <t xml:space="preserve">Total Income (GC gross profit + SP revenue)</t>
  </si>
  <si>
    <t xml:space="preserve">GC Costs (net of trade COGS)</t>
  </si>
  <si>
    <t xml:space="preserve">Total Costs</t>
  </si>
  <si>
    <t xml:space="preserve">Consolidated Net Income</t>
  </si>
  <si>
    <t xml:space="preserve">Consolidated Margin %</t>
  </si>
  <si>
    <t xml:space="preserve">Consolidated NI —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</si>
  <si>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</si>
  <si>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</si>
  <si>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</si>
  <si>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</si>
  <si>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</si>
  <si>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</si>
  <si>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</si>
  <si>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</si>
  <si>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</si>
  <si>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</si>
  <si>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</si>
  <si>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</si>
  <si>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</si>
  <si>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</si>
  <si>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</si>
  <si>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</si>
  <si>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</si>
  <si>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</si>
  <si>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</si>
  <si>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</si>
  <si>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</si>
  <si>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</si>
  <si>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</si>
  <si>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</si>
  <si>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</si>
  <si>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</si>
  <si>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</si>
  <si>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</si>
  <si>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</si>
  <si>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</si>
  <si>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</si>
  <si>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</si>
  <si>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</si>
  <si>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</si>
  <si>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</si>
  <si>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</si>
  <si>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</si>
  <si>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</si>
  <si>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</si>
  <si>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</si>
  <si>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</si>
  <si>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</si>
  <si>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</si>
  <si>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</si>
  <si>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</si>
  <si>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</si>
  <si>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</si>
  <si>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</si>
  <si>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</si>
  <si>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</si>
  <si>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</si>
  <si>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</si>
  <si>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</si>
  <si>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</si>
  <si>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</si>
  <si>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</si>
  <si>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</si>
  <si>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</si>
  <si>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</si>
  <si>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</si>
  <si>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</si>
  <si>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</si>
  <si>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</si>
  <si>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</si>
  <si>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</si>
  <si>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</si>
  <si>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</si>
  <si>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</si>
  <si>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</si>
  <si>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</si>
  <si>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</si>
  <si>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</si>
  <si>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</si>
  <si>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</si>
  <si>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 MODEL vs ACTUAL</t>
  </si>
  <si>
    <t xml:space="preserve">Actual per B/S</t>
  </si>
  <si>
    <t xml:space="preserve">Model (live): projected ending cash; in the last closed month, the next month's opening balance</t>
  </si>
  <si>
    <t xml:space="preserve">Variance — model less actual (must be 0 on the opening balance)</t>
  </si>
  <si>
    <t xml:space="preserve">Tie check</t>
  </si>
  <si>
    <t xml:space="preserve">Prior pack: model ending cash projected for this month-end (hardcode at each close)</t>
  </si>
  <si>
    <t xml:space="preserve">Forecast variance — prior pack less actual</t>
  </si>
  <si>
    <t xml:space="preserve">C. SIX PEAK CASH — MODEL vs ACTUAL</t>
  </si>
  <si>
    <t xml:space="preserve">D. CONSOLIDATED CASH — MODEL vs ACTUAL</t>
  </si>
  <si>
    <t xml:space="preserve">E. ACTUAL CASH ROLL-FORWARD — model-basis net income to B/S cash (why cash moved)</t>
  </si>
  <si>
    <t xml:space="preserve">Opening balances at 31-Dec-25 (packs' balance-forward columns) —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</si>
  <si>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</si>
  <si>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</si>
  <si>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</si>
  <si>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</si>
  <si>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</si>
  <si>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</si>
  <si>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</si>
  <si>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</si>
  <si>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</si>
  <si>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</si>
  <si>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</si>
  <si>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</si>
  <si>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</si>
  <si>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</si>
  <si>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</si>
  <si>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</si>
  <si>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</si>
  <si>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</si>
  <si>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</si>
  <si>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</si>
  <si>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</si>
  <si>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</si>
  <si>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</si>
  <si>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</si>
  <si>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</si>
  <si>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</si>
  <si>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</si>
  <si>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</si>
  <si>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</si>
  <si>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</si>
  <si>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</si>
  <si>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</si>
  <si>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</si>
  <si>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</si>
  <si>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</si>
  <si>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</si>
  <si>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</si>
  <si>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</si>
  <si>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</si>
  <si>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</si>
  <si>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</si>
  <si>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</si>
  <si>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</si>
  <si>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</si>
  <si>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</si>
  <si>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</si>
  <si>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</si>
  <si>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</si>
  <si>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</si>
  <si>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</si>
  <si>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</si>
  <si>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</si>
  <si>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</si>
  <si>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</si>
  <si>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</si>
  <si>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</si>
  <si>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</si>
  <si>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</si>
  <si>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</si>
  <si>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</si>
  <si>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</si>
  <si>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</si>
  <si>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</si>
  <si>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</si>
  <si>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</si>
  <si>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</si>
  <si>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</si>
  <si>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</si>
  <si>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</si>
  <si>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</si>
  <si>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</si>
  <si>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</si>
  <si>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</si>
  <si>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</si>
  <si>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</si>
  <si>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</si>
  <si>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</si>
  <si>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</si>
  <si>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</si>
  <si>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</si>
  <si>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</si>
  <si>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</si>
  <si>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</si>
  <si>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</si>
  <si>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</si>
  <si>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</si>
  <si>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</si>
  <si>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</si>
  <si>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</si>
  <si>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</si>
  <si>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</si>
  <si>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</si>
  <si>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</si>
  <si>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</si>
  <si>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</si>
  <si>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</si>
  <si>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</si>
  <si>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</si>
  <si>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</si>
  <si>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</si>
  <si>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</si>
  <si>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</si>
  <si>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</si>
  <si>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</si>
  <si>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</si>
  <si>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</si>
  <si>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</si>
  <si>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</si>
  <si>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</si>
  <si>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 monthly input area</t>
  </si>
  <si>
    <t xml:space="preserve">Enter close numbers from Yardi here. Blank = no actual yet (Model uses forecast).</t>
  </si>
  <si>
    <t xml:space="preserve">Project Supervision Revenue</t>
  </si>
  <si>
    <t xml:space="preserve">Project Administration Revenue</t>
  </si>
  <si>
    <t xml:space="preserve">COGS —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</si>
  <si>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</si>
  <si>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</si>
  <si>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</si>
  <si>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</si>
  <si>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</si>
  <si>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</si>
  <si>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</si>
  <si>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</si>
  <si>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</si>
  <si>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</si>
  <si>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</si>
  <si>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 ACTUAL + PROJECTION vs BUDGET</t>
  </si>
  <si>
    <t xml:space="preserve">The Nov-2025 budget's Yearly Summary lines. The budget carries LV at fee income only —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</si>
  <si>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</si>
  <si>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</si>
  <si>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</si>
  <si>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</si>
  <si>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</si>
  <si>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</si>
  <si>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</si>
  <si>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</si>
  <si>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</si>
  <si>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</si>
  <si>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</si>
  <si>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</si>
  <si>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</si>
  <si>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</si>
  <si>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</si>
  <si>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</si>
  <si>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</si>
  <si>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</si>
  <si>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</si>
  <si>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</si>
  <si>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</si>
  <si>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</si>
  <si>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</si>
  <si>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</si>
  <si>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</si>
  <si>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</si>
  <si>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</si>
  <si>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</si>
  <si>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</si>
  <si>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</si>
  <si>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</si>
  <si>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</si>
  <si>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</si>
  <si>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</si>
  <si>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</si>
  <si>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</si>
  <si>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</si>
  <si>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</si>
  <si>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</si>
  <si>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</si>
  <si>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</si>
  <si>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</si>
  <si>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</si>
  <si>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</si>
  <si>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</si>
  <si>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</si>
  <si>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</si>
  <si>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</si>
  <si>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</si>
  <si>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</si>
  <si>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</si>
  <si>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</si>
  <si>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</si>
  <si>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</si>
  <si>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</si>
  <si>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</si>
  <si>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</si>
  <si>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</si>
  <si>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</si>
  <si>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</si>
  <si>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</si>
  <si>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</si>
  <si>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</si>
  <si>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</si>
  <si>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</si>
  <si>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</si>
  <si>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</si>
  <si>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</si>
  <si>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</si>
  <si>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</si>
  <si>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</si>
  <si>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</si>
  <si>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</si>
  <si>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</si>
  <si>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</si>
  <si>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</si>
  <si>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</si>
  <si>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</si>
  <si>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</si>
  <si>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</si>
  <si>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</si>
  <si>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</si>
  <si>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</si>
  <si>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</si>
  <si>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</si>
  <si>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</si>
  <si>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</si>
  <si>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</si>
  <si>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</si>
  <si>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</si>
  <si>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</si>
  <si>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</si>
  <si>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</si>
  <si>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</si>
  <si>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</si>
  <si>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</si>
  <si>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</si>
  <si>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</si>
  <si>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</si>
  <si>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</si>
  <si>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</si>
  <si>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</si>
  <si>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</si>
  <si>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</si>
  <si>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</si>
  <si>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</si>
  <si>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</si>
  <si>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</si>
  <si>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</si>
  <si>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</si>
  <si>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</si>
  <si>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</si>
  <si>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</si>
  <si>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</si>
  <si>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</si>
  <si>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</si>
  <si>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</si>
  <si>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</si>
  <si>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</si>
  <si>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</si>
  <si>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</si>
  <si>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</si>
  <si>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</si>
  <si>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</si>
  <si>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</si>
  <si>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</si>
  <si>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</si>
  <si>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</si>
  <si>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</si>
  <si>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</si>
  <si>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</si>
  <si>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</si>
  <si>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</si>
  <si>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</si>
  <si>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</si>
  <si>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</si>
  <si>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</si>
  <si>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</si>
  <si>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</si>
  <si>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</si>
  <si>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</si>
  <si>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</si>
  <si>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</si>
  <si>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</si>
  <si>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 Future Cost A</t>
  </si>
  <si>
    <t xml:space="preserve">GC Placeholder — Future Cost C</t>
  </si>
  <si>
    <t xml:space="preserve">TOTAL — sum of all P&amp;L lines</t>
  </si>
  <si>
    <t xml:space="preserve">VARIANCE — Reforecast Q1 2026 vs Actual</t>
  </si>
  <si>
    <t xml:space="preserve">BUDGET — approved November 2025</t>
  </si>
  <si>
    <t xml:space="preserve">Anchor for budget-vs-actual reporting. Mapped from the November 2025 consolidated projection model. Do not edit.</t>
  </si>
  <si>
    <t xml:space="preserve">GC-CM Fee Revenue</t>
  </si>
  <si>
    <t xml:space="preserve">KNOWN VARIANCE FROM SOURCE —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</si>
  <si>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</si>
  <si>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</si>
  <si>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</si>
  <si>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</si>
  <si>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</si>
  <si>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</si>
  <si>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</si>
  <si>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</si>
  <si>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</si>
  <si>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</si>
  <si>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</si>
  <si>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</si>
  <si>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</si>
  <si>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</si>
  <si>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</si>
  <si>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</si>
  <si>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</si>
  <si>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</si>
  <si>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</si>
  <si>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</si>
  <si>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</si>
  <si>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</si>
  <si>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</si>
  <si>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</si>
  <si>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</si>
  <si>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</si>
  <si>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</si>
  <si>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</si>
  <si>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</si>
  <si>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</si>
  <si>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</si>
  <si>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</si>
  <si>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</si>
  <si>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</si>
  <si>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</si>
  <si>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</si>
  <si>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</si>
  <si>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</si>
  <si>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</si>
  <si>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</si>
  <si>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</si>
  <si>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</si>
  <si>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</si>
  <si>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</si>
  <si>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</si>
  <si>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</si>
  <si>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</si>
  <si>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</si>
  <si>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</si>
  <si>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</si>
  <si>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</si>
  <si>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</si>
  <si>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</si>
  <si>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</si>
  <si>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</si>
  <si>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</si>
  <si>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</si>
  <si>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</si>
  <si>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</si>
  <si>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</si>
  <si>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</si>
  <si>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</si>
  <si>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</si>
  <si>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</si>
  <si>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</si>
  <si>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</si>
  <si>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</si>
  <si>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</si>
  <si>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</si>
  <si>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</si>
  <si>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</si>
  <si>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</si>
  <si>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</si>
  <si>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</si>
  <si>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</si>
  <si>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</si>
  <si>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</si>
  <si>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</si>
  <si>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</si>
  <si>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</si>
  <si>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</si>
  <si>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</si>
  <si>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</si>
  <si>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 Model Total GC Costs + Total Six Peak Expenses</t>
  </si>
  <si>
    <t xml:space="preserve">Gross Profit ($M) —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</si>
  <si>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</si>
  <si>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</si>
  <si>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</si>
  <si>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</si>
  <si>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</si>
  <si>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</si>
  <si>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</si>
  <si>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</si>
  <si>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</si>
  <si>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</si>
  <si>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</si>
  <si>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</si>
  <si>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</si>
  <si>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</si>
  <si>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</si>
  <si>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</si>
  <si>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</si>
  <si>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</si>
  <si>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</si>
  <si>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</si>
  <si>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</si>
  <si>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</si>
  <si>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</si>
  <si>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</si>
  <si>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</si>
  <si>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</si>
  <si>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</si>
  <si>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</si>
  <si>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</si>
  <si>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</si>
  <si>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</si>
  <si>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</si>
  <si>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</si>
  <si>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</si>
  <si>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</si>
  <si>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</si>
  <si>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</si>
  <si>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</si>
  <si>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</si>
  <si>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</si>
  <si>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</si>
  <si>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</si>
  <si>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</si>
  <si>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</si>
  <si>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</si>
  <si>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</si>
  <si>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</si>
  <si>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</si>
  <si>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</si>
  <si>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</si>
  <si>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</si>
  <si>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</si>
  <si>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</si>
  <si>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</si>
  <si>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</si>
  <si>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</si>
  <si>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</si>
  <si>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</si>
  <si>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</si>
  <si>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</si>
  <si>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</si>
  <si>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</si>
  <si>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</si>
  <si>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</si>
  <si>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</si>
  <si>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</si>
  <si>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</si>
  <si>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</si>
  <si>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</si>
  <si>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</si>
  <si>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</si>
  <si>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</si>
  <si>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</si>
  <si>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</si>
  <si>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</si>
  <si>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</si>
  <si>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</si>
  <si>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</si>
  <si>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</si>
  <si>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</si>
  <si>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</si>
  <si>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</si>
  <si>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</si>
  <si>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</si>
  <si>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</si>
  <si>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</si>
  <si>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</si>
  <si>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</si>
  <si>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</si>
  <si>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</si>
  <si>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</si>
  <si>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</si>
  <si>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</si>
  <si>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</si>
  <si>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</si>
  <si>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</si>
  <si>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</si>
  <si>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</si>
  <si>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</si>
  <si>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</si>
  <si>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</si>
  <si>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</si>
  <si>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</si>
  <si>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</si>
  <si>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</si>
  <si>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</si>
  <si>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</si>
  <si>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</si>
  <si>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</si>
  <si>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</si>
  <si>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</si>
  <si>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</si>
  <si>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</si>
  <si>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</si>
  <si>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</si>
  <si>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</si>
  <si>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</si>
  <si>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Uplifters Foundation — Development Fee Program</t>
  </si>
  <si>
    <t xml:space="preserve">PROGRAM OVERVIEW</t>
  </si>
  <si>
    <t xml:space="preserve">Program Name</t>
  </si>
  <si>
    <t xml:space="preserve">Program Duration</t>
  </si>
  <si>
    <t xml:space="preserve">5 Years (Apr 2027 – Mar 2032)</t>
  </si>
  <si>
    <t xml:space="preserve">Total Properties</t>
  </si>
  <si>
    <t xml:space="preserve">Property Type</t>
  </si>
  <si>
    <t xml:space="preserve">Single-Family Residential (no ADUs)</t>
  </si>
  <si>
    <t xml:space="preserve">Avg Lot Price</t>
  </si>
  <si>
    <t xml:space="preserve">Avg Construction Cost</t>
  </si>
  <si>
    <t xml:space="preserve">Avg Sale Price</t>
  </si>
  <si>
    <t xml:space="preserve">ANNUAL P&amp;L SUMMARY</t>
  </si>
  <si>
    <t xml:space="preserve">Staffing Cost</t>
  </si>
  <si>
    <t xml:space="preserve">Other OpEx</t>
  </si>
  <si>
    <t xml:space="preserve">Net Fee Income</t>
  </si>
  <si>
    <t xml:space="preserve">SP Overhead Fee (to Six Peak)</t>
  </si>
  <si>
    <t xml:space="preserve">Net Before Profit Share</t>
  </si>
  <si>
    <t xml:space="preserve">Schuyler Profit Share (40/45/50%)</t>
  </si>
  <si>
    <t xml:space="preserve">NI After Profit Share (to Six Peak)</t>
  </si>
  <si>
    <t xml:space="preserve">Total to Six Peak</t>
  </si>
  <si>
    <t xml:space="preserve">ACQUISITION SCHEDULE</t>
  </si>
  <si>
    <t xml:space="preserve">Phase</t>
  </si>
  <si>
    <t xml:space="preserve">Properties</t>
  </si>
  <si>
    <t xml:space="preserve">Timing</t>
  </si>
  <si>
    <t xml:space="preserve">Phase 1 — Initial Acquisitions</t>
  </si>
  <si>
    <t xml:space="preserve">Apr – Sep 2027 (Mo 13-18)</t>
  </si>
  <si>
    <t xml:space="preserve">Acquisition</t>
  </si>
  <si>
    <t xml:space="preserve">Phase 2 — Ramp Up</t>
  </si>
  <si>
    <t xml:space="preserve">Oct 2027 – Sep 2028 (Mo 19-30)</t>
  </si>
  <si>
    <t xml:space="preserve">Acquisition → Development</t>
  </si>
  <si>
    <t xml:space="preserve">Phase 3 — Continued Buying</t>
  </si>
  <si>
    <t xml:space="preserve">Oct 2028 – Sep 2029 (Mo 31-42)</t>
  </si>
  <si>
    <t xml:space="preserve">Development → Leasing</t>
  </si>
  <si>
    <t xml:space="preserve">Phase 4 — Final Batch</t>
  </si>
  <si>
    <t xml:space="preserve">Oct 2029 – Sep 2030 (Mo 43-54)</t>
  </si>
  <si>
    <t xml:space="preserve">Leasing → Exits</t>
  </si>
  <si>
    <t xml:space="preserve">Apr 2027 – Sep 2030</t>
  </si>
  <si>
    <t xml:space="preserve">FEE STRUCTURE</t>
  </si>
  <si>
    <t xml:space="preserve">Fee Category</t>
  </si>
  <si>
    <t xml:space="preserve">Rate</t>
  </si>
  <si>
    <t xml:space="preserve">Basis</t>
  </si>
  <si>
    <t xml:space="preserve">Per Property</t>
  </si>
  <si>
    <t xml:space="preserve">× 60</t>
  </si>
  <si>
    <t xml:space="preserve">Notes</t>
  </si>
  <si>
    <t xml:space="preserve">Acquisition Fee</t>
  </si>
  <si>
    <t xml:space="preserve">1%</t>
  </si>
  <si>
    <t xml:space="preserve">Lot Price ($1,400,000)</t>
  </si>
  <si>
    <t xml:space="preserve">At closing</t>
  </si>
  <si>
    <t xml:space="preserve">Development Mgmt Fee</t>
  </si>
  <si>
    <t xml:space="preserve">6%</t>
  </si>
  <si>
    <t xml:space="preserve">Construction ($1,609,391)</t>
  </si>
  <si>
    <t xml:space="preserve">During renovation</t>
  </si>
  <si>
    <t xml:space="preserve">Leasing Commission</t>
  </si>
  <si>
    <t xml:space="preserve">3%</t>
  </si>
  <si>
    <t xml:space="preserve">Annual Rent ($180,000)</t>
  </si>
  <si>
    <t xml:space="preserve">At lease-up</t>
  </si>
  <si>
    <t xml:space="preserve">Exit / Disposition Fee</t>
  </si>
  <si>
    <t xml:space="preserve">Sale Price ($3,419,763)</t>
  </si>
  <si>
    <t xml:space="preserve">At disposition</t>
  </si>
  <si>
    <t xml:space="preserve">STAFFING &amp; COMPENSATION</t>
  </si>
  <si>
    <t xml:space="preserve">Annual Comp</t>
  </si>
  <si>
    <t xml:space="preserve">Monthly</t>
  </si>
  <si>
    <t xml:space="preserve">End</t>
  </si>
  <si>
    <t xml:space="preserve">Months</t>
  </si>
  <si>
    <t xml:space="preserve">Total Cost</t>
  </si>
  <si>
    <t xml:space="preserve">Project Manager 1</t>
  </si>
  <si>
    <t xml:space="preserve">Mo 14</t>
  </si>
  <si>
    <t xml:space="preserve">Mo 60</t>
  </si>
  <si>
    <t xml:space="preserve">Mo 17</t>
  </si>
  <si>
    <t xml:space="preserve">Accountant</t>
  </si>
  <si>
    <t xml:space="preserve">Mo 22</t>
  </si>
  <si>
    <t xml:space="preserve">Project Manager 2</t>
  </si>
  <si>
    <t xml:space="preserve">Mo 30</t>
  </si>
  <si>
    <t xml:space="preserve">Total Staffing Cost</t>
  </si>
  <si>
    <t xml:space="preserve">OTHER OPERATING EXPENSES</t>
  </si>
  <si>
    <t xml:space="preserve">Expense</t>
  </si>
  <si>
    <t xml:space="preserve">Annual</t>
  </si>
  <si>
    <t xml:space="preserve">Years</t>
  </si>
  <si>
    <t xml:space="preserve">Accounting / Audit / Tax</t>
  </si>
  <si>
    <t xml:space="preserve">Insurance</t>
  </si>
  <si>
    <t xml:space="preserve">Office Space</t>
  </si>
  <si>
    <t xml:space="preserve">Computer / Internet</t>
  </si>
  <si>
    <t xml:space="preserve">Total Other OpEx</t>
  </si>
  <si>
    <t xml:space="preserve">Note: Legal ($25K/project) is a deal cost in closing, not in P&amp;L</t>
  </si>
  <si>
    <t xml:space="preserve">ECONOMICS SUMMARY (CONFIRMED)</t>
  </si>
  <si>
    <t xml:space="preserve">Total Fee Revenue (60 properties)</t>
  </si>
  <si>
    <t xml:space="preserve">SP Overhead (10% Revenue, max $150K/yr)</t>
  </si>
  <si>
    <t xml:space="preserve">Schuyler Profit Share (40/45/50% tiered)</t>
  </si>
  <si>
    <t xml:space="preserve">LEADERSHIP &amp; ORGANIZATION</t>
  </si>
  <si>
    <t xml:space="preserve">Responsibility</t>
  </si>
  <si>
    <t xml:space="preserve">Program Lead</t>
  </si>
  <si>
    <t xml:space="preserve">Day-to-day leadership. Manages acquisitions, development oversight, investor relations. 40% bonus on net income.</t>
  </si>
  <si>
    <t xml:space="preserve">Leadership</t>
  </si>
  <si>
    <t xml:space="preserve">Senior leadership and strategic direction. Works directly with Schuyler on execution.</t>
  </si>
  <si>
    <t xml:space="preserve">PM Advisory</t>
  </si>
  <si>
    <t xml:space="preserve">Advises on PM employees. Guidance on renovation scoping, contractor mgmt, PM development.</t>
  </si>
  <si>
    <t xml:space="preserve">Accounting &amp; Back Office</t>
  </si>
  <si>
    <t xml:space="preserve">Manages accounting, financial reporting, and back office with Robert Carrega.</t>
  </si>
  <si>
    <t xml:space="preserve">Supports accounting and back office processes alongside Chris Andresen.</t>
  </si>
  <si>
    <t xml:space="preserve">Acquisitions &amp; Field</t>
  </si>
  <si>
    <t xml:space="preserve">Assists in acquisitions. Available on-the-ground resource daily for program execution.</t>
  </si>
  <si>
    <t xml:space="preserve">NOTES &amp; ASSUMPTIONS</t>
  </si>
  <si>
    <t xml:space="preserve">1.</t>
  </si>
  <si>
    <t xml:space="preserve">All 60 properties are single-family residential. No ADUs.</t>
  </si>
  <si>
    <t xml:space="preserve">2.</t>
  </si>
  <si>
    <t xml:space="preserve">Avg lot price: $1,400,000. Avg construction: $1,609,391. Avg sale: $3,419,763.</t>
  </si>
  <si>
    <t xml:space="preserve">3.</t>
  </si>
  <si>
    <t xml:space="preserve">Fees: 1% acquisition on lot, 6% development on construction, 3% leasing on rent ($180K/yr), 1% exit on sale.</t>
  </si>
  <si>
    <t xml:space="preserve">4.</t>
  </si>
  <si>
    <t xml:space="preserve">Legal ($25K/project) is a deal cost in closing, not in the Uplifters P&amp;L.</t>
  </si>
  <si>
    <t xml:space="preserve">5.</t>
  </si>
  <si>
    <t xml:space="preserve">SP Overhead is 10% of all fee revenue, capped at $150,000 per year, retained by Six Peak.</t>
  </si>
  <si>
    <t xml:space="preserve">6.</t>
  </si>
  <si>
    <t xml:space="preserve">Schuyler profit share (consultant, not an employee bonus): 40% on first 20 deals (Mo 10-24), 45% on next 20 (Mo 25-37), 50% on final 20 (Mo 38+). Paid on positive months only.</t>
  </si>
  <si>
    <t xml:space="preserve">7.</t>
  </si>
  <si>
    <t xml:space="preserve">Staffing: PM1 ($125K) Mo 11 (3 mo before first construction); PC ($90K) Mo 14 (after 4th acquisition); Accountant ($110K) Mo 19 (after 10th acquisition); PM2 ($125K) Mo 27 (at 24th acquisition).</t>
  </si>
  <si>
    <t xml:space="preserve">8.</t>
  </si>
  <si>
    <t xml:space="preserve">Other OpEx: Acctg/Audit/Tax ($40K/yr), Insurance ($20K/yr), Office ($2,500/mo), Computer ($24K/yr).</t>
  </si>
  <si>
    <t xml:space="preserve">9.</t>
  </si>
  <si>
    <t xml:space="preserve">Six Peak does NOT perform construction. All renovation contracted to third-party builders.</t>
  </si>
  <si>
    <t xml:space="preserve">10.</t>
  </si>
  <si>
    <t xml:space="preserve">Program: Apr 2027 (Mo 13) through Mar 2032. Revenue recognized as fees are earned.</t>
  </si>
  <si>
    <t xml:space="preserve">11.</t>
  </si>
  <si>
    <t xml:space="preserve">No debt will be used in the acquisition or development of the properties. All-equity structure.</t>
  </si>
  <si>
    <t xml:space="preserve">SP INTEGRATION ASSUMPTIONS</t>
  </si>
  <si>
    <t xml:space="preserve">SP Overhead Rate</t>
  </si>
  <si>
    <t xml:space="preserve">SP Overhead Annual Cap</t>
  </si>
  <si>
    <t xml:space="preserve">Schuyler Profit Share Rates</t>
  </si>
  <si>
    <t xml:space="preserve">40% (1-20) / 45% (21-40) / 50% (41-60)</t>
  </si>
  <si>
    <t xml:space="preserve">MONTHLY P&amp;L</t>
  </si>
  <si>
    <t xml:space="preserve">TREATMENT: Schuyler Dietz is engaged as a CONSULTANT. His 40/45/50% tiered participation is a</t>
  </si>
  <si>
    <t xml:space="preserve">   PROFIT SHARE on program net income, not an employee bonus. It is not W2 payroll and carries no</t>
  </si>
  <si>
    <t xml:space="preserve">   payroll burden. Personnel row 39 already flags him Consult% = 1, so he is excluded from the W2</t>
  </si>
  <si>
    <t xml:space="preserve">   basis (Helpers r4 / Model r111) and expensed via Model r186, 5500-1004 Consultants and Other</t>
  </si>
  <si>
    <t xml:space="preserve">   Professional Expenses. Relabelled 15 Aug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</si>
  <si>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</si>
  <si>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</si>
  <si>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</si>
  <si>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</si>
  <si>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</si>
  <si>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</si>
  <si>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</si>
  <si>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</si>
  <si>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</si>
  <si>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</si>
  <si>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</si>
  <si>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</si>
  <si>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</si>
  <si>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</si>
  <si>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</si>
  <si>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</si>
  <si>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</si>
  <si>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</si>
  <si>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</si>
  <si>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</si>
  <si>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</si>
  <si>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</si>
  <si>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</si>
  <si>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</si>
  <si>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</si>
  <si>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</si>
  <si>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</si>
  <si>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</si>
  <si>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</si>
  <si>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</si>
  <si>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</si>
  <si>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</si>
  <si>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</si>
  <si>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</si>
  <si>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</si>
  <si>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</si>
  <si>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</si>
  <si>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</si>
  <si>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</si>
  <si>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</si>
  <si>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</si>
  <si>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</si>
  <si>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</si>
  <si>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</si>
  <si>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</si>
  <si>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</si>
  <si>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</si>
  <si>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</si>
  <si>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</si>
  <si>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</si>
  <si>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</si>
  <si>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</si>
  <si>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</si>
  <si>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</si>
  <si>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</si>
  <si>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</si>
  <si>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</si>
  <si>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</si>
  <si>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</si>
  <si>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</si>
  <si>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</si>
  <si>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</si>
  <si>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</si>
  <si>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</si>
  <si>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</si>
  <si>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</si>
  <si>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</si>
  <si>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</si>
  <si>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</si>
  <si>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</si>
  <si>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</si>
  <si>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</si>
  <si>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</si>
  <si>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</si>
  <si>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</si>
  <si>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</si>
  <si>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</si>
  <si>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</si>
  <si>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</si>
  <si>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</si>
  <si>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</si>
  <si>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</si>
  <si>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</si>
  <si>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</si>
  <si>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</si>
  <si>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</si>
  <si>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 INVESTMENT &amp; FEE SUMMARY</t>
  </si>
  <si>
    <t xml:space="preserve">Completion Guaranty</t>
  </si>
  <si>
    <t xml:space="preserve">Liquidity Fee</t>
  </si>
  <si>
    <t xml:space="preserve">PIK Invested</t>
  </si>
  <si>
    <t xml:space="preserve">Total Steyn Fees</t>
  </si>
  <si>
    <t xml:space="preserve">LIHTC Payback</t>
  </si>
  <si>
    <t xml:space="preserve">Non-LIHTC — paid at start</t>
  </si>
  <si>
    <t xml:space="preserve">Quarterly from LIHTC rev</t>
  </si>
  <si>
    <t xml:space="preserve">Pending — no revenue yet</t>
  </si>
  <si>
    <t xml:space="preserve">TIER 2 BONDING SENSITIVITY —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</si>
  <si>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</si>
  <si>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</si>
  <si>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</si>
  <si>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</si>
  <si>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</si>
  <si>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</si>
  <si>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</si>
  <si>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</si>
  <si>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</si>
  <si>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</si>
  <si>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</si>
  <si>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</si>
  <si>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</si>
  <si>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</si>
  <si>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</si>
  <si>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</si>
  <si>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</si>
  <si>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</si>
  <si>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</si>
  <si>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</si>
  <si>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</si>
  <si>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</si>
  <si>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</si>
  <si>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</si>
  <si>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</si>
  <si>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 PAYOFF &amp; STEYN RETURNS</t>
  </si>
  <si>
    <t xml:space="preserve">Reseda is the only active PIK investment. Capital accrues at 15%/yr (3.75% quarterly). Repaid from LIHTC revenue after Steyn fees.</t>
  </si>
  <si>
    <t xml:space="preserve">Amount</t>
  </si>
  <si>
    <t xml:space="preserve">Date / Month</t>
  </si>
  <si>
    <t xml:space="preserve">Reseda —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</si>
  <si>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</si>
  <si>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</si>
  <si>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</si>
  <si>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</si>
  <si>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</si>
  <si>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</si>
  <si>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</si>
  <si>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</si>
  <si>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</si>
  <si>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</si>
  <si>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</si>
  <si>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</si>
  <si>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</si>
  <si>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</si>
  <si>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</si>
  <si>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</si>
  <si>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</si>
  <si>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</si>
  <si>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</si>
  <si>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</si>
  <si>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</si>
  <si>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</si>
  <si>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</si>
  <si>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</si>
  <si>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</si>
  <si>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</si>
  <si>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</si>
  <si>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</si>
  <si>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</si>
  <si>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</si>
  <si>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15</t>
  </si>
  <si>
    <t xml:space="preserve">Mo 16</t>
  </si>
  <si>
    <t xml:space="preserve">Mo 18</t>
  </si>
  <si>
    <t xml:space="preserve">Mo 19</t>
  </si>
  <si>
    <t xml:space="preserve">Mo 20</t>
  </si>
  <si>
    <t xml:space="preserve">Mo 21</t>
  </si>
  <si>
    <t xml:space="preserve">Mo 23</t>
  </si>
  <si>
    <t xml:space="preserve">Mo 24</t>
  </si>
  <si>
    <t xml:space="preserve">Mo 25</t>
  </si>
  <si>
    <t xml:space="preserve">Mo 26</t>
  </si>
  <si>
    <t xml:space="preserve">Mo 27</t>
  </si>
  <si>
    <t xml:space="preserve">Mo 28</t>
  </si>
  <si>
    <t xml:space="preserve">Mo 29</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</si>
  <si>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</si>
  <si>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</si>
  <si>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</si>
  <si>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</si>
  <si>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</si>
  <si>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</si>
  <si>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</si>
  <si>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</si>
  <si>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</si>
  <si>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</si>
  <si>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</si>
  <si>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</si>
  <si>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</si>
  <si>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</si>
  <si>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</si>
  <si>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</si>
  <si>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</si>
  <si>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</si>
  <si>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</si>
  <si>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</si>
  <si>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</si>
  <si>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</si>
  <si>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</si>
  <si>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</si>
  <si>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</si>
  <si>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</si>
  <si>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</si>
  <si>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</si>
  <si>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</si>
  <si>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</si>
  <si>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</si>
  <si>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</si>
  <si>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</si>
  <si>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</si>
  <si>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</si>
  <si>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</si>
  <si>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</si>
  <si>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</si>
  <si>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</si>
  <si>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</si>
  <si>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</si>
  <si>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</si>
  <si>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</si>
  <si>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</si>
  <si>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</si>
  <si>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</si>
  <si>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</si>
  <si>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</si>
  <si>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</si>
  <si>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</si>
  <si>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</si>
  <si>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</si>
  <si>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</si>
  <si>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</si>
  <si>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</si>
  <si>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</si>
  <si>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</si>
  <si>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</si>
  <si>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</si>
  <si>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</si>
  <si>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</si>
  <si>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</si>
  <si>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</si>
  <si>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</si>
  <si>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</si>
  <si>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</si>
  <si>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</si>
  <si>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</si>
  <si>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</si>
  <si>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</si>
  <si>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</si>
  <si>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</si>
  <si>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</si>
  <si>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</si>
  <si>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</si>
  <si>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</si>
  <si>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</si>
  <si>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</si>
  <si>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</si>
  <si>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</si>
  <si>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</si>
  <si>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</si>
  <si>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</si>
  <si>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</si>
  <si>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</si>
  <si>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</si>
  <si>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</si>
  <si>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</si>
  <si>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</si>
  <si>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</si>
  <si>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</si>
  <si>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</si>
  <si>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</si>
  <si>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</si>
  <si>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</si>
  <si>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</si>
  <si>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</si>
  <si>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</si>
  <si>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</si>
  <si>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</si>
  <si>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</si>
  <si>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</si>
  <si>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</si>
  <si>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</si>
  <si>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</si>
  <si>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</si>
  <si>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</si>
  <si>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ALT-2: identical to ALT-1 except Uplifters!B2 = Yes (the single program switch,</t>
  </si>
  <si>
    <t xml:space="preserve">   feeding Model row 165 'Uplifters Total to SP' from Uplifters row 107).</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</si>
  <si>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</si>
  <si>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</si>
  <si>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</si>
  <si>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</si>
  <si>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</si>
  <si>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</si>
  <si>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</si>
  <si>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</si>
  <si>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</si>
  <si>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</si>
  <si>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</si>
  <si>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</si>
  <si>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</si>
  <si>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</si>
  <si>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</si>
  <si>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</si>
  <si>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</si>
  <si>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</si>
  <si>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</si>
  <si>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</si>
  <si>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</si>
  <si>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</si>
  <si>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</si>
  <si>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</si>
  <si>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</si>
  <si>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</si>
  <si>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</si>
  <si>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</si>
  <si>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</si>
  <si>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</si>
  <si>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</si>
  <si>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</si>
  <si>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</si>
  <si>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</si>
  <si>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</si>
  <si>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</si>
  <si>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</si>
  <si>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</si>
  <si>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</si>
  <si>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</si>
  <si>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</si>
  <si>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</si>
  <si>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</si>
  <si>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</si>
  <si>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</si>
  <si>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</si>
  <si>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</si>
  <si>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</si>
  <si>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</si>
  <si>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</si>
  <si>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</si>
  <si>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</si>
  <si>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</si>
  <si>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</si>
  <si>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</si>
  <si>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</si>
  <si>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</si>
  <si>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</si>
  <si>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</si>
  <si>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</si>
  <si>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</si>
  <si>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</si>
  <si>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</si>
  <si>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</si>
  <si>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</si>
  <si>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</si>
  <si>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</si>
  <si>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</si>
  <si>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</si>
  <si>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</si>
  <si>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</si>
  <si>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</si>
  <si>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</si>
  <si>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</si>
  <si>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</si>
  <si>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</si>
  <si>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</si>
  <si>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</si>
  <si>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</si>
  <si>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</si>
  <si>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</si>
  <si>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</si>
  <si>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</si>
  <si>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</si>
  <si>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</si>
  <si>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</si>
  <si>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</si>
  <si>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</si>
  <si>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</si>
  <si>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</si>
  <si>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</si>
  <si>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</si>
  <si>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</si>
  <si>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</si>
  <si>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</si>
  <si>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</si>
  <si>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</si>
  <si>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</si>
  <si>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</si>
  <si>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</si>
  <si>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</si>
  <si>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</si>
  <si>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</si>
  <si>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</si>
  <si>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</si>
  <si>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</si>
  <si>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</si>
  <si>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</si>
  <si>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</si>
  <si>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</si>
  <si>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</si>
  <si>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Adam Polk Architect LLP: Projection Assumptions</t>
  </si>
  <si>
    <t xml:space="preserve">Blue cells are inputs; black cells are calculated. Month 1 = Jul 2026.</t>
  </si>
  <si>
    <t xml:space="preserve">REVENUE</t>
  </si>
  <si>
    <t xml:space="preserve">Reseda: Permit/Bid/CD contract (reduced)</t>
  </si>
  <si>
    <t xml:space="preserve">Per Chris 7/3/26; billed evenly through Jan 2027</t>
  </si>
  <si>
    <t xml:space="preserve">Reseda: Permit/Bid/CD start month</t>
  </si>
  <si>
    <t xml:space="preserve">Reseda: Permit/Bid/CD months</t>
  </si>
  <si>
    <t xml:space="preserve">Jul 2026 - Jan 2027</t>
  </si>
  <si>
    <t xml:space="preserve">Reseda: Permit/Bid/CD monthly</t>
  </si>
  <si>
    <t xml:space="preserve">Calculated</t>
  </si>
  <si>
    <t xml:space="preserve">Reseda: Constr. Admin monthly</t>
  </si>
  <si>
    <t xml:space="preserve">Term Sheet 3.1(a)</t>
  </si>
  <si>
    <t xml:space="preserve">Reseda: Constr. Admin start month</t>
  </si>
  <si>
    <t xml:space="preserve">Mar 2027</t>
  </si>
  <si>
    <t xml:space="preserve">Reseda: Constr. Admin months</t>
  </si>
  <si>
    <t xml:space="preserve">Mar 2027 - Aug 2029</t>
  </si>
  <si>
    <t xml:space="preserve">Ramsgate: Constr. Admin monthly</t>
  </si>
  <si>
    <t xml:space="preserve">Term Sheet 3.1(b)</t>
  </si>
  <si>
    <t xml:space="preserve">Ramsgate: start month</t>
  </si>
  <si>
    <t xml:space="preserve">Ramsgate: months</t>
  </si>
  <si>
    <t xml:space="preserve">Aug 2026 - Oct 2027</t>
  </si>
  <si>
    <t xml:space="preserve">Francis: Constr. Admin monthly</t>
  </si>
  <si>
    <t xml:space="preserve">Term Sheet 3.1(c)</t>
  </si>
  <si>
    <t xml:space="preserve">Francis: start month</t>
  </si>
  <si>
    <t xml:space="preserve">Francis: months</t>
  </si>
  <si>
    <t xml:space="preserve">Aug 2026 - Jan 2029</t>
  </si>
  <si>
    <t xml:space="preserve">3rd Street: SD monthly</t>
  </si>
  <si>
    <t xml:space="preserve">Term Sheet 3.1(d); zero out if SD phase not billed</t>
  </si>
  <si>
    <t xml:space="preserve">3rd Street: SD start month</t>
  </si>
  <si>
    <t xml:space="preserve">3rd Street: SD contract cap</t>
  </si>
  <si>
    <t xml:space="preserve">Term Sheet 3.2(d)</t>
  </si>
  <si>
    <t xml:space="preserve">3rd Street: CD/Bid/Permit contract</t>
  </si>
  <si>
    <t xml:space="preserve">Per Chris 7/3/26</t>
  </si>
  <si>
    <t xml:space="preserve">3rd Street: CD/Bid/Permit start month</t>
  </si>
  <si>
    <t xml:space="preserve">Jan 2027</t>
  </si>
  <si>
    <t xml:space="preserve">3rd Street: CD/Bid/Permit months</t>
  </si>
  <si>
    <t xml:space="preserve">Jan 2027 - Dec 2027</t>
  </si>
  <si>
    <t xml:space="preserve">3rd Street: CD/Bid/Permit monthly</t>
  </si>
  <si>
    <t xml:space="preserve">3rd Street: Constr. Admin monthly</t>
  </si>
  <si>
    <t xml:space="preserve">3rd Street: Constr. Admin start month</t>
  </si>
  <si>
    <t xml:space="preserve">Apr 2028</t>
  </si>
  <si>
    <t xml:space="preserve">3rd Street: Constr. Admin months</t>
  </si>
  <si>
    <t xml:space="preserve">Runs past model end (Aug 2029); shown through model horizon only</t>
  </si>
  <si>
    <t xml:space="preserve">EXPENSES</t>
  </si>
  <si>
    <t xml:space="preserve">Partner draw (Adam Polk Architects, Inc.), monthly</t>
  </si>
  <si>
    <t xml:space="preserve">Term Sheet 2.1; paid to APA Inc., Adam's CA S corp</t>
  </si>
  <si>
    <t xml:space="preserve">Partner draw, monthly from increase</t>
  </si>
  <si>
    <t xml:space="preserve">$225,000 per year; adjusts when the 3rd St contract is signed</t>
  </si>
  <si>
    <t xml:space="preserve">Draw increase start month</t>
  </si>
  <si>
    <t xml:space="preserve">Linked to 3rd Street CD/Bid/Permit start (contract signing)</t>
  </si>
  <si>
    <t xml:space="preserve">Software, monthly</t>
  </si>
  <si>
    <t xml:space="preserve">Term Sheet 5.1(a)</t>
  </si>
  <si>
    <t xml:space="preserve">E&amp;O insurance, annual (paid Jul)</t>
  </si>
  <si>
    <t xml:space="preserve">Term Sheet 5.1(b)</t>
  </si>
  <si>
    <t xml:space="preserve">Startup reimbursement: APA Inc.</t>
  </si>
  <si>
    <t xml:space="preserve">Get-started costs, reimbursed Aug 2026</t>
  </si>
  <si>
    <t xml:space="preserve">Startup reimbursement: Six Peak</t>
  </si>
  <si>
    <t xml:space="preserve">Reimbursed Aug 2026</t>
  </si>
  <si>
    <t xml:space="preserve">Startup reimbursement month</t>
  </si>
  <si>
    <t xml:space="preserve">SIX PEAK RECOGNITION</t>
  </si>
  <si>
    <t xml:space="preserve">Reserve % of APA cash for post-2027 expenses</t>
  </si>
  <si>
    <t xml:space="preserve">Per Chris 9/1/26; funds the Six Peak share of the post-2027 expense tail</t>
  </si>
  <si>
    <t xml:space="preserve">Six Peak income start month #</t>
  </si>
  <si>
    <t xml:space="preserve">Model row 3 month #; 10 = Jan 2027, so no APA income in 2026</t>
  </si>
  <si>
    <t xml:space="preserve">Adam Polk Architect LLP: Cash Flow Projection (Jul 2026 - Aug 2029)</t>
  </si>
  <si>
    <t xml:space="preserve">Reseda: Permit / Bid / CD</t>
  </si>
  <si>
    <t xml:space="preserve">Reseda: Construction Admin</t>
  </si>
  <si>
    <t xml:space="preserve">Ramsgate: Construction Admin</t>
  </si>
  <si>
    <t xml:space="preserve">Francis: Construction Admin</t>
  </si>
  <si>
    <t xml:space="preserve">3rd Street: Schematic Design</t>
  </si>
  <si>
    <t xml:space="preserve">3rd Street: CD / Bid / Permit</t>
  </si>
  <si>
    <t xml:space="preserve">3rd Street: Construction Admin</t>
  </si>
  <si>
    <t xml:space="preserve">Total revenue</t>
  </si>
  <si>
    <t xml:space="preserve">Partner draw (APA Inc.)</t>
  </si>
  <si>
    <t xml:space="preserve">Software subscriptions</t>
  </si>
  <si>
    <t xml:space="preserve">E&amp;O insurance (annual)</t>
  </si>
  <si>
    <t xml:space="preserve">Startup reimbursements (APA + Six Peak)</t>
  </si>
  <si>
    <t xml:space="preserve">Total expenses</t>
  </si>
  <si>
    <t xml:space="preserve">Net cash flow</t>
  </si>
  <si>
    <t xml:space="preserve">Cumulative net cash flow</t>
  </si>
  <si>
    <t xml:space="preserve">SUMMARY (38 MONTHS)</t>
  </si>
  <si>
    <t xml:space="preserve">Net profit</t>
  </si>
  <si>
    <t xml:space="preserve">Six Peak share (50%)</t>
  </si>
  <si>
    <t xml:space="preserve">APA Inc. share (50%)</t>
  </si>
  <si>
    <t xml:space="preserve">APA Inc. total economics (draw + profit share)</t>
  </si>
  <si>
    <t xml:space="preserve">AGA separation payments are excluded from this projection and handled outside the company.</t>
  </si>
  <si>
    <t xml:space="preserve">Startup costs (APA Inc. $5,000; Six Peak $2,500) are reimbursed by the company in Aug 2026.</t>
  </si>
  <si>
    <t xml:space="preserve">Expenses fronted by Six Peak or APA Inc. are reimbursable by the company; profits split 50/50 after expenses.</t>
  </si>
  <si>
    <t xml:space="preserve">The APA Inc. draw adjusts to $225,000 per year ($18,750/mo) when the 3rd Street contract is signed (modeled Jan 2027).</t>
  </si>
  <si>
    <t xml:space="preserve">3rd Street construction admin (30 months from Apr 2028) runs past the model horizon; only months through Aug 2029 are shown.</t>
  </si>
  <si>
    <t xml:space="preserve">DEAL TERMS —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</si>
  <si>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</si>
  <si>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</si>
  <si>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</si>
  <si>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</si>
  <si>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</si>
  <si>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</si>
  <si>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</si>
  <si>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</si>
  <si>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</si>
  <si>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</si>
  <si>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</si>
  <si>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</si>
  <si>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</si>
  <si>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</si>
  <si>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</si>
  <si>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</si>
  <si>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</si>
  <si>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</si>
  <si>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</si>
  <si>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</si>
  <si>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</si>
  <si>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 earlier months are closed and come from Actuals. Demand is derived from the Projects tab —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</si>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</sst>
</file>

<file path=xl/styles.xml><?xml version="1.0" encoding="utf-8"?>
<styleSheet xmlns="http://schemas.openxmlformats.org/spreadsheetml/2006/main">
  <numFmts count="32">
    <numFmt numFmtId="164" formatCode="General"/>
    <numFmt numFmtId="165" formatCode="mmm\-yy"/>
    <numFmt numFmtId="166" formatCode="0"/>
    <numFmt numFmtId="167" formatCode="_(\$* #,##0_);[RED]_(\$* \(#,##0\);_(\$* \-_?_?_);_(@_)"/>
    <numFmt numFmtId="168" formatCode="0.0%;[RED]\(0.0%\);\-"/>
    <numFmt numFmtId="169" formatCode="#,##0;[RED]\(#,##0\);\-"/>
    <numFmt numFmtId="170" formatCode="_(\$* #,##0_);[RED]_(\$* \(#,##0\);_(\$* \-_);_(@_)"/>
    <numFmt numFmtId="171" formatCode="mmm\ yyyy"/>
    <numFmt numFmtId="172" formatCode="_(\$* #,##0_);_(\$* \(#,##0\);_(\$* \-??_);_(@_)"/>
    <numFmt numFmtId="173" formatCode="\$#,##0;&quot;($&quot;#,##0\);\-"/>
    <numFmt numFmtId="174" formatCode="General"/>
    <numFmt numFmtId="175" formatCode="_(\$* #,##0.00_);_(\$* \(#,##0.00\);_(\$* \-??_);_(@_)"/>
    <numFmt numFmtId="176" formatCode="0.0%"/>
    <numFmt numFmtId="177" formatCode="_(\$* #,##0_);_(\$* \(#,##0\);_(\$* \-_);_(@_)"/>
    <numFmt numFmtId="178" formatCode="0.0%;\(0.0%\);\-"/>
    <numFmt numFmtId="179" formatCode="0%"/>
    <numFmt numFmtId="180" formatCode="0.00%"/>
    <numFmt numFmtId="181" formatCode="0.0000%"/>
    <numFmt numFmtId="182" formatCode="\$#,##0"/>
    <numFmt numFmtId="183" formatCode="mmm\-yyyy"/>
    <numFmt numFmtId="184" formatCode="#,##0.0,,;\(#,##0.0,,\);&quot;&quot;"/>
    <numFmt numFmtId="185" formatCode="0;;&quot;&quot;"/>
    <numFmt numFmtId="186" formatCode="0.0%;[RED]\(0.0%\)"/>
    <numFmt numFmtId="187" formatCode="0.00\x"/>
    <numFmt numFmtId="188" formatCode="#,##0;[RED]\-#,##0;\✓"/>
    <numFmt numFmtId="189" formatCode="#,##0"/>
    <numFmt numFmtId="190" formatCode="#,##0.00"/>
    <numFmt numFmtId="191" formatCode="0.0000"/>
    <numFmt numFmtId="192" formatCode="[$$-409]#,##0.00;[RED]\-[$$-409]#,##0.00"/>
    <numFmt numFmtId="193" formatCode="#,##0;\(#,##0\);\-"/>
    <numFmt numFmtId="194" formatCode="0.00"/>
    <numFmt numFmtId="195" formatCode="0;;\-"/>
  </numFmts>
  <fonts count="56">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FF0000"/>
      <name val="Aptos"/>
      <family val="2"/>
      <charset val="1"/>
    </font>
    <font>
      <sz val="10"/>
      <color rgb="FFFF0000"/>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b val="true"/>
      <sz val="10"/>
      <color rgb="FF1F3864"/>
      <name val="Aptos"/>
      <family val="2"/>
      <charset val="1"/>
    </font>
    <font>
      <i val="true"/>
      <sz val="10"/>
      <name val="Aptos"/>
      <family val="2"/>
      <charset val="1"/>
    </font>
    <font>
      <sz val="10"/>
      <color rgb="FF717F4B"/>
      <name val="Aptos"/>
      <family val="2"/>
      <charset val="1"/>
    </font>
    <font>
      <sz val="10"/>
      <color rgb="FFEF4444"/>
      <name val="Aptos"/>
      <family val="2"/>
      <charset val="1"/>
    </font>
    <font>
      <i val="true"/>
      <sz val="10"/>
      <color rgb="FF999999"/>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sz val="11"/>
      <color rgb="FF0000FF"/>
      <name val="Cambria"/>
      <family val="0"/>
      <charset val="1"/>
    </font>
    <font>
      <sz val="9"/>
      <color rgb="FF475569"/>
      <name val="Aptos"/>
      <family val="0"/>
      <charset val="1"/>
    </font>
    <font>
      <b val="true"/>
      <sz val="10"/>
      <color rgb="FFC4581A"/>
      <name val="Aptos"/>
      <family val="0"/>
      <charset val="1"/>
    </font>
    <font>
      <b val="true"/>
      <sz val="11"/>
      <name val="Cambria"/>
      <family val="0"/>
      <charset val="1"/>
    </font>
    <font>
      <b val="true"/>
      <sz val="9"/>
      <color rgb="FF475569"/>
      <name val="Aptos"/>
      <family val="0"/>
      <charset val="1"/>
    </font>
    <font>
      <b val="true"/>
      <sz val="10"/>
      <color rgb="FF2E7D32"/>
      <name val="Aptos"/>
      <family val="0"/>
      <charset val="1"/>
    </font>
  </fonts>
  <fills count="34">
    <fill>
      <patternFill patternType="none"/>
    </fill>
    <fill>
      <patternFill patternType="gray125"/>
    </fill>
    <fill>
      <patternFill patternType="solid">
        <fgColor rgb="FFF8FAFC"/>
        <bgColor rgb="FFF5F5F5"/>
      </patternFill>
    </fill>
    <fill>
      <patternFill patternType="solid">
        <fgColor rgb="FF0B1833"/>
        <bgColor rgb="FF1E2C44"/>
      </patternFill>
    </fill>
    <fill>
      <patternFill patternType="solid">
        <fgColor rgb="FF2C3A51"/>
        <bgColor rgb="FF1F3864"/>
      </patternFill>
    </fill>
    <fill>
      <patternFill patternType="solid">
        <fgColor rgb="FFE8ECF1"/>
        <bgColor rgb="FFE8ECF2"/>
      </patternFill>
    </fill>
    <fill>
      <patternFill patternType="solid">
        <fgColor rgb="FFFBE9E0"/>
        <bgColor rgb="FFFCE4D6"/>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CE4D6"/>
      </patternFill>
    </fill>
    <fill>
      <patternFill patternType="solid">
        <fgColor rgb="FF1E2C44"/>
        <bgColor rgb="FF2D2D2D"/>
      </patternFill>
    </fill>
    <fill>
      <patternFill patternType="solid">
        <fgColor rgb="FFD6DCE4"/>
        <bgColor rgb="FFE0E0E0"/>
      </patternFill>
    </fill>
    <fill>
      <patternFill patternType="solid">
        <fgColor rgb="FFDCE6F1"/>
        <bgColor rgb="FFDDE3ED"/>
      </patternFill>
    </fill>
    <fill>
      <patternFill patternType="solid">
        <fgColor rgb="FFFCE4D6"/>
        <bgColor rgb="FFFBE9E0"/>
      </patternFill>
    </fill>
    <fill>
      <patternFill patternType="solid">
        <fgColor rgb="FF4A8B8C"/>
        <bgColor rgb="FF5E7B9B"/>
      </patternFill>
    </fill>
    <fill>
      <patternFill patternType="solid">
        <fgColor rgb="FF7B9464"/>
        <bgColor rgb="FF888888"/>
      </patternFill>
    </fill>
    <fill>
      <patternFill patternType="solid">
        <fgColor rgb="FFE2EFDA"/>
        <bgColor rgb="FFD4EDDA"/>
      </patternFill>
    </fill>
    <fill>
      <patternFill patternType="solid">
        <fgColor rgb="FF5E7B9B"/>
        <bgColor rgb="FF4A8B8C"/>
      </patternFill>
    </fill>
    <fill>
      <patternFill patternType="solid">
        <fgColor rgb="FFF2F2F2"/>
        <bgColor rgb="FFF5F5F5"/>
      </patternFill>
    </fill>
    <fill>
      <patternFill patternType="solid">
        <fgColor rgb="FF8EA3BE"/>
        <bgColor rgb="FF999999"/>
      </patternFill>
    </fill>
    <fill>
      <patternFill patternType="solid">
        <fgColor rgb="FFFDEBD0"/>
        <bgColor rgb="FFFBE9E0"/>
      </patternFill>
    </fill>
    <fill>
      <patternFill patternType="solid">
        <fgColor rgb="FF2E75B6"/>
        <bgColor rgb="FF4A8B8C"/>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548235"/>
        <bgColor rgb="FF717F4B"/>
      </patternFill>
    </fill>
    <fill>
      <patternFill patternType="solid">
        <fgColor rgb="FF404040"/>
        <bgColor rgb="FF333333"/>
      </patternFill>
    </fill>
    <fill>
      <patternFill patternType="solid">
        <fgColor rgb="FFFFF8E1"/>
        <bgColor rgb="FFFFF2CC"/>
      </patternFill>
    </fill>
    <fill>
      <patternFill patternType="solid">
        <fgColor rgb="FFE8ECF2"/>
        <bgColor rgb="FFE8ECF1"/>
      </patternFill>
    </fill>
  </fills>
  <borders count="15">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right/>
      <top style="thin">
        <color rgb="FF0B1833"/>
      </top>
      <bottom/>
      <diagonal/>
    </border>
    <border diagonalUp="false" diagonalDown="false">
      <left style="thin">
        <color rgb="FFE0E0E0"/>
      </left>
      <right style="thin">
        <color rgb="FFE0E0E0"/>
      </right>
      <top style="medium">
        <color rgb="FF0B1833"/>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8" fontId="0" fillId="0" borderId="6" xfId="0" applyFont="false" applyBorder="true" applyAlignment="true" applyProtection="false">
      <alignment horizontal="right" vertical="center" textRotation="0" wrapText="false" indent="0" shrinkToFit="false"/>
      <protection locked="true" hidden="false"/>
    </xf>
    <xf numFmtId="179"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7"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7" fontId="9" fillId="11" borderId="3" xfId="0" applyFont="true" applyBorder="true" applyAlignment="true" applyProtection="false">
      <alignment horizontal="right" vertical="center" textRotation="0" wrapText="false" indent="0" shrinkToFit="false"/>
      <protection locked="true" hidden="false"/>
    </xf>
    <xf numFmtId="17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79"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80" fontId="35" fillId="0" borderId="0" xfId="0" applyFont="true" applyBorder="false" applyAlignment="true" applyProtection="false">
      <alignment horizontal="general" vertical="bottom" textRotation="0" wrapText="false" indent="0" shrinkToFit="false"/>
      <protection locked="true" hidden="false"/>
    </xf>
    <xf numFmtId="181"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general" vertical="bottom" textRotation="0" wrapText="false" indent="0" shrinkToFit="false"/>
      <protection locked="true" hidden="false"/>
    </xf>
    <xf numFmtId="183"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4" fontId="0" fillId="0" borderId="0" xfId="0" applyFont="false" applyBorder="false" applyAlignment="true" applyProtection="false">
      <alignment horizontal="general" vertical="bottom" textRotation="0" wrapText="false" indent="0" shrinkToFit="false"/>
      <protection locked="true" hidden="false"/>
    </xf>
    <xf numFmtId="184" fontId="4" fillId="0" borderId="0" xfId="0" applyFont="true" applyBorder="false" applyAlignment="true" applyProtection="false">
      <alignment horizontal="center" vertical="bottom" textRotation="0" wrapText="false" indent="0" shrinkToFit="false"/>
      <protection locked="true" hidden="false"/>
    </xf>
    <xf numFmtId="185"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4" fontId="9" fillId="14" borderId="0" xfId="0" applyFont="true" applyBorder="false" applyAlignment="true" applyProtection="false">
      <alignment horizontal="center" vertical="bottom" textRotation="0" wrapText="false" indent="0" shrinkToFit="false"/>
      <protection locked="true" hidden="false"/>
    </xf>
    <xf numFmtId="185" fontId="9" fillId="14"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87" fontId="28" fillId="0" borderId="0" xfId="0" applyFont="true" applyBorder="false" applyAlignment="true" applyProtection="false">
      <alignment horizontal="center" vertical="bottom" textRotation="0" wrapText="false" indent="0" shrinkToFit="false"/>
      <protection locked="true" hidden="false"/>
    </xf>
    <xf numFmtId="188"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2"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2" fontId="31" fillId="0" borderId="6" xfId="0" applyFont="true" applyBorder="true" applyAlignment="true" applyProtection="false">
      <alignment horizontal="general" vertical="bottom" textRotation="0" wrapText="false" indent="0" shrinkToFit="false"/>
      <protection locked="true" hidden="false"/>
    </xf>
    <xf numFmtId="179"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2"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9" fontId="31" fillId="13" borderId="6" xfId="0" applyFont="true" applyBorder="true" applyAlignment="true" applyProtection="false">
      <alignment horizontal="general" vertical="bottom" textRotation="0" wrapText="false" indent="0" shrinkToFit="false"/>
      <protection locked="true" hidden="false"/>
    </xf>
    <xf numFmtId="189" fontId="17"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25" fillId="15" borderId="0" xfId="0" applyFont="true" applyBorder="false" applyAlignment="true" applyProtection="false">
      <alignment horizontal="general" vertical="bottom" textRotation="0" wrapText="false" indent="0" shrinkToFit="false"/>
      <protection locked="true" hidden="false"/>
    </xf>
    <xf numFmtId="164" fontId="42" fillId="16" borderId="0" xfId="0" applyFont="true" applyBorder="false" applyAlignment="true" applyProtection="false">
      <alignment horizontal="general" vertical="bottom" textRotation="0" wrapText="false" indent="0" shrinkToFit="false"/>
      <protection locked="true" hidden="false"/>
    </xf>
    <xf numFmtId="164" fontId="18" fillId="17" borderId="2" xfId="0" applyFont="true" applyBorder="true" applyAlignment="true" applyProtection="false">
      <alignment horizontal="general" vertical="bottom" textRotation="0" wrapText="false" indent="0" shrinkToFit="false"/>
      <protection locked="true" hidden="false"/>
    </xf>
    <xf numFmtId="170" fontId="18" fillId="18" borderId="2" xfId="0" applyFont="true" applyBorder="true" applyAlignment="true" applyProtection="false">
      <alignment horizontal="general" vertical="bottom" textRotation="0" wrapText="false" indent="0" shrinkToFit="false"/>
      <protection locked="true" hidden="false"/>
    </xf>
    <xf numFmtId="164" fontId="18" fillId="17" borderId="9" xfId="0" applyFont="true" applyBorder="true" applyAlignment="true" applyProtection="false">
      <alignment horizontal="general" vertical="bottom" textRotation="0" wrapText="false" indent="0" shrinkToFit="false"/>
      <protection locked="true" hidden="false"/>
    </xf>
    <xf numFmtId="170" fontId="18" fillId="18" borderId="9" xfId="0" applyFont="true" applyBorder="true" applyAlignment="true" applyProtection="false">
      <alignment horizontal="general"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64" fontId="18" fillId="17"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9" fontId="18" fillId="17" borderId="0" xfId="0" applyFont="true" applyBorder="false" applyAlignment="true" applyProtection="false">
      <alignment horizontal="general" vertical="bottom" textRotation="0" wrapText="false" indent="0" shrinkToFit="false"/>
      <protection locked="true" hidden="false"/>
    </xf>
    <xf numFmtId="170" fontId="18" fillId="17" borderId="0" xfId="0" applyFont="true" applyBorder="false" applyAlignment="true" applyProtection="false">
      <alignment horizontal="general" vertical="bottom" textRotation="0" wrapText="false" indent="0" shrinkToFit="false"/>
      <protection locked="true" hidden="false"/>
    </xf>
    <xf numFmtId="164" fontId="25" fillId="20" borderId="0" xfId="0" applyFont="true" applyBorder="false" applyAlignment="true" applyProtection="false">
      <alignment horizontal="general" vertical="bottom" textRotation="0" wrapText="false" indent="0" shrinkToFit="false"/>
      <protection locked="true" hidden="false"/>
    </xf>
    <xf numFmtId="164" fontId="18" fillId="21" borderId="0" xfId="0" applyFont="true" applyBorder="false" applyAlignment="true" applyProtection="false">
      <alignment horizontal="general" vertical="bottom" textRotation="0" wrapText="false" indent="0" shrinkToFit="false"/>
      <protection locked="true" hidden="false"/>
    </xf>
    <xf numFmtId="170" fontId="18" fillId="21" borderId="0" xfId="0" applyFont="true" applyBorder="false" applyAlignment="true" applyProtection="false">
      <alignment horizontal="general" vertical="bottom" textRotation="0" wrapText="false" indent="0" shrinkToFit="false"/>
      <protection locked="true" hidden="false"/>
    </xf>
    <xf numFmtId="164" fontId="25" fillId="22" borderId="0" xfId="0" applyFont="true" applyBorder="false" applyAlignment="true" applyProtection="false">
      <alignment horizontal="general" vertical="bottom" textRotation="0" wrapText="false" indent="0" shrinkToFit="false"/>
      <protection locked="true" hidden="false"/>
    </xf>
    <xf numFmtId="164" fontId="18" fillId="23" borderId="0" xfId="0" applyFont="true" applyBorder="false" applyAlignment="true" applyProtection="false">
      <alignment horizontal="general" vertical="bottom" textRotation="0" wrapText="false" indent="0" shrinkToFit="false"/>
      <protection locked="true" hidden="false"/>
    </xf>
    <xf numFmtId="170" fontId="18" fillId="23" borderId="0" xfId="0" applyFont="true" applyBorder="false" applyAlignment="true" applyProtection="false">
      <alignment horizontal="general" vertical="bottom" textRotation="0" wrapText="false" indent="0" shrinkToFit="false"/>
      <protection locked="true" hidden="false"/>
    </xf>
    <xf numFmtId="164" fontId="25" fillId="10" borderId="0" xfId="0" applyFont="true" applyBorder="false" applyAlignment="tru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general" vertical="bottom" textRotation="0" wrapText="false" indent="0" shrinkToFit="false"/>
      <protection locked="true" hidden="false"/>
    </xf>
    <xf numFmtId="170" fontId="18" fillId="18"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25" fillId="24" borderId="0" xfId="0" applyFont="true" applyBorder="false" applyAlignment="true" applyProtection="false">
      <alignment horizontal="general" vertical="bottom" textRotation="0" wrapText="false" indent="0" shrinkToFit="false"/>
      <protection locked="true" hidden="false"/>
    </xf>
    <xf numFmtId="176" fontId="17"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44"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5" fillId="2" borderId="0" xfId="0" applyFont="true" applyBorder="false" applyAlignment="true" applyProtection="false">
      <alignment horizontal="general" vertical="bottom" textRotation="0" wrapText="false" indent="0" shrinkToFit="false"/>
      <protection locked="true" hidden="false"/>
    </xf>
    <xf numFmtId="170" fontId="45"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6"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80" fontId="44" fillId="2" borderId="0" xfId="0" applyFont="true" applyBorder="false" applyAlignment="true" applyProtection="false">
      <alignment horizontal="general" vertical="bottom" textRotation="0" wrapText="false" indent="0" shrinkToFit="false"/>
      <protection locked="true" hidden="false"/>
    </xf>
    <xf numFmtId="180" fontId="29" fillId="25" borderId="0" xfId="0" applyFont="true" applyBorder="false" applyAlignment="true" applyProtection="false">
      <alignment horizontal="general" vertical="bottom" textRotation="0" wrapText="false" indent="0" shrinkToFit="false"/>
      <protection locked="true" hidden="false"/>
    </xf>
    <xf numFmtId="180" fontId="35" fillId="2" borderId="0" xfId="0" applyFont="true" applyBorder="false" applyAlignment="true" applyProtection="false">
      <alignment horizontal="general" vertical="bottom" textRotation="0" wrapText="false" indent="0" shrinkToFit="false"/>
      <protection locked="true" hidden="false"/>
    </xf>
    <xf numFmtId="170" fontId="29" fillId="2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9" fontId="29" fillId="2" borderId="0" xfId="0" applyFont="true" applyBorder="false" applyAlignment="true" applyProtection="false">
      <alignment horizontal="general" vertical="bottom" textRotation="0" wrapText="false" indent="0" shrinkToFit="false"/>
      <protection locked="true" hidden="false"/>
    </xf>
    <xf numFmtId="189" fontId="29" fillId="25" borderId="0" xfId="0" applyFont="true" applyBorder="false" applyAlignment="true" applyProtection="false">
      <alignment horizontal="general" vertical="bottom" textRotation="0" wrapText="false" indent="0" shrinkToFit="false"/>
      <protection locked="true" hidden="false"/>
    </xf>
    <xf numFmtId="189"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80" fontId="5" fillId="2" borderId="0" xfId="0" applyFont="true" applyBorder="false" applyAlignment="true" applyProtection="false">
      <alignment horizontal="center" vertical="bottom" textRotation="0" wrapText="false" indent="0" shrinkToFit="false"/>
      <protection locked="true" hidden="false"/>
    </xf>
    <xf numFmtId="180" fontId="6" fillId="2" borderId="0" xfId="0" applyFont="true" applyBorder="false" applyAlignment="true" applyProtection="false">
      <alignment horizontal="general" vertical="bottom" textRotation="0" wrapText="false" indent="0" shrinkToFit="false"/>
      <protection locked="true" hidden="false"/>
    </xf>
    <xf numFmtId="170" fontId="4" fillId="2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80"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80"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1" fontId="0" fillId="0" borderId="0" xfId="0" applyFont="false" applyBorder="false" applyAlignment="true" applyProtection="false">
      <alignment horizontal="general" vertical="bottom" textRotation="0" wrapText="false" indent="0" shrinkToFit="false"/>
      <protection locked="true" hidden="false"/>
    </xf>
    <xf numFmtId="189" fontId="0" fillId="0" borderId="0" xfId="0" applyFont="false" applyBorder="false" applyAlignment="true" applyProtection="false">
      <alignment horizontal="general" vertical="bottom" textRotation="0" wrapText="false" indent="0" shrinkToFit="false"/>
      <protection locked="true" hidden="false"/>
    </xf>
    <xf numFmtId="164" fontId="29" fillId="25"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89" fontId="29" fillId="25" borderId="0" xfId="0" applyFont="true" applyBorder="false" applyAlignment="false" applyProtection="false">
      <alignment horizontal="general" vertical="bottom" textRotation="0" wrapText="false" indent="0" shrinkToFit="false"/>
      <protection locked="true" hidden="false"/>
    </xf>
    <xf numFmtId="190" fontId="17" fillId="0" borderId="0" xfId="0" applyFont="true" applyBorder="false" applyAlignment="true" applyProtection="false">
      <alignment horizontal="general" vertical="bottom" textRotation="0" wrapText="false" indent="0" shrinkToFit="false"/>
      <protection locked="true" hidden="false"/>
    </xf>
    <xf numFmtId="164" fontId="25" fillId="26" borderId="0" xfId="0" applyFont="true" applyBorder="false" applyAlignment="true" applyProtection="false">
      <alignment horizontal="general" vertical="bottom" textRotation="0" wrapText="false" indent="0" shrinkToFit="false"/>
      <protection locked="true" hidden="false"/>
    </xf>
    <xf numFmtId="164" fontId="17" fillId="27" borderId="10" xfId="0" applyFont="true" applyBorder="true" applyAlignment="true" applyProtection="false">
      <alignment horizontal="general" vertical="bottom" textRotation="0" wrapText="false" indent="0" shrinkToFit="false"/>
      <protection locked="true" hidden="false"/>
    </xf>
    <xf numFmtId="170" fontId="17" fillId="27" borderId="10" xfId="0" applyFont="true" applyBorder="true" applyAlignment="true" applyProtection="false">
      <alignment horizontal="right" vertical="bottom" textRotation="0" wrapText="false" indent="0" shrinkToFit="false"/>
      <protection locked="true" hidden="false"/>
    </xf>
    <xf numFmtId="164" fontId="17" fillId="7" borderId="10" xfId="0" applyFont="true" applyBorder="true" applyAlignment="true" applyProtection="false">
      <alignment horizontal="general" vertical="bottom" textRotation="0" wrapText="false" indent="0" shrinkToFit="false"/>
      <protection locked="true" hidden="false"/>
    </xf>
    <xf numFmtId="170" fontId="17" fillId="7" borderId="10" xfId="0" applyFont="true" applyBorder="true" applyAlignment="true" applyProtection="false">
      <alignment horizontal="right" vertical="bottom" textRotation="0" wrapText="false" indent="0" shrinkToFit="false"/>
      <protection locked="true" hidden="false"/>
    </xf>
    <xf numFmtId="189" fontId="17" fillId="27" borderId="10"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2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7" fontId="4" fillId="28" borderId="3" xfId="0" applyFont="true" applyBorder="true" applyAlignment="true" applyProtection="false">
      <alignment horizontal="right" vertical="center" textRotation="0" wrapText="false" indent="0" shrinkToFit="false"/>
      <protection locked="true" hidden="false"/>
    </xf>
    <xf numFmtId="179" fontId="9" fillId="28" borderId="3" xfId="0" applyFont="true" applyBorder="true" applyAlignment="true" applyProtection="false">
      <alignment horizontal="center" vertical="center" textRotation="0" wrapText="false" indent="0" shrinkToFit="false"/>
      <protection locked="true" hidden="false"/>
    </xf>
    <xf numFmtId="191"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70" fontId="45" fillId="0" borderId="0" xfId="0" applyFont="true" applyBorder="false" applyAlignment="true" applyProtection="false">
      <alignment horizontal="general" vertical="bottom" textRotation="0" wrapText="false" indent="0" shrinkToFit="false"/>
      <protection locked="true" hidden="false"/>
    </xf>
    <xf numFmtId="192" fontId="0" fillId="0" borderId="0" xfId="0" applyFont="fals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70" fontId="18" fillId="0" borderId="11"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2" xfId="0" applyFont="true" applyBorder="true" applyAlignment="true" applyProtection="false">
      <alignment horizontal="general" vertical="bottom" textRotation="0" wrapText="false" indent="0" shrinkToFit="false"/>
      <protection locked="true" hidden="false"/>
    </xf>
    <xf numFmtId="164" fontId="18" fillId="0" borderId="12" xfId="0" applyFont="true" applyBorder="true" applyAlignment="true" applyProtection="false">
      <alignment horizontal="center" vertical="bottom" textRotation="0" wrapText="false" indent="0" shrinkToFit="false"/>
      <protection locked="true" hidden="false"/>
    </xf>
    <xf numFmtId="164" fontId="25" fillId="29" borderId="0" xfId="0" applyFont="true" applyBorder="false" applyAlignment="true" applyProtection="false">
      <alignment horizontal="general" vertical="bottom" textRotation="0" wrapText="false" indent="0" shrinkToFit="false"/>
      <protection locked="true" hidden="false"/>
    </xf>
    <xf numFmtId="170" fontId="25" fillId="29" borderId="0" xfId="0" applyFont="true" applyBorder="false" applyAlignment="true" applyProtection="false">
      <alignment horizontal="general" vertical="bottom" textRotation="0" wrapText="false" indent="0" shrinkToFit="false"/>
      <protection locked="true" hidden="false"/>
    </xf>
    <xf numFmtId="164" fontId="17" fillId="27" borderId="0" xfId="0" applyFont="true" applyBorder="false" applyAlignment="true" applyProtection="false">
      <alignment horizontal="general" vertical="bottom" textRotation="0" wrapText="false" indent="0" shrinkToFit="false"/>
      <protection locked="true" hidden="false"/>
    </xf>
    <xf numFmtId="170" fontId="17" fillId="27" borderId="0" xfId="0" applyFont="true" applyBorder="false" applyAlignment="true" applyProtection="false">
      <alignment horizontal="general" vertical="bottom" textRotation="0" wrapText="false" indent="0" shrinkToFit="false"/>
      <protection locked="true" hidden="false"/>
    </xf>
    <xf numFmtId="164" fontId="10" fillId="0" borderId="11" xfId="0" applyFont="true" applyBorder="true" applyAlignment="true" applyProtection="false">
      <alignment horizontal="general" vertical="bottom" textRotation="0" wrapText="false" indent="0" shrinkToFit="false"/>
      <protection locked="true" hidden="false"/>
    </xf>
    <xf numFmtId="170" fontId="10" fillId="0" borderId="11" xfId="0" applyFont="true" applyBorder="true" applyAlignment="true" applyProtection="false">
      <alignment horizontal="general" vertical="bottom" textRotation="0" wrapText="false" indent="0" shrinkToFit="false"/>
      <protection locked="true" hidden="false"/>
    </xf>
    <xf numFmtId="170" fontId="25" fillId="26"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47" fillId="17" borderId="0" xfId="0" applyFont="true" applyBorder="false" applyAlignment="true" applyProtection="false">
      <alignment horizontal="general" vertical="bottom" textRotation="0" wrapText="false" indent="0" shrinkToFit="false"/>
      <protection locked="true" hidden="false"/>
    </xf>
    <xf numFmtId="170" fontId="47" fillId="17" borderId="0" xfId="0" applyFont="true" applyBorder="false" applyAlignment="true" applyProtection="false">
      <alignment horizontal="general" vertical="bottom" textRotation="0" wrapText="false" indent="0" shrinkToFit="false"/>
      <protection locked="true" hidden="false"/>
    </xf>
    <xf numFmtId="164" fontId="25" fillId="30" borderId="11" xfId="0" applyFont="true" applyBorder="true" applyAlignment="true" applyProtection="false">
      <alignment horizontal="general" vertical="bottom" textRotation="0" wrapText="false" indent="0" shrinkToFit="false"/>
      <protection locked="true" hidden="false"/>
    </xf>
    <xf numFmtId="170" fontId="25" fillId="30" borderId="11" xfId="0" applyFont="true" applyBorder="tru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7" fillId="30" borderId="0" xfId="0" applyFont="true" applyBorder="false" applyAlignment="true" applyProtection="false">
      <alignment horizontal="general" vertical="bottom" textRotation="0" wrapText="false" indent="0" shrinkToFit="false"/>
      <protection locked="true" hidden="false"/>
    </xf>
    <xf numFmtId="170" fontId="17" fillId="30" borderId="0" xfId="0" applyFont="true" applyBorder="false" applyAlignment="true" applyProtection="false">
      <alignment horizontal="general" vertical="bottom" textRotation="0" wrapText="false" indent="0" shrinkToFit="false"/>
      <protection locked="true" hidden="false"/>
    </xf>
    <xf numFmtId="170" fontId="47" fillId="0" borderId="0" xfId="0" applyFont="true" applyBorder="false" applyAlignment="true" applyProtection="false">
      <alignment horizontal="general" vertical="bottom" textRotation="0" wrapText="false" indent="0" shrinkToFit="false"/>
      <protection locked="true" hidden="false"/>
    </xf>
    <xf numFmtId="164" fontId="25" fillId="31" borderId="0" xfId="0" applyFont="true" applyBorder="false" applyAlignment="true" applyProtection="false">
      <alignment horizontal="general" vertical="bottom" textRotation="0" wrapText="false" indent="0" shrinkToFit="false"/>
      <protection locked="true" hidden="false"/>
    </xf>
    <xf numFmtId="170" fontId="25" fillId="31" borderId="0" xfId="0" applyFont="true" applyBorder="false" applyAlignment="true" applyProtection="false">
      <alignment horizontal="general"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70" fontId="17" fillId="0" borderId="11" xfId="0" applyFont="true" applyBorder="true" applyAlignment="true" applyProtection="false">
      <alignment horizontal="general" vertical="bottom" textRotation="0" wrapText="false" indent="0" shrinkToFit="false"/>
      <protection locked="true" hidden="false"/>
    </xf>
    <xf numFmtId="164" fontId="17" fillId="31" borderId="0" xfId="0" applyFont="true" applyBorder="false" applyAlignment="true" applyProtection="false">
      <alignment horizontal="general" vertical="bottom" textRotation="0" wrapText="false" indent="0" shrinkToFit="false"/>
      <protection locked="true" hidden="false"/>
    </xf>
    <xf numFmtId="170" fontId="17" fillId="31" borderId="0" xfId="0" applyFont="true" applyBorder="fals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47" fillId="23" borderId="0" xfId="0" applyFont="true" applyBorder="false" applyAlignment="true" applyProtection="false">
      <alignment horizontal="general" vertical="bottom" textRotation="0" wrapText="false" indent="0" shrinkToFit="false"/>
      <protection locked="true" hidden="false"/>
    </xf>
    <xf numFmtId="170" fontId="47" fillId="23"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9" fontId="25" fillId="3" borderId="0" xfId="0" applyFont="true" applyBorder="false" applyAlignment="true" applyProtection="false">
      <alignment horizontal="center" vertical="center" textRotation="0" wrapText="tru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6" fontId="29" fillId="0" borderId="0" xfId="0" applyFont="true" applyBorder="false" applyAlignment="true" applyProtection="false">
      <alignment horizontal="center" vertical="bottom" textRotation="0" wrapText="false" indent="0" shrinkToFit="false"/>
      <protection locked="true" hidden="false"/>
    </xf>
    <xf numFmtId="179" fontId="29" fillId="0" borderId="0" xfId="0" applyFont="true" applyBorder="false" applyAlignment="tru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center"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70" fontId="32" fillId="0" borderId="13" xfId="0" applyFont="true" applyBorder="true" applyAlignment="true" applyProtection="false">
      <alignment horizontal="general" vertical="bottom" textRotation="0" wrapText="false" indent="0" shrinkToFit="false"/>
      <protection locked="true" hidden="false"/>
    </xf>
    <xf numFmtId="164" fontId="9" fillId="0" borderId="13" xfId="0" applyFont="true" applyBorder="true" applyAlignment="true" applyProtection="false">
      <alignment horizontal="general" vertical="bottom" textRotation="0" wrapText="false" indent="0" shrinkToFit="false"/>
      <protection locked="true" hidden="false"/>
    </xf>
    <xf numFmtId="170" fontId="9" fillId="0" borderId="13" xfId="0" applyFont="true" applyBorder="tru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3" fontId="52" fillId="13" borderId="6" xfId="0" applyFont="true" applyBorder="true" applyAlignment="true" applyProtection="false">
      <alignment horizontal="general" vertical="bottom" textRotation="0" wrapText="false" indent="0" shrinkToFit="false"/>
      <protection locked="true" hidden="false"/>
    </xf>
    <xf numFmtId="179"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3" fontId="52" fillId="7" borderId="6" xfId="0" applyFont="true" applyBorder="tru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4" fontId="32" fillId="0" borderId="6" xfId="0" applyFont="true" applyBorder="true" applyAlignment="true" applyProtection="false">
      <alignment horizontal="general" vertical="bottom" textRotation="0" wrapText="false" indent="0" shrinkToFit="false"/>
      <protection locked="true" hidden="false"/>
    </xf>
    <xf numFmtId="182" fontId="32" fillId="0" borderId="6" xfId="0" applyFont="true" applyBorder="true" applyAlignment="true" applyProtection="false">
      <alignment horizontal="general" vertical="bottom" textRotation="0" wrapText="false" indent="0" shrinkToFit="false"/>
      <protection locked="true" hidden="false"/>
    </xf>
    <xf numFmtId="179"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95" fontId="31"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1"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1" fontId="22" fillId="32" borderId="6" xfId="0" applyFont="true" applyBorder="true" applyAlignment="true" applyProtection="false">
      <alignment horizontal="right" vertical="bottom" textRotation="0" wrapText="false" indent="0" shrinkToFit="false"/>
      <protection locked="true" hidden="false"/>
    </xf>
    <xf numFmtId="189" fontId="22" fillId="32" borderId="6" xfId="0" applyFont="true" applyBorder="true" applyAlignment="true" applyProtection="false">
      <alignment horizontal="right" vertical="bottom" textRotation="0" wrapText="false" indent="0" shrinkToFit="false"/>
      <protection locked="true" hidden="false"/>
    </xf>
    <xf numFmtId="189" fontId="22" fillId="32"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9" fontId="32" fillId="7" borderId="6" xfId="0" applyFont="true" applyBorder="true" applyAlignment="true" applyProtection="false">
      <alignment horizontal="right" vertical="bottom" textRotation="0" wrapText="false" indent="0" shrinkToFit="false"/>
      <protection locked="true" hidden="false"/>
    </xf>
    <xf numFmtId="166" fontId="22" fillId="32"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32"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3" fontId="22" fillId="32" borderId="6" xfId="0" applyFont="true" applyBorder="true" applyAlignment="true" applyProtection="false">
      <alignment horizontal="right" vertical="center" textRotation="0" wrapText="false" indent="0" shrinkToFit="false"/>
      <protection locked="true" hidden="false"/>
    </xf>
    <xf numFmtId="193"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80" fontId="22" fillId="32" borderId="6" xfId="0" applyFont="true" applyBorder="true" applyAlignment="true" applyProtection="false">
      <alignment horizontal="right" vertical="center" textRotation="0" wrapText="false" indent="0" shrinkToFit="false"/>
      <protection locked="true" hidden="false"/>
    </xf>
    <xf numFmtId="193"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3"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3"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33" borderId="14" xfId="0" applyFont="true" applyBorder="true" applyAlignment="true" applyProtection="false">
      <alignment horizontal="general" vertical="bottom" textRotation="0" wrapText="false" indent="0" shrinkToFit="false"/>
      <protection locked="true" hidden="false"/>
    </xf>
    <xf numFmtId="193" fontId="32" fillId="33" borderId="14" xfId="0" applyFont="true" applyBorder="true" applyAlignment="true" applyProtection="false">
      <alignment horizontal="right" vertical="bottom" textRotation="0" wrapText="false" indent="0" shrinkToFit="false"/>
      <protection locked="true" hidden="false"/>
    </xf>
    <xf numFmtId="193" fontId="52" fillId="33" borderId="14"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EAEDF2"/>
      <rgbColor rgb="FF0000FF"/>
      <rgbColor rgb="FFFDEBD0"/>
      <rgbColor rgb="FFF2F2F2"/>
      <rgbColor rgb="FFE3E8F0"/>
      <rgbColor rgb="FF800000"/>
      <rgbColor rgb="FF008000"/>
      <rgbColor rgb="FF1E2C44"/>
      <rgbColor rgb="FF717F4B"/>
      <rgbColor rgb="FFF8FAFC"/>
      <rgbColor rgb="FF2E7D32"/>
      <rgbColor rgb="FFBFC7DA"/>
      <rgbColor rgb="FF888888"/>
      <rgbColor rgb="FF8EA3BE"/>
      <rgbColor rgb="FF666666"/>
      <rgbColor rgb="FFFFF8E1"/>
      <rgbColor rgb="FFE2EFDA"/>
      <rgbColor rgb="FF660066"/>
      <rgbColor rgb="FFDDE3ED"/>
      <rgbColor rgb="FF548235"/>
      <rgbColor rgb="FFB4C6E7"/>
      <rgbColor rgb="FF2C3A51"/>
      <rgbColor rgb="FFF5F5F5"/>
      <rgbColor rgb="FFFBE9E0"/>
      <rgbColor rgb="FFE8ECF2"/>
      <rgbColor rgb="FF800080"/>
      <rgbColor rgb="FF800000"/>
      <rgbColor rgb="FF475569"/>
      <rgbColor rgb="FF0000FF"/>
      <rgbColor rgb="FFE8ECF1"/>
      <rgbColor rgb="FFDCE6F1"/>
      <rgbColor rgb="FFD4EDDA"/>
      <rgbColor rgb="FFFFF2CC"/>
      <rgbColor rgb="FFD6DCE4"/>
      <rgbColor rgb="FFFCE4D6"/>
      <rgbColor rgb="FFE0E0E0"/>
      <rgbColor rgb="FFF8D7DA"/>
      <rgbColor rgb="FF2E75B6"/>
      <rgbColor rgb="FFD6E4F0"/>
      <rgbColor rgb="FF7B9464"/>
      <rgbColor rgb="FFF1E4DB"/>
      <rgbColor rgb="FFE2E7F0"/>
      <rgbColor rgb="FFC4581A"/>
      <rgbColor rgb="FF5E7B9B"/>
      <rgbColor rgb="FF999999"/>
      <rgbColor rgb="FF17375E"/>
      <rgbColor rgb="FF4A8B8C"/>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5.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6.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7.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8.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7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51" activePane="bottomRight" state="frozen"/>
      <selection pane="topLeft" activeCell="A1" activeCellId="0" sqref="A1"/>
      <selection pane="topRight" activeCell="B1" activeCellId="0" sqref="B1"/>
      <selection pane="bottomLeft" activeCell="A251" activeCellId="0" sqref="A251"/>
      <selection pane="bottomRight" activeCell="F283" activeCellId="0" sqref="F283"/>
    </sheetView>
  </sheetViews>
  <sheetFormatPr defaultColWidth="8.7109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 Troost (HVN)</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Reseda</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Dickens</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Riverton 75</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Moorpark</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Beverly (BD-04)</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Assumptions!$B$10/Projects!$D$17:$D$46*0.95)+SUMPRODUCT((Projects!$G$17:$G$46="Yes")*(1=Projects!$C$17:$C$46+Projects!$D$17:$D$46-1)*Projects!$B$17:$B$46*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Assumptions!$B$12/Projects!$D$17:$D$46*0.95)+SUMPRODUCT((Projects!$G$17:$G$46="Yes")*(1=Projects!$C$17:$C$46+Projects!$D$17:$D$46-1)*Projects!$B$17:$B$46*Assumptions!$B$12*0.05)),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Assumptions!$B$10/Projects!$D$17:$D$46*0.95)+SUMPRODUCT((Projects!$G$17:$G$46="Yes")*(2=Projects!$C$17:$C$46+Projects!$D$17:$D$46-1)*Projects!$B$17:$B$46*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Assumptions!$B$12/Projects!$D$17:$D$46*0.95)+SUMPRODUCT((Projects!$G$17:$G$46="Yes")*(2=Projects!$C$17:$C$46+Projects!$D$17:$D$46-1)*Projects!$B$17:$B$46*Assumptions!$B$12*0.05),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Assumptions!$B$10/Projects!$D$17:$D$46*0.95)+SUMPRODUCT((Projects!$G$17:$G$46="Yes")*(3=Projects!$C$17:$C$46+Projects!$D$17:$D$46-1)*Projects!$B$17:$B$46*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Assumptions!$B$12/Projects!$D$17:$D$46*0.95)+SUMPRODUCT((Projects!$G$17:$G$46="Yes")*(3=Projects!$C$17:$C$46+Projects!$D$17:$D$46-1)*Projects!$B$17:$B$46*Assumptions!$B$12*0.05),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Assumptions!$B$10/Projects!$D$17:$D$46*0.95)+SUMPRODUCT((Projects!$G$17:$G$46="Yes")*(4=Projects!$C$17:$C$46+Projects!$D$17:$D$46-1)*Projects!$B$17:$B$46*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Assumptions!$B$12/Projects!$D$17:$D$46*0.95)+SUMPRODUCT((Projects!$G$17:$G$46="Yes")*(4=Projects!$C$17:$C$46+Projects!$D$17:$D$46-1)*Projects!$B$17:$B$46*Assumptions!$B$12*0.05),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Assumptions!$B$10/Projects!$D$17:$D$46*0.95)+SUMPRODUCT((Projects!$G$17:$G$46="Yes")*(5=Projects!$C$17:$C$46+Projects!$D$17:$D$46-1)*Projects!$B$17:$B$46*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Assumptions!$B$12/Projects!$D$17:$D$46*0.95)+SUMPRODUCT((Projects!$G$17:$G$46="Yes")*(5=Projects!$C$17:$C$46+Projects!$D$17:$D$46-1)*Projects!$B$17:$B$46*Assumptions!$B$12*0.05)+178042.52+24920.93,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Assumptions!$B$10/Projects!$D$17:$D$46*0.95)+SUMPRODUCT((Projects!$G$17:$G$46="Yes")*(6=Projects!$C$17:$C$46+Projects!$D$17:$D$46-1)*Projects!$B$17:$B$46*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Assumptions!$B$12/Projects!$D$17:$D$46*0.95)+SUMPRODUCT((Projects!$G$17:$G$46="Yes")*(6=Projects!$C$17:$C$46+Projects!$D$17:$D$46-1)*Projects!$B$17:$B$46*Assumptions!$B$12*0.05)+194677.56+59181.05,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Assumptions!$B$10/Projects!$D$17:$D$46*0.95)+SUMPRODUCT((Projects!$G$17:$G$46="Yes")*(7=Projects!$C$17:$C$46+Projects!$D$17:$D$46-1)*Projects!$B$17:$B$46*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Assumptions!$B$12/Projects!$D$17:$D$46*0.95)+SUMPRODUCT((Projects!$G$17:$G$46="Yes")*(7=Projects!$C$17:$C$46+Projects!$D$17:$D$46-1)*Projects!$B$17:$B$46*Assumptions!$B$12*0.05)+197289.25+83126.03,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Assumptions!$B$10/Projects!$D$17:$D$46*0.95)+SUMPRODUCT((Projects!$G$17:$G$46="Yes")*(8=Projects!$C$17:$C$46+Projects!$D$17:$D$46-1)*Projects!$B$17:$B$46*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Assumptions!$B$12/Projects!$D$17:$D$46*0.95)+SUMPRODUCT((Projects!$G$17:$G$46="Yes")*(8=Projects!$C$17:$C$46+Projects!$D$17:$D$46-1)*Projects!$B$17:$B$46*Assumptions!$B$12*0.05)+169595.35+54036.08,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Assumptions!$B$10/Projects!$D$17:$D$46*0.95)+SUMPRODUCT((Projects!$G$17:$G$46="Yes")*(9=Projects!$C$17:$C$46+Projects!$D$17:$D$46-1)*Projects!$B$17:$B$46*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Assumptions!$B$12/Projects!$D$17:$D$46*0.95)+SUMPRODUCT((Projects!$G$17:$G$46="Yes")*(9=Projects!$C$17:$C$46+Projects!$D$17:$D$46-1)*Projects!$B$17:$B$46*Assumptions!$B$12*0.05)+185750.1+40497.24,Actuals!N8)</f>
        <v>378161.545301715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Assumptions!$B$10/Projects!$D$17:$D$46*0.95)+SUMPRODUCT((Projects!$G$17:$G$46="Yes")*(10=Projects!$C$17:$C$46+Projects!$D$17:$D$46-1)*Projects!$B$17:$B$46*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Assumptions!$B$12/Projects!$D$17:$D$46*0.95)+SUMPRODUCT((Projects!$G$17:$G$46="Yes")*(10=Projects!$C$17:$C$46+Projects!$D$17:$D$46-1)*Projects!$B$17:$B$46*Assumptions!$B$12*0.05)+192704.46+51592,Actuals!O8)</f>
        <v>474412.390043777</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Assumptions!$B$10/Projects!$D$17:$D$46*0.95)+SUMPRODUCT((Projects!$G$17:$G$46="Yes")*(11=Projects!$C$17:$C$46+Projects!$D$17:$D$46-1)*Projects!$B$17:$B$46*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Assumptions!$B$12/Projects!$D$17:$D$46*0.95)+SUMPRODUCT((Projects!$G$17:$G$46="Yes")*(11=Projects!$C$17:$C$46+Projects!$D$17:$D$46-1)*Projects!$B$17:$B$46*Assumptions!$B$12*0.05)+167996.31+41736.77,Actuals!P8)</f>
        <v>472791.870726527</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Assumptions!$B$10/Projects!$D$17:$D$46*0.95)+SUMPRODUCT((Projects!$G$17:$G$46="Yes")*(12=Projects!$C$17:$C$46+Projects!$D$17:$D$46-1)*Projects!$B$17:$B$46*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Assumptions!$B$12/Projects!$D$17:$D$46*0.95)+SUMPRODUCT((Projects!$G$17:$G$46="Yes")*(12=Projects!$C$17:$C$46+Projects!$D$17:$D$46-1)*Projects!$B$17:$B$46*Assumptions!$B$12*0.05)+177880.09+50356.25,Actuals!Q8)</f>
        <v>491295.130726527</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Assumptions!$B$10/Projects!$D$17:$D$46*0.95)+SUMPRODUCT((Projects!$G$17:$G$46="Yes")*(13=Projects!$C$17:$C$46+Projects!$D$17:$D$46-1)*Projects!$B$17:$B$46*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Assumptions!$B$12/Projects!$D$17:$D$46*0.95)+SUMPRODUCT((Projects!$G$17:$G$46="Yes")*(13=Projects!$C$17:$C$46+Projects!$D$17:$D$46-1)*Projects!$B$17:$B$46*Assumptions!$B$12*0.05)+156532.47+42530.55,Actuals!R8)</f>
        <v>560735.846394611</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Assumptions!$B$10/Projects!$D$17:$D$46*0.95)+SUMPRODUCT((Projects!$G$17:$G$46="Yes")*(14=Projects!$C$17:$C$46+Projects!$D$17:$D$46-1)*Projects!$B$17:$B$46*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Assumptions!$B$12/Projects!$D$17:$D$46*0.95)+SUMPRODUCT((Projects!$G$17:$G$46="Yes")*(14=Projects!$C$17:$C$46+Projects!$D$17:$D$46-1)*Projects!$B$17:$B$46*Assumptions!$B$12*0.05)+123894.47+52270.25,Actuals!S8)</f>
        <v>590520.80899086</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Assumptions!$B$10/Projects!$D$17:$D$46*0.95)+SUMPRODUCT((Projects!$G$17:$G$46="Yes")*(15=Projects!$C$17:$C$46+Projects!$D$17:$D$46-1)*Projects!$B$17:$B$46*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Assumptions!$B$12/Projects!$D$17:$D$46*0.95)+SUMPRODUCT((Projects!$G$17:$G$46="Yes")*(15=Projects!$C$17:$C$46+Projects!$D$17:$D$46-1)*Projects!$B$17:$B$46*Assumptions!$B$12*0.05)+135161.17+49127.97,Actuals!T8)</f>
        <v>637574.20404461</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Assumptions!$B$10/Projects!$D$17:$D$46*0.95)+SUMPRODUCT((Projects!$G$17:$G$46="Yes")*(16=Projects!$C$17:$C$46+Projects!$D$17:$D$46-1)*Projects!$B$17:$B$46*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Assumptions!$B$12/Projects!$D$17:$D$46*0.95)+SUMPRODUCT((Projects!$G$17:$G$46="Yes")*(16=Projects!$C$17:$C$46+Projects!$D$17:$D$46-1)*Projects!$B$17:$B$46*Assumptions!$B$12*0.05)+149759.43+88120.25,Actuals!U8)</f>
        <v>754603.25871236</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Assumptions!$B$10/Projects!$D$17:$D$46*0.95)+SUMPRODUCT((Projects!$G$17:$G$46="Yes")*(17=Projects!$C$17:$C$46+Projects!$D$17:$D$46-1)*Projects!$B$17:$B$46*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Assumptions!$B$12/Projects!$D$17:$D$46*0.95)+SUMPRODUCT((Projects!$G$17:$G$46="Yes")*(17=Projects!$C$17:$C$46+Projects!$D$17:$D$46-1)*Projects!$B$17:$B$46*Assumptions!$B$12*0.05)+119578.88+56313.11,Actuals!V8)</f>
        <v>692615.56871236</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Assumptions!$B$10/Projects!$D$17:$D$46*0.95)+SUMPRODUCT((Projects!$G$17:$G$46="Yes")*(18=Projects!$C$17:$C$46+Projects!$D$17:$D$46-1)*Projects!$B$17:$B$46*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Assumptions!$B$12/Projects!$D$17:$D$46*0.95)+SUMPRODUCT((Projects!$G$17:$G$46="Yes")*(18=Projects!$C$17:$C$46+Projects!$D$17:$D$46-1)*Projects!$B$17:$B$46*Assumptions!$B$12*0.05)+51829.51+167929.79,Actuals!W8)</f>
        <v>736482.87871236</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Assumptions!$B$10/Projects!$D$17:$D$46*0.95)+SUMPRODUCT((Projects!$G$17:$G$46="Yes")*(19=Projects!$C$17:$C$46+Projects!$D$17:$D$46-1)*Projects!$B$17:$B$46*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Assumptions!$B$12/Projects!$D$17:$D$46*0.95)+SUMPRODUCT((Projects!$G$17:$G$46="Yes")*(19=Projects!$C$17:$C$46+Projects!$D$17:$D$46-1)*Projects!$B$17:$B$46*Assumptions!$B$12*0.05)+12036.71+106082.83,Actuals!X8)</f>
        <v>634843.11871236</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Assumptions!$B$10/Projects!$D$17:$D$46*0.95)+SUMPRODUCT((Projects!$G$17:$G$46="Yes")*(20=Projects!$C$17:$C$46+Projects!$D$17:$D$46-1)*Projects!$B$17:$B$46*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Assumptions!$B$12/Projects!$D$17:$D$46*0.95)+SUMPRODUCT((Projects!$G$17:$G$46="Yes")*(20=Projects!$C$17:$C$46+Projects!$D$17:$D$46-1)*Projects!$B$17:$B$46*Assumptions!$B$12*0.05)+0+217899.85,Actuals!Y8)</f>
        <v>802773.515863966</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Assumptions!$B$10/Projects!$D$17:$D$46*0.95)+SUMPRODUCT((Projects!$G$17:$G$46="Yes")*(21=Projects!$C$17:$C$46+Projects!$D$17:$D$46-1)*Projects!$B$17:$B$46*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Assumptions!$B$12/Projects!$D$17:$D$46*0.95)+SUMPRODUCT((Projects!$G$17:$G$46="Yes")*(21=Projects!$C$17:$C$46+Projects!$D$17:$D$46-1)*Projects!$B$17:$B$46*Assumptions!$B$12*0.05)+0+125465.1,Actuals!Z8)</f>
        <v>710338.765863966</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Assumptions!$B$10/Projects!$D$17:$D$46*0.95)+SUMPRODUCT((Projects!$G$17:$G$46="Yes")*(22=Projects!$C$17:$C$46+Projects!$D$17:$D$46-1)*Projects!$B$17:$B$46*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Assumptions!$B$12/Projects!$D$17:$D$46*0.95)+SUMPRODUCT((Projects!$G$17:$G$46="Yes")*(22=Projects!$C$17:$C$46+Projects!$D$17:$D$46-1)*Projects!$B$17:$B$46*Assumptions!$B$12*0.05)+0+197662.91,Actuals!AA8)</f>
        <v>782536.575863967</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Assumptions!$B$10/Projects!$D$17:$D$46*0.95)+SUMPRODUCT((Projects!$G$17:$G$46="Yes")*(23=Projects!$C$17:$C$46+Projects!$D$17:$D$46-1)*Projects!$B$17:$B$46*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Assumptions!$B$12/Projects!$D$17:$D$46*0.95)+SUMPRODUCT((Projects!$G$17:$G$46="Yes")*(23=Projects!$C$17:$C$46+Projects!$D$17:$D$46-1)*Projects!$B$17:$B$46*Assumptions!$B$12*0.05)+0+165055.08,Actuals!AB8)</f>
        <v>799244.478763266</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Assumptions!$B$10/Projects!$D$17:$D$46*0.95)+SUMPRODUCT((Projects!$G$17:$G$46="Yes")*(24=Projects!$C$17:$C$46+Projects!$D$17:$D$46-1)*Projects!$B$17:$B$46*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Assumptions!$B$12/Projects!$D$17:$D$46*0.95)+SUMPRODUCT((Projects!$G$17:$G$46="Yes")*(24=Projects!$C$17:$C$46+Projects!$D$17:$D$46-1)*Projects!$B$17:$B$46*Assumptions!$B$12*0.05)+0+112515.83,Actuals!AC8)</f>
        <v>692769.104132654</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Assumptions!$B$10/Projects!$D$17:$D$46*0.95)+SUMPRODUCT((Projects!$G$17:$G$46="Yes")*(25=Projects!$C$17:$C$46+Projects!$D$17:$D$46-1)*Projects!$B$17:$B$46*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Assumptions!$B$12/Projects!$D$17:$D$46*0.95)+SUMPRODUCT((Projects!$G$17:$G$46="Yes")*(25=Projects!$C$17:$C$46+Projects!$D$17:$D$46-1)*Projects!$B$17:$B$46*Assumptions!$B$12*0.05)+0+71206.06,Actuals!AD8)</f>
        <v>562068.651796679</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Assumptions!$B$10/Projects!$D$17:$D$46*0.95)+SUMPRODUCT((Projects!$G$17:$G$46="Yes")*(26=Projects!$C$17:$C$46+Projects!$D$17:$D$46-1)*Projects!$B$17:$B$46*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Assumptions!$B$12/Projects!$D$17:$D$46*0.95)+SUMPRODUCT((Projects!$G$17:$G$46="Yes")*(26=Projects!$C$17:$C$46+Projects!$D$17:$D$46-1)*Projects!$B$17:$B$46*Assumptions!$B$12*0.05)+0+84320.29,Actuals!AE8)</f>
        <v>575182.881796679</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Assumptions!$B$10/Projects!$D$17:$D$46*0.95)+SUMPRODUCT((Projects!$G$17:$G$46="Yes")*(27=Projects!$C$17:$C$46+Projects!$D$17:$D$46-1)*Projects!$B$17:$B$46*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Assumptions!$B$12/Projects!$D$17:$D$46*0.95)+SUMPRODUCT((Projects!$G$17:$G$46="Yes")*(27=Projects!$C$17:$C$46+Projects!$D$17:$D$46-1)*Projects!$B$17:$B$46*Assumptions!$B$12*0.05)+0+79138.58,Actuals!AF8)</f>
        <v>660092.582230612</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Assumptions!$B$10/Projects!$D$17:$D$46*0.95)+SUMPRODUCT((Projects!$G$17:$G$46="Yes")*(28=Projects!$C$17:$C$46+Projects!$D$17:$D$46-1)*Projects!$B$17:$B$46*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Assumptions!$B$12/Projects!$D$17:$D$46*0.95)+SUMPRODUCT((Projects!$G$17:$G$46="Yes")*(28=Projects!$C$17:$C$46+Projects!$D$17:$D$46-1)*Projects!$B$17:$B$46*Assumptions!$B$12*0.05)+0+97862.63,Actuals!AG8)</f>
        <v>757018.356972675</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Assumptions!$B$10/Projects!$D$17:$D$46*0.95)+SUMPRODUCT((Projects!$G$17:$G$46="Yes")*(29=Projects!$C$17:$C$46+Projects!$D$17:$D$46-1)*Projects!$B$17:$B$46*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Assumptions!$B$12/Projects!$D$17:$D$46*0.95)+SUMPRODUCT((Projects!$G$17:$G$46="Yes")*(29=Projects!$C$17:$C$46+Projects!$D$17:$D$46-1)*Projects!$B$17:$B$46*Assumptions!$B$12*0.05)+0+169949.87,Actuals!AH8)</f>
        <v>705645.0081713</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Assumptions!$B$10/Projects!$D$17:$D$46*0.95)+SUMPRODUCT((Projects!$G$17:$G$46="Yes")*(30=Projects!$C$17:$C$46+Projects!$D$17:$D$46-1)*Projects!$B$17:$B$46*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Assumptions!$B$12/Projects!$D$17:$D$46*0.95)+SUMPRODUCT((Projects!$G$17:$G$46="Yes")*(30=Projects!$C$17:$C$46+Projects!$D$17:$D$46-1)*Projects!$B$17:$B$46*Assumptions!$B$12*0.05)+0+157724.98,Actuals!AI8)</f>
        <v>627534.3968058</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Assumptions!$B$10/Projects!$D$17:$D$46*0.95)+SUMPRODUCT((Projects!$G$17:$G$46="Yes")*(31=Projects!$C$17:$C$46+Projects!$D$17:$D$46-1)*Projects!$B$17:$B$46*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Assumptions!$B$12/Projects!$D$17:$D$46*0.95)+SUMPRODUCT((Projects!$G$17:$G$46="Yes")*(31=Projects!$C$17:$C$46+Projects!$D$17:$D$46-1)*Projects!$B$17:$B$46*Assumptions!$B$12*0.05)+0+154201.06,Actuals!AJ8)</f>
        <v>624010.4768058</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Assumptions!$B$10/Projects!$D$17:$D$46*0.95)+SUMPRODUCT((Projects!$G$17:$G$46="Yes")*(32=Projects!$C$17:$C$46+Projects!$D$17:$D$46-1)*Projects!$B$17:$B$46*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Assumptions!$B$12/Projects!$D$17:$D$46*0.95)+SUMPRODUCT((Projects!$G$17:$G$46="Yes")*(32=Projects!$C$17:$C$46+Projects!$D$17:$D$46-1)*Projects!$B$17:$B$46*Assumptions!$B$12*0.05)+0+84129.61,Actuals!AK8)</f>
        <v>679763.0867508</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Assumptions!$B$10/Projects!$D$17:$D$46*0.95)+SUMPRODUCT((Projects!$G$17:$G$46="Yes")*(33=Projects!$C$17:$C$46+Projects!$D$17:$D$46-1)*Projects!$B$17:$B$46*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Assumptions!$B$12/Projects!$D$17:$D$46*0.95)+SUMPRODUCT((Projects!$G$17:$G$46="Yes")*(33=Projects!$C$17:$C$46+Projects!$D$17:$D$46-1)*Projects!$B$17:$B$46*Assumptions!$B$12*0.05)+0+69839.32,Actuals!AL8)</f>
        <v>467991.318028873</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Assumptions!$B$10/Projects!$D$17:$D$46*0.95)+SUMPRODUCT((Projects!$G$17:$G$46="Yes")*(34=Projects!$C$17:$C$46+Projects!$D$17:$D$46-1)*Projects!$B$17:$B$46*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Assumptions!$B$12/Projects!$D$17:$D$46*0.95)+SUMPRODUCT((Projects!$G$17:$G$46="Yes")*(34=Projects!$C$17:$C$46+Projects!$D$17:$D$46-1)*Projects!$B$17:$B$46*Assumptions!$B$12*0.05)+0+78016.5,Actuals!AM8)</f>
        <v>461749.062589123</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Assumptions!$B$10/Projects!$D$17:$D$46*0.95)+SUMPRODUCT((Projects!$G$17:$G$46="Yes")*(35=Projects!$C$17:$C$46+Projects!$D$17:$D$46-1)*Projects!$B$17:$B$46*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Assumptions!$B$12/Projects!$D$17:$D$46*0.95)+SUMPRODUCT((Projects!$G$17:$G$46="Yes")*(35=Projects!$C$17:$C$46+Projects!$D$17:$D$46-1)*Projects!$B$17:$B$46*Assumptions!$B$12*0.05)+0+84806.09,Actuals!AN8)</f>
        <v>341661.623253623</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Assumptions!$B$10/Projects!$D$17:$D$46*0.95)+SUMPRODUCT((Projects!$G$17:$G$46="Yes")*(36=Projects!$C$17:$C$46+Projects!$D$17:$D$46-1)*Projects!$B$17:$B$46*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Assumptions!$B$12/Projects!$D$17:$D$46*0.95)+SUMPRODUCT((Projects!$G$17:$G$46="Yes")*(36=Projects!$C$17:$C$46+Projects!$D$17:$D$46-1)*Projects!$B$17:$B$46*Assumptions!$B$12*0.05)+0+22816.35,Actuals!AO8)</f>
        <v>279671.883253623</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Assumptions!$B$10/Projects!$D$17:$D$46*0.95)+SUMPRODUCT((Projects!$G$17:$G$46="Yes")*(37=Projects!$C$17:$C$46+Projects!$D$17:$D$46-1)*Projects!$B$17:$B$46*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Assumptions!$B$12/Projects!$D$17:$D$46*0.95)+SUMPRODUCT((Projects!$G$17:$G$46="Yes")*(37=Projects!$C$17:$C$46+Projects!$D$17:$D$46-1)*Projects!$B$17:$B$46*Assumptions!$B$12*0.05)+0,Actuals!AP8)</f>
        <v>256855.533253623</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Assumptions!$B$10/Projects!$D$17:$D$46*0.95)+SUMPRODUCT((Projects!$G$17:$G$46="Yes")*(38=Projects!$C$17:$C$46+Projects!$D$17:$D$46-1)*Projects!$B$17:$B$46*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Assumptions!$B$12/Projects!$D$17:$D$46*0.95)+SUMPRODUCT((Projects!$G$17:$G$46="Yes")*(38=Projects!$C$17:$C$46+Projects!$D$17:$D$46-1)*Projects!$B$17:$B$46*Assumptions!$B$12*0.05)+0,Actuals!AQ8)</f>
        <v>256855.533253623</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Assumptions!$B$10/Projects!$D$17:$D$46*0.95)+SUMPRODUCT((Projects!$G$17:$G$46="Yes")*(39=Projects!$C$17:$C$46+Projects!$D$17:$D$46-1)*Projects!$B$17:$B$46*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Assumptions!$B$12/Projects!$D$17:$D$46*0.95)+SUMPRODUCT((Projects!$G$17:$G$46="Yes")*(39=Projects!$C$17:$C$46+Projects!$D$17:$D$46-1)*Projects!$B$17:$B$46*Assumptions!$B$12*0.05)+0,Actuals!AR8)</f>
        <v>256855.533253623</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Assumptions!$B$10/Projects!$D$17:$D$46*0.95)+SUMPRODUCT((Projects!$G$17:$G$46="Yes")*(40=Projects!$C$17:$C$46+Projects!$D$17:$D$46-1)*Projects!$B$17:$B$46*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Assumptions!$B$12/Projects!$D$17:$D$46*0.95)+SUMPRODUCT((Projects!$G$17:$G$46="Yes")*(40=Projects!$C$17:$C$46+Projects!$D$17:$D$46-1)*Projects!$B$17:$B$46*Assumptions!$B$12*0.05)+0,Actuals!AS8)</f>
        <v>256855.533253623</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Assumptions!$B$10/Projects!$D$17:$D$46*0.95)+SUMPRODUCT((Projects!$G$17:$G$46="Yes")*(41=Projects!$C$17:$C$46+Projects!$D$17:$D$46-1)*Projects!$B$17:$B$46*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Assumptions!$B$12/Projects!$D$17:$D$46*0.95)+SUMPRODUCT((Projects!$G$17:$G$46="Yes")*(41=Projects!$C$17:$C$46+Projects!$D$17:$D$46-1)*Projects!$B$17:$B$46*Assumptions!$B$12*0.05)+0,Actuals!AT8)</f>
        <v>256855.533253623</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Assumptions!$B$10/Projects!$D$17:$D$46*0.95)+SUMPRODUCT((Projects!$G$17:$G$46="Yes")*(42=Projects!$C$17:$C$46+Projects!$D$17:$D$46-1)*Projects!$B$17:$B$46*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Assumptions!$B$12/Projects!$D$17:$D$46*0.95)+SUMPRODUCT((Projects!$G$17:$G$46="Yes")*(42=Projects!$C$17:$C$46+Projects!$D$17:$D$46-1)*Projects!$B$17:$B$46*Assumptions!$B$12*0.05)+0,Actuals!AU8)</f>
        <v>412561.905361123</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Assumptions!$B$10/Projects!$D$17:$D$46*0.95)+SUMPRODUCT((Projects!$G$17:$G$46="Yes")*(43=Projects!$C$17:$C$46+Projects!$D$17:$D$46-1)*Projects!$B$17:$B$46*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Assumptions!$B$12/Projects!$D$17:$D$46*0.95)+SUMPRODUCT((Projects!$G$17:$G$46="Yes")*(43=Projects!$C$17:$C$46+Projects!$D$17:$D$46-1)*Projects!$B$17:$B$46*Assumptions!$B$12*0.05)+0,Actuals!AV8)</f>
        <v>244325.818198094</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Assumptions!$B$10/Projects!$D$17:$D$46*0.95)+SUMPRODUCT((Projects!$G$17:$G$46="Yes")*(44=Projects!$C$17:$C$46+Projects!$D$17:$D$46-1)*Projects!$B$17:$B$46*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Assumptions!$B$12/Projects!$D$17:$D$46*0.95)+SUMPRODUCT((Projects!$G$17:$G$46="Yes")*(44=Projects!$C$17:$C$46+Projects!$D$17:$D$46-1)*Projects!$B$17:$B$46*Assumptions!$B$12*0.05)+0,Actuals!AW8)</f>
        <v>90091.4104339333</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Assumptions!$B$10/Projects!$D$17:$D$46*0.95)+SUMPRODUCT((Projects!$G$17:$G$46="Yes")*(45=Projects!$C$17:$C$46+Projects!$D$17:$D$46-1)*Projects!$B$17:$B$46*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Assumptions!$B$12/Projects!$D$17:$D$46*0.95)+SUMPRODUCT((Projects!$G$17:$G$46="Yes")*(45=Projects!$C$17:$C$46+Projects!$D$17:$D$46-1)*Projects!$B$17:$B$46*Assumptions!$B$12*0.05)+0,Actuals!AX8)</f>
        <v>90091.4104339333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Assumptions!$B$10/Projects!$D$17:$D$46*0.95)+SUMPRODUCT((Projects!$G$17:$G$46="Yes")*(46=Projects!$C$17:$C$46+Projects!$D$17:$D$46-1)*Projects!$B$17:$B$46*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Assumptions!$B$12/Projects!$D$17:$D$46*0.95)+SUMPRODUCT((Projects!$G$17:$G$46="Yes")*(46=Projects!$C$17:$C$46+Projects!$D$17:$D$46-1)*Projects!$B$17:$B$46*Assumptions!$B$12*0.05)+0,Actuals!AY8)</f>
        <v>90091.4104339333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Assumptions!$B$10/Projects!$D$17:$D$46*0.95)+SUMPRODUCT((Projects!$G$17:$G$46="Yes")*(47=Projects!$C$17:$C$46+Projects!$D$17:$D$46-1)*Projects!$B$17:$B$46*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Assumptions!$B$12/Projects!$D$17:$D$46*0.95)+SUMPRODUCT((Projects!$G$17:$G$46="Yes")*(47=Projects!$C$17:$C$46+Projects!$D$17:$D$46-1)*Projects!$B$17:$B$46*Assumptions!$B$12*0.05)+0,Actuals!AZ8)</f>
        <v>90091.4104339333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Assumptions!$B$10/Projects!$D$17:$D$46*0.95)+SUMPRODUCT((Projects!$G$17:$G$46="Yes")*(48=Projects!$C$17:$C$46+Projects!$D$17:$D$46-1)*Projects!$B$17:$B$46*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Assumptions!$B$12/Projects!$D$17:$D$46*0.95)+SUMPRODUCT((Projects!$G$17:$G$46="Yes")*(48=Projects!$C$17:$C$46+Projects!$D$17:$D$46-1)*Projects!$B$17:$B$46*Assumptions!$B$12*0.05)+0,Actuals!BA8)</f>
        <v>90091.4104339333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Assumptions!$B$10/Projects!$D$17:$D$46*0.95)+SUMPRODUCT((Projects!$G$17:$G$46="Yes")*(49=Projects!$C$17:$C$46+Projects!$D$17:$D$46-1)*Projects!$B$17:$B$46*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Assumptions!$B$12/Projects!$D$17:$D$46*0.95)+SUMPRODUCT((Projects!$G$17:$G$46="Yes")*(49=Projects!$C$17:$C$46+Projects!$D$17:$D$46-1)*Projects!$B$17:$B$46*Assumptions!$B$12*0.05)+0,Actuals!BB8)</f>
        <v>90091.4104339333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Assumptions!$B$10/Projects!$D$17:$D$46*0.95)+SUMPRODUCT((Projects!$G$17:$G$46="Yes")*(50=Projects!$C$17:$C$46+Projects!$D$17:$D$46-1)*Projects!$B$17:$B$46*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Assumptions!$B$12/Projects!$D$17:$D$46*0.95)+SUMPRODUCT((Projects!$G$17:$G$46="Yes")*(50=Projects!$C$17:$C$46+Projects!$D$17:$D$46-1)*Projects!$B$17:$B$46*Assumptions!$B$12*0.05)+0,Actuals!BC8)</f>
        <v>90091.4104339333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Assumptions!$B$10/Projects!$D$17:$D$46*0.95)+SUMPRODUCT((Projects!$G$17:$G$46="Yes")*(51=Projects!$C$17:$C$46+Projects!$D$17:$D$46-1)*Projects!$B$17:$B$46*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Assumptions!$B$12/Projects!$D$17:$D$46*0.95)+SUMPRODUCT((Projects!$G$17:$G$46="Yes")*(51=Projects!$C$17:$C$46+Projects!$D$17:$D$46-1)*Projects!$B$17:$B$46*Assumptions!$B$12*0.05)+0,Actuals!BD8)</f>
        <v>90091.4104339333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Assumptions!$B$10/Projects!$D$17:$D$46*0.95)+SUMPRODUCT((Projects!$G$17:$G$46="Yes")*(52=Projects!$C$17:$C$46+Projects!$D$17:$D$46-1)*Projects!$B$17:$B$46*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Assumptions!$B$12/Projects!$D$17:$D$46*0.95)+SUMPRODUCT((Projects!$G$17:$G$46="Yes")*(52=Projects!$C$17:$C$46+Projects!$D$17:$D$46-1)*Projects!$B$17:$B$46*Assumptions!$B$12*0.05)+0,Actuals!BE8)</f>
        <v>90091.4104339333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Assumptions!$B$10/Projects!$D$17:$D$46*0.95)+SUMPRODUCT((Projects!$G$17:$G$46="Yes")*(53=Projects!$C$17:$C$46+Projects!$D$17:$D$46-1)*Projects!$B$17:$B$46*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Assumptions!$B$12/Projects!$D$17:$D$46*0.95)+SUMPRODUCT((Projects!$G$17:$G$46="Yes")*(53=Projects!$C$17:$C$46+Projects!$D$17:$D$46-1)*Projects!$B$17:$B$46*Assumptions!$B$12*0.05)+0,Actuals!BF8)</f>
        <v>90091.4104339333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Assumptions!$B$10/Projects!$D$17:$D$46*0.95)+SUMPRODUCT((Projects!$G$17:$G$46="Yes")*(54=Projects!$C$17:$C$46+Projects!$D$17:$D$46-1)*Projects!$B$17:$B$46*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Assumptions!$B$12/Projects!$D$17:$D$46*0.95)+SUMPRODUCT((Projects!$G$17:$G$46="Yes")*(54=Projects!$C$17:$C$46+Projects!$D$17:$D$46-1)*Projects!$B$17:$B$46*Assumptions!$B$12*0.05)+0,Actuals!BG8)</f>
        <v>90091.4104339333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Assumptions!$B$10/Projects!$D$17:$D$46*0.95)+SUMPRODUCT((Projects!$G$17:$G$46="Yes")*(55=Projects!$C$17:$C$46+Projects!$D$17:$D$46-1)*Projects!$B$17:$B$46*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Assumptions!$B$12/Projects!$D$17:$D$46*0.95)+SUMPRODUCT((Projects!$G$17:$G$46="Yes")*(55=Projects!$C$17:$C$46+Projects!$D$17:$D$46-1)*Projects!$B$17:$B$46*Assumptions!$B$12*0.05)+0,Actuals!BH8)</f>
        <v>90091.4104339333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Assumptions!$B$10/Projects!$D$17:$D$46*0.95)+SUMPRODUCT((Projects!$G$17:$G$46="Yes")*(56=Projects!$C$17:$C$46+Projects!$D$17:$D$46-1)*Projects!$B$17:$B$46*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Assumptions!$B$12/Projects!$D$17:$D$46*0.95)+SUMPRODUCT((Projects!$G$17:$G$46="Yes")*(56=Projects!$C$17:$C$46+Projects!$D$17:$D$46-1)*Projects!$B$17:$B$46*Assumptions!$B$12*0.05)+0,Actuals!BI8)</f>
        <v>232341.005855933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Assumptions!$B$10/Projects!$D$17:$D$46*0.95)+SUMPRODUCT((Projects!$G$17:$G$46="Yes")*(57=Projects!$C$17:$C$46+Projects!$D$17:$D$46-1)*Projects!$B$17:$B$46*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Assumptions!$B$12/Projects!$D$17:$D$46*0.95)+SUMPRODUCT((Projects!$G$17:$G$46="Yes")*(57=Projects!$C$17:$C$46+Projects!$D$17:$D$46-1)*Projects!$B$17:$B$46*Assumptions!$B$12*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Assumptions!$B$10/Projects!$D$17:$D$46*0.95)+SUMPRODUCT((Projects!$G$17:$G$46="Yes")*(58=Projects!$C$17:$C$46+Projects!$D$17:$D$46-1)*Projects!$B$17:$B$46*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Assumptions!$B$12/Projects!$D$17:$D$46*0.95)+SUMPRODUCT((Projects!$G$17:$G$46="Yes")*(58=Projects!$C$17:$C$46+Projects!$D$17:$D$46-1)*Projects!$B$17:$B$46*Assumptions!$B$12*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Assumptions!$B$10/Projects!$D$17:$D$46*0.95)+SUMPRODUCT((Projects!$G$17:$G$46="Yes")*(59=Projects!$C$17:$C$46+Projects!$D$17:$D$46-1)*Projects!$B$17:$B$46*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Assumptions!$B$12/Projects!$D$17:$D$46*0.95)+SUMPRODUCT((Projects!$G$17:$G$46="Yes")*(59=Projects!$C$17:$C$46+Projects!$D$17:$D$46-1)*Projects!$B$17:$B$46*Assumptions!$B$12*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Assumptions!$B$10/Projects!$D$17:$D$46*0.95)+SUMPRODUCT((Projects!$G$17:$G$46="Yes")*(60=Projects!$C$17:$C$46+Projects!$D$17:$D$46-1)*Projects!$B$17:$B$46*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Assumptions!$B$12/Projects!$D$17:$D$46*0.95)+SUMPRODUCT((Projects!$G$17:$G$46="Yes")*(60=Projects!$C$17:$C$46+Projects!$D$17:$D$46-1)*Projects!$B$17:$B$46*Assumptions!$B$12*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Assumptions!$B$10/Projects!$D$17:$D$46*0.95)+SUMPRODUCT((Projects!$G$17:$G$46="Yes")*(61=Projects!$C$17:$C$46+Projects!$D$17:$D$46-1)*Projects!$B$17:$B$46*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Assumptions!$B$12/Projects!$D$17:$D$46*0.95)+SUMPRODUCT((Projects!$G$17:$G$46="Yes")*(61=Projects!$C$17:$C$46+Projects!$D$17:$D$46-1)*Projects!$B$17:$B$46*Assumptions!$B$12*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Assumptions!$B$10/Projects!$D$17:$D$46*0.95)+SUMPRODUCT((Projects!$G$17:$G$46="Yes")*(62=Projects!$C$17:$C$46+Projects!$D$17:$D$46-1)*Projects!$B$17:$B$46*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Assumptions!$B$12/Projects!$D$17:$D$46*0.95)+SUMPRODUCT((Projects!$G$17:$G$46="Yes")*(62=Projects!$C$17:$C$46+Projects!$D$17:$D$46-1)*Projects!$B$17:$B$46*Assumptions!$B$12*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Assumptions!$B$10/Projects!$D$17:$D$46*0.95)+SUMPRODUCT((Projects!$G$17:$G$46="Yes")*(63=Projects!$C$17:$C$46+Projects!$D$17:$D$46-1)*Projects!$B$17:$B$46*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Assumptions!$B$12/Projects!$D$17:$D$46*0.95)+SUMPRODUCT((Projects!$G$17:$G$46="Yes")*(63=Projects!$C$17:$C$46+Projects!$D$17:$D$46-1)*Projects!$B$17:$B$46*Assumptions!$B$12*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Assumptions!$B$10/Projects!$D$17:$D$46*0.95)+SUMPRODUCT((Projects!$G$17:$G$46="Yes")*(64=Projects!$C$17:$C$46+Projects!$D$17:$D$46-1)*Projects!$B$17:$B$46*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Assumptions!$B$12/Projects!$D$17:$D$46*0.95)+SUMPRODUCT((Projects!$G$17:$G$46="Yes")*(64=Projects!$C$17:$C$46+Projects!$D$17:$D$46-1)*Projects!$B$17:$B$46*Assumptions!$B$12*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Assumptions!$B$10/Projects!$D$17:$D$46*0.95)+SUMPRODUCT((Projects!$G$17:$G$46="Yes")*(65=Projects!$C$17:$C$46+Projects!$D$17:$D$46-1)*Projects!$B$17:$B$46*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Assumptions!$B$12/Projects!$D$17:$D$46*0.95)+SUMPRODUCT((Projects!$G$17:$G$46="Yes")*(65=Projects!$C$17:$C$46+Projects!$D$17:$D$46-1)*Projects!$B$17:$B$46*Assumptions!$B$12*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Assumptions!$B$10/Projects!$D$17:$D$46*0.95)+SUMPRODUCT((Projects!$G$17:$G$46="Yes")*(66=Projects!$C$17:$C$46+Projects!$D$17:$D$46-1)*Projects!$B$17:$B$46*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Assumptions!$B$12/Projects!$D$17:$D$46*0.95)+SUMPRODUCT((Projects!$G$17:$G$46="Yes")*(66=Projects!$C$17:$C$46+Projects!$D$17:$D$46-1)*Projects!$B$17:$B$46*Assumptions!$B$12*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Assumptions!$B$10/Projects!$D$17:$D$46*0.95)+SUMPRODUCT((Projects!$G$17:$G$46="Yes")*(67=Projects!$C$17:$C$46+Projects!$D$17:$D$46-1)*Projects!$B$17:$B$46*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Assumptions!$B$12/Projects!$D$17:$D$46*0.95)+SUMPRODUCT((Projects!$G$17:$G$46="Yes")*(67=Projects!$C$17:$C$46+Projects!$D$17:$D$46-1)*Projects!$B$17:$B$46*Assumptions!$B$12*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Assumptions!$B$10/Projects!$D$17:$D$46*0.95)+SUMPRODUCT((Projects!$G$17:$G$46="Yes")*(68=Projects!$C$17:$C$46+Projects!$D$17:$D$46-1)*Projects!$B$17:$B$46*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Assumptions!$B$12/Projects!$D$17:$D$46*0.95)+SUMPRODUCT((Projects!$G$17:$G$46="Yes")*(68=Projects!$C$17:$C$46+Projects!$D$17:$D$46-1)*Projects!$B$17:$B$46*Assumptions!$B$12*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Assumptions!$B$10/Projects!$D$17:$D$46*0.95)+SUMPRODUCT((Projects!$G$17:$G$46="Yes")*(69=Projects!$C$17:$C$46+Projects!$D$17:$D$46-1)*Projects!$B$17:$B$46*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Assumptions!$B$12/Projects!$D$17:$D$46*0.95)+SUMPRODUCT((Projects!$G$17:$G$46="Yes")*(69=Projects!$C$17:$C$46+Projects!$D$17:$D$46-1)*Projects!$B$17:$B$46*Assumptions!$B$12*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Assumptions!$B$10/Projects!$D$17:$D$46*0.95)+SUMPRODUCT((Projects!$G$17:$G$46="Yes")*(70=Projects!$C$17:$C$46+Projects!$D$17:$D$46-1)*Projects!$B$17:$B$46*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Assumptions!$B$12/Projects!$D$17:$D$46*0.95)+SUMPRODUCT((Projects!$G$17:$G$46="Yes")*(70=Projects!$C$17:$C$46+Projects!$D$17:$D$46-1)*Projects!$B$17:$B$46*Assumptions!$B$12*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Assumptions!$B$10/Projects!$D$17:$D$46*0.95)+SUMPRODUCT((Projects!$G$17:$G$46="Yes")*(71=Projects!$C$17:$C$46+Projects!$D$17:$D$46-1)*Projects!$B$17:$B$46*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Assumptions!$B$12/Projects!$D$17:$D$46*0.95)+SUMPRODUCT((Projects!$G$17:$G$46="Yes")*(71=Projects!$C$17:$C$46+Projects!$D$17:$D$46-1)*Projects!$B$17:$B$46*Assumptions!$B$12*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Assumptions!$B$10/Projects!$D$17:$D$46*0.95)+SUMPRODUCT((Projects!$G$17:$G$46="Yes")*(72=Projects!$C$17:$C$46+Projects!$D$17:$D$46-1)*Projects!$B$17:$B$46*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Assumptions!$B$12/Projects!$D$17:$D$46*0.95)+SUMPRODUCT((Projects!$G$17:$G$46="Yes")*(72=Projects!$C$17:$C$46+Projects!$D$17:$D$46-1)*Projects!$B$17:$B$46*Assumptions!$B$12*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Assumptions!$B$10/Projects!$D$17:$D$46*0.95)+SUMPRODUCT((Projects!$G$17:$G$46="Yes")*(73=Projects!$C$17:$C$46+Projects!$D$17:$D$46-1)*Projects!$B$17:$B$46*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Assumptions!$B$12/Projects!$D$17:$D$46*0.95)+SUMPRODUCT((Projects!$G$17:$G$46="Yes")*(73=Projects!$C$17:$C$46+Projects!$D$17:$D$46-1)*Projects!$B$17:$B$46*Assumptions!$B$12*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Assumptions!$B$10/Projects!$D$17:$D$46*0.95)+SUMPRODUCT((Projects!$G$17:$G$46="Yes")*(74=Projects!$C$17:$C$46+Projects!$D$17:$D$46-1)*Projects!$B$17:$B$46*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Assumptions!$B$12/Projects!$D$17:$D$46*0.95)+SUMPRODUCT((Projects!$G$17:$G$46="Yes")*(74=Projects!$C$17:$C$46+Projects!$D$17:$D$46-1)*Projects!$B$17:$B$46*Assumptions!$B$12*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Assumptions!$B$10/Projects!$D$17:$D$46*0.95)+SUMPRODUCT((Projects!$G$17:$G$46="Yes")*(75=Projects!$C$17:$C$46+Projects!$D$17:$D$46-1)*Projects!$B$17:$B$46*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Assumptions!$B$12/Projects!$D$17:$D$46*0.95)+SUMPRODUCT((Projects!$G$17:$G$46="Yes")*(75=Projects!$C$17:$C$46+Projects!$D$17:$D$46-1)*Projects!$B$17:$B$46*Assumptions!$B$12*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Assumptions!$B$10/Projects!$D$17:$D$46*0.95)+SUMPRODUCT((Projects!$G$17:$G$46="Yes")*(76=Projects!$C$17:$C$46+Projects!$D$17:$D$46-1)*Projects!$B$17:$B$46*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Assumptions!$B$12/Projects!$D$17:$D$46*0.95)+SUMPRODUCT((Projects!$G$17:$G$46="Yes")*(76=Projects!$C$17:$C$46+Projects!$D$17:$D$46-1)*Projects!$B$17:$B$46*Assumptions!$B$12*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Assumptions!$B$10/Projects!$D$17:$D$46*0.95)+SUMPRODUCT((Projects!$G$17:$G$46="Yes")*(77=Projects!$C$17:$C$46+Projects!$D$17:$D$46-1)*Projects!$B$17:$B$46*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Assumptions!$B$12/Projects!$D$17:$D$46*0.95)+SUMPRODUCT((Projects!$G$17:$G$46="Yes")*(77=Projects!$C$17:$C$46+Projects!$D$17:$D$46-1)*Projects!$B$17:$B$46*Assumptions!$B$12*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Assumptions!$B$10/Projects!$D$17:$D$46*0.95)+SUMPRODUCT((Projects!$G$17:$G$46="Yes")*(78=Projects!$C$17:$C$46+Projects!$D$17:$D$46-1)*Projects!$B$17:$B$46*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Assumptions!$B$12/Projects!$D$17:$D$46*0.95)+SUMPRODUCT((Projects!$G$17:$G$46="Yes")*(78=Projects!$C$17:$C$46+Projects!$D$17:$D$46-1)*Projects!$B$17:$B$46*Assumptions!$B$12*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Assumptions!$B$10/Projects!$D$17:$D$46*0.95)+SUMPRODUCT((Projects!$G$17:$G$46="Yes")*(79=Projects!$C$17:$C$46+Projects!$D$17:$D$46-1)*Projects!$B$17:$B$46*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Assumptions!$B$12/Projects!$D$17:$D$46*0.95)+SUMPRODUCT((Projects!$G$17:$G$46="Yes")*(79=Projects!$C$17:$C$46+Projects!$D$17:$D$46-1)*Projects!$B$17:$B$46*Assumptions!$B$12*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Assumptions!$B$10/Projects!$D$17:$D$46*0.95)+SUMPRODUCT((Projects!$G$17:$G$46="Yes")*(80=Projects!$C$17:$C$46+Projects!$D$17:$D$46-1)*Projects!$B$17:$B$46*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Assumptions!$B$12/Projects!$D$17:$D$46*0.95)+SUMPRODUCT((Projects!$G$17:$G$46="Yes")*(80=Projects!$C$17:$C$46+Projects!$D$17:$D$46-1)*Projects!$B$17:$B$46*Assumptions!$B$12*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Assumptions!$B$10/Projects!$D$17:$D$46*0.95)+SUMPRODUCT((Projects!$G$17:$G$46="Yes")*(81=Projects!$C$17:$C$46+Projects!$D$17:$D$46-1)*Projects!$B$17:$B$46*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Assumptions!$B$12/Projects!$D$17:$D$46*0.95)+SUMPRODUCT((Projects!$G$17:$G$46="Yes")*(81=Projects!$C$17:$C$46+Projects!$D$17:$D$46-1)*Projects!$B$17:$B$46*Assumptions!$B$12*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Assumptions!$B$10/Projects!$D$17:$D$46*0.95)+SUMPRODUCT((Projects!$G$17:$G$46="Yes")*(82=Projects!$C$17:$C$46+Projects!$D$17:$D$46-1)*Projects!$B$17:$B$46*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Assumptions!$B$12/Projects!$D$17:$D$46*0.95)+SUMPRODUCT((Projects!$G$17:$G$46="Yes")*(82=Projects!$C$17:$C$46+Projects!$D$17:$D$46-1)*Projects!$B$17:$B$46*Assumptions!$B$12*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Assumptions!$B$10/Projects!$D$17:$D$46*0.95)+SUMPRODUCT((Projects!$G$17:$G$46="Yes")*(83=Projects!$C$17:$C$46+Projects!$D$17:$D$46-1)*Projects!$B$17:$B$46*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Assumptions!$B$12/Projects!$D$17:$D$46*0.95)+SUMPRODUCT((Projects!$G$17:$G$46="Yes")*(83=Projects!$C$17:$C$46+Projects!$D$17:$D$46-1)*Projects!$B$17:$B$46*Assumptions!$B$12*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Assumptions!$B$10/Projects!$D$17:$D$46*0.95)+SUMPRODUCT((Projects!$G$17:$G$46="Yes")*(84=Projects!$C$17:$C$46+Projects!$D$17:$D$46-1)*Projects!$B$17:$B$46*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Assumptions!$B$12/Projects!$D$17:$D$46*0.95)+SUMPRODUCT((Projects!$G$17:$G$46="Yes")*(84=Projects!$C$17:$C$46+Projects!$D$17:$D$46-1)*Projects!$B$17:$B$46*Assumptions!$B$12*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Assumptions!$B$10/Projects!$D$17:$D$46*0.95)+SUMPRODUCT((Projects!$G$17:$G$46="Yes")*(85=Projects!$C$17:$C$46+Projects!$D$17:$D$46-1)*Projects!$B$17:$B$46*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Assumptions!$B$12/Projects!$D$17:$D$46*0.95)+SUMPRODUCT((Projects!$G$17:$G$46="Yes")*(85=Projects!$C$17:$C$46+Projects!$D$17:$D$46-1)*Projects!$B$17:$B$46*Assumptions!$B$12*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Assumptions!$B$10/Projects!$D$17:$D$46*0.95)+SUMPRODUCT((Projects!$G$17:$G$46="Yes")*(86=Projects!$C$17:$C$46+Projects!$D$17:$D$46-1)*Projects!$B$17:$B$46*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Assumptions!$B$12/Projects!$D$17:$D$46*0.95)+SUMPRODUCT((Projects!$G$17:$G$46="Yes")*(86=Projects!$C$17:$C$46+Projects!$D$17:$D$46-1)*Projects!$B$17:$B$46*Assumptions!$B$12*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Assumptions!$B$10/Projects!$D$17:$D$46*0.95)+SUMPRODUCT((Projects!$G$17:$G$46="Yes")*(87=Projects!$C$17:$C$46+Projects!$D$17:$D$46-1)*Projects!$B$17:$B$46*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Assumptions!$B$12/Projects!$D$17:$D$46*0.95)+SUMPRODUCT((Projects!$G$17:$G$46="Yes")*(87=Projects!$C$17:$C$46+Projects!$D$17:$D$46-1)*Projects!$B$17:$B$46*Assumptions!$B$12*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Assumptions!$B$10/Projects!$D$17:$D$46*0.95)+SUMPRODUCT((Projects!$G$17:$G$46="Yes")*(88=Projects!$C$17:$C$46+Projects!$D$17:$D$46-1)*Projects!$B$17:$B$46*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Assumptions!$B$12/Projects!$D$17:$D$46*0.95)+SUMPRODUCT((Projects!$G$17:$G$46="Yes")*(88=Projects!$C$17:$C$46+Projects!$D$17:$D$46-1)*Projects!$B$17:$B$46*Assumptions!$B$12*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Assumptions!$B$10/Projects!$D$17:$D$46*0.95)+SUMPRODUCT((Projects!$G$17:$G$46="Yes")*(89=Projects!$C$17:$C$46+Projects!$D$17:$D$46-1)*Projects!$B$17:$B$46*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Assumptions!$B$12/Projects!$D$17:$D$46*0.95)+SUMPRODUCT((Projects!$G$17:$G$46="Yes")*(89=Projects!$C$17:$C$46+Projects!$D$17:$D$46-1)*Projects!$B$17:$B$46*Assumptions!$B$12*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Assumptions!$B$10/Projects!$D$17:$D$46*0.95)+SUMPRODUCT((Projects!$G$17:$G$46="Yes")*(90=Projects!$C$17:$C$46+Projects!$D$17:$D$46-1)*Projects!$B$17:$B$46*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Assumptions!$B$12/Projects!$D$17:$D$46*0.95)+SUMPRODUCT((Projects!$G$17:$G$46="Yes")*(90=Projects!$C$17:$C$46+Projects!$D$17:$D$46-1)*Projects!$B$17:$B$46*Assumptions!$B$12*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Assumptions!$B$10/Projects!$D$17:$D$46*0.95)+SUMPRODUCT((Projects!$G$17:$G$46="Yes")*(91=Projects!$C$17:$C$46+Projects!$D$17:$D$46-1)*Projects!$B$17:$B$46*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Assumptions!$B$12/Projects!$D$17:$D$46*0.95)+SUMPRODUCT((Projects!$G$17:$G$46="Yes")*(91=Projects!$C$17:$C$46+Projects!$D$17:$D$46-1)*Projects!$B$17:$B$46*Assumptions!$B$12*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Assumptions!$B$10/Projects!$D$17:$D$46*0.95)+SUMPRODUCT((Projects!$G$17:$G$46="Yes")*(92=Projects!$C$17:$C$46+Projects!$D$17:$D$46-1)*Projects!$B$17:$B$46*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Assumptions!$B$12/Projects!$D$17:$D$46*0.95)+SUMPRODUCT((Projects!$G$17:$G$46="Yes")*(92=Projects!$C$17:$C$46+Projects!$D$17:$D$46-1)*Projects!$B$17:$B$46*Assumptions!$B$12*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Assumptions!$B$10/Projects!$D$17:$D$46*0.95)+SUMPRODUCT((Projects!$G$17:$G$46="Yes")*(93=Projects!$C$17:$C$46+Projects!$D$17:$D$46-1)*Projects!$B$17:$B$46*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Assumptions!$B$12/Projects!$D$17:$D$46*0.95)+SUMPRODUCT((Projects!$G$17:$G$46="Yes")*(93=Projects!$C$17:$C$46+Projects!$D$17:$D$46-1)*Projects!$B$17:$B$46*Assumptions!$B$12*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Assumptions!$B$10/Projects!$D$17:$D$46*0.95)+SUMPRODUCT((Projects!$G$17:$G$46="Yes")*(94=Projects!$C$17:$C$46+Projects!$D$17:$D$46-1)*Projects!$B$17:$B$46*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Assumptions!$B$12/Projects!$D$17:$D$46*0.95)+SUMPRODUCT((Projects!$G$17:$G$46="Yes")*(94=Projects!$C$17:$C$46+Projects!$D$17:$D$46-1)*Projects!$B$17:$B$46*Assumptions!$B$12*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Assumptions!$B$10/Projects!$D$17:$D$46*0.95)+SUMPRODUCT((Projects!$G$17:$G$46="Yes")*(95=Projects!$C$17:$C$46+Projects!$D$17:$D$46-1)*Projects!$B$17:$B$46*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Assumptions!$B$12/Projects!$D$17:$D$46*0.95)+SUMPRODUCT((Projects!$G$17:$G$46="Yes")*(95=Projects!$C$17:$C$46+Projects!$D$17:$D$46-1)*Projects!$B$17:$B$46*Assumptions!$B$12*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Assumptions!$B$10/Projects!$D$17:$D$46*0.95)+SUMPRODUCT((Projects!$G$17:$G$46="Yes")*(96=Projects!$C$17:$C$46+Projects!$D$17:$D$46-1)*Projects!$B$17:$B$46*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Assumptions!$B$12/Projects!$D$17:$D$46*0.95)+SUMPRODUCT((Projects!$G$17:$G$46="Yes")*(96=Projects!$C$17:$C$46+Projects!$D$17:$D$46-1)*Projects!$B$17:$B$46*Assumptions!$B$12*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Assumptions!$B$10/Projects!$D$17:$D$46*0.95)+SUMPRODUCT((Projects!$G$17:$G$46="Yes")*(97=Projects!$C$17:$C$46+Projects!$D$17:$D$46-1)*Projects!$B$17:$B$46*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Assumptions!$B$12/Projects!$D$17:$D$46*0.95)+SUMPRODUCT((Projects!$G$17:$G$46="Yes")*(97=Projects!$C$17:$C$46+Projects!$D$17:$D$46-1)*Projects!$B$17:$B$46*Assumptions!$B$12*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Assumptions!$B$10/Projects!$D$17:$D$46*0.95)+SUMPRODUCT((Projects!$G$17:$G$46="Yes")*(98=Projects!$C$17:$C$46+Projects!$D$17:$D$46-1)*Projects!$B$17:$B$46*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Assumptions!$B$12/Projects!$D$17:$D$46*0.95)+SUMPRODUCT((Projects!$G$17:$G$46="Yes")*(98=Projects!$C$17:$C$46+Projects!$D$17:$D$46-1)*Projects!$B$17:$B$46*Assumptions!$B$12*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Assumptions!$B$10/Projects!$D$17:$D$46*0.95)+SUMPRODUCT((Projects!$G$17:$G$46="Yes")*(99=Projects!$C$17:$C$46+Projects!$D$17:$D$46-1)*Projects!$B$17:$B$46*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Assumptions!$B$12/Projects!$D$17:$D$46*0.95)+SUMPRODUCT((Projects!$G$17:$G$46="Yes")*(99=Projects!$C$17:$C$46+Projects!$D$17:$D$46-1)*Projects!$B$17:$B$46*Assumptions!$B$12*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Assumptions!$B$10/Projects!$D$17:$D$46*0.95)+SUMPRODUCT((Projects!$G$17:$G$46="Yes")*(100=Projects!$C$17:$C$46+Projects!$D$17:$D$46-1)*Projects!$B$17:$B$46*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Assumptions!$B$12/Projects!$D$17:$D$46*0.95)+SUMPRODUCT((Projects!$G$17:$G$46="Yes")*(100=Projects!$C$17:$C$46+Projects!$D$17:$D$46-1)*Projects!$B$17:$B$46*Assumptions!$B$12*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Assumptions!$B$10/Projects!$D$17:$D$46*0.95)+SUMPRODUCT((Projects!$G$17:$G$46="Yes")*(101=Projects!$C$17:$C$46+Projects!$D$17:$D$46-1)*Projects!$B$17:$B$46*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Assumptions!$B$12/Projects!$D$17:$D$46*0.95)+SUMPRODUCT((Projects!$G$17:$G$46="Yes")*(101=Projects!$C$17:$C$46+Projects!$D$17:$D$46-1)*Projects!$B$17:$B$46*Assumptions!$B$12*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Assumptions!$B$10/Projects!$D$17:$D$46*0.95)+SUMPRODUCT((Projects!$G$17:$G$46="Yes")*(102=Projects!$C$17:$C$46+Projects!$D$17:$D$46-1)*Projects!$B$17:$B$46*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Assumptions!$B$12/Projects!$D$17:$D$46*0.95)+SUMPRODUCT((Projects!$G$17:$G$46="Yes")*(102=Projects!$C$17:$C$46+Projects!$D$17:$D$46-1)*Projects!$B$17:$B$46*Assumptions!$B$12*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Assumptions!$B$10/Projects!$D$17:$D$46*0.95)+SUMPRODUCT((Projects!$G$17:$G$46="Yes")*(103=Projects!$C$17:$C$46+Projects!$D$17:$D$46-1)*Projects!$B$17:$B$46*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Assumptions!$B$12/Projects!$D$17:$D$46*0.95)+SUMPRODUCT((Projects!$G$17:$G$46="Yes")*(103=Projects!$C$17:$C$46+Projects!$D$17:$D$46-1)*Projects!$B$17:$B$46*Assumptions!$B$12*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Assumptions!$B$10/Projects!$D$17:$D$46*0.95)+SUMPRODUCT((Projects!$G$17:$G$46="Yes")*(104=Projects!$C$17:$C$46+Projects!$D$17:$D$46-1)*Projects!$B$17:$B$46*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Assumptions!$B$12/Projects!$D$17:$D$46*0.95)+SUMPRODUCT((Projects!$G$17:$G$46="Yes")*(104=Projects!$C$17:$C$46+Projects!$D$17:$D$46-1)*Projects!$B$17:$B$46*Assumptions!$B$12*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Assumptions!$B$10/Projects!$D$17:$D$46*0.95)+SUMPRODUCT((Projects!$G$17:$G$46="Yes")*(105=Projects!$C$17:$C$46+Projects!$D$17:$D$46-1)*Projects!$B$17:$B$46*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Assumptions!$B$12/Projects!$D$17:$D$46*0.95)+SUMPRODUCT((Projects!$G$17:$G$46="Yes")*(105=Projects!$C$17:$C$46+Projects!$D$17:$D$46-1)*Projects!$B$17:$B$46*Assumptions!$B$12*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Assumptions!$B$11/Projects!$D$17:$D$46*0.95)+SUMPRODUCT((Projects!$G$17:$G$46="Yes")*(1=Projects!$C$17:$C$46+Projects!$D$17:$D$46-1)*Projects!$B$17:$B$46*Assumptions!$B$11*0.05),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Assumptions!$B$11/Projects!$D$17:$D$46*0.95)+SUMPRODUCT((Projects!$G$17:$G$46="Yes")*(2=Projects!$C$17:$C$46+Projects!$D$17:$D$46-1)*Projects!$B$17:$B$46*Assumptions!$B$11*0.05),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Assumptions!$B$11/Projects!$D$17:$D$46*0.95)+SUMPRODUCT((Projects!$G$17:$G$46="Yes")*(3=Projects!$C$17:$C$46+Projects!$D$17:$D$46-1)*Projects!$B$17:$B$46*Assumptions!$B$11*0.05),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Assumptions!$B$11/Projects!$D$17:$D$46*0.95)+SUMPRODUCT((Projects!$G$17:$G$46="Yes")*(4=Projects!$C$17:$C$46+Projects!$D$17:$D$46-1)*Projects!$B$17:$B$46*Assumptions!$B$11*0.05),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Assumptions!$B$11/Projects!$D$17:$D$46*0.95)+SUMPRODUCT((Projects!$G$17:$G$46="Yes")*(5=Projects!$C$17:$C$46+Projects!$D$17:$D$46-1)*Projects!$B$17:$B$46*Assumptions!$B$11*0.05)+147961.15+18690.7,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Assumptions!$B$11/Projects!$D$17:$D$46*0.95)+SUMPRODUCT((Projects!$G$17:$G$46="Yes")*(6=Projects!$C$17:$C$46+Projects!$D$17:$D$46-1)*Projects!$B$17:$B$46*Assumptions!$B$11*0.05)+162842.07+44385.79,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Assumptions!$B$11/Projects!$D$17:$D$46*0.95)+SUMPRODUCT((Projects!$G$17:$G$46="Yes")*(7=Projects!$C$17:$C$46+Projects!$D$17:$D$46-1)*Projects!$B$17:$B$46*Assumptions!$B$11*0.05)+170438.71+62344.53,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Assumptions!$B$11/Projects!$D$17:$D$46*0.95)+SUMPRODUCT((Projects!$G$17:$G$46="Yes")*(8=Projects!$C$17:$C$46+Projects!$D$17:$D$46-1)*Projects!$B$17:$B$46*Assumptions!$B$11*0.05)+140981.69+40527.07,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Assumptions!$B$11/Projects!$D$17:$D$46*0.95)+SUMPRODUCT((Projects!$G$17:$G$46="Yes")*(9=Projects!$C$17:$C$46+Projects!$D$17:$D$46-1)*Projects!$B$17:$B$46*Assumptions!$B$11*0.05)+151633.52+30372.93,Actuals!N10)</f>
        <v>295941.551922338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Assumptions!$B$11/Projects!$D$17:$D$46*0.95)+SUMPRODUCT((Projects!$G$17:$G$46="Yes")*(10=Projects!$C$17:$C$46+Projects!$D$17:$D$46-1)*Projects!$B$17:$B$46*Assumptions!$B$11*0.05)+160688.12+38694.01,Actuals!O10)</f>
        <v>371968.241294988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Assumptions!$B$11/Projects!$D$17:$D$46*0.95)+SUMPRODUCT((Projects!$G$17:$G$46="Yes")*(11=Projects!$C$17:$C$46+Projects!$D$17:$D$46-1)*Projects!$B$17:$B$46*Assumptions!$B$11*0.05)+139809.39+31302.58,Actuals!P10)</f>
        <v>368405.107093188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Assumptions!$B$11/Projects!$D$17:$D$46*0.95)+SUMPRODUCT((Projects!$G$17:$G$46="Yes")*(12=Projects!$C$17:$C$46+Projects!$D$17:$D$46-1)*Projects!$B$17:$B$46*Assumptions!$B$11*0.05)+142239.09+37767.2,Actuals!Q10)</f>
        <v>377299.427093188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Assumptions!$B$11/Projects!$D$17:$D$46*0.95)+SUMPRODUCT((Projects!$G$17:$G$46="Yes")*(13=Projects!$C$17:$C$46+Projects!$D$17:$D$46-1)*Projects!$B$17:$B$46*Assumptions!$B$11*0.05)+125821.33+31897.91,Actuals!R10)</f>
        <v>428972.545482322</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Assumptions!$B$11/Projects!$D$17:$D$46*0.95)+SUMPRODUCT((Projects!$G$17:$G$46="Yes")*(14=Projects!$C$17:$C$46+Projects!$D$17:$D$46-1)*Projects!$B$17:$B$46*Assumptions!$B$11*0.05)+98095.58+39202.69,Actuals!S10)</f>
        <v>448063.830979322</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Assumptions!$B$11/Projects!$D$17:$D$46*0.95)+SUMPRODUCT((Projects!$G$17:$G$46="Yes")*(15=Projects!$C$17:$C$46+Projects!$D$17:$D$46-1)*Projects!$B$17:$B$46*Assumptions!$B$11*0.05)+104710.45+36845.99,Actuals!T10)</f>
        <v>481518.590802322</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Assumptions!$B$11/Projects!$D$17:$D$46*0.95)+SUMPRODUCT((Projects!$G$17:$G$46="Yes")*(16=Projects!$C$17:$C$46+Projects!$D$17:$D$46-1)*Projects!$B$17:$B$46*Assumptions!$B$11*0.05)+115950.51+66090.19,Actuals!U10)</f>
        <v>569581.506268522</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Assumptions!$B$11/Projects!$D$17:$D$46*0.95)+SUMPRODUCT((Projects!$G$17:$G$46="Yes")*(17=Projects!$C$17:$C$46+Projects!$D$17:$D$46-1)*Projects!$B$17:$B$46*Assumptions!$B$11*0.05)+93352.59+42234.83,Actuals!V10)</f>
        <v>523128.226268522</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Assumptions!$B$11/Projects!$D$17:$D$46*0.95)+SUMPRODUCT((Projects!$G$17:$G$46="Yes")*(18=Projects!$C$17:$C$46+Projects!$D$17:$D$46-1)*Projects!$B$17:$B$46*Assumptions!$B$11*0.05)+40060.13+125947.35,Actuals!W10)</f>
        <v>553548.286268522</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Assumptions!$B$11/Projects!$D$17:$D$46*0.95)+SUMPRODUCT((Projects!$G$17:$G$46="Yes")*(19=Projects!$C$17:$C$46+Projects!$D$17:$D$46-1)*Projects!$B$17:$B$46*Assumptions!$B$11*0.05)+9027.54+79562.13,Actuals!X10)</f>
        <v>476130.476268522</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Assumptions!$B$11/Projects!$D$17:$D$46*0.95)+SUMPRODUCT((Projects!$G$17:$G$46="Yes")*(20=Projects!$C$17:$C$46+Projects!$D$17:$D$46-1)*Projects!$B$17:$B$46*Assumptions!$B$11*0.05)+0+163424.9,Actuals!Y10)</f>
        <v>602078.02397583</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Assumptions!$B$11/Projects!$D$17:$D$46*0.95)+SUMPRODUCT((Projects!$G$17:$G$46="Yes")*(21=Projects!$C$17:$C$46+Projects!$D$17:$D$46-1)*Projects!$B$17:$B$46*Assumptions!$B$11*0.05)+0+94098.83,Actuals!Z10)</f>
        <v>532751.95397583</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Assumptions!$B$11/Projects!$D$17:$D$46*0.95)+SUMPRODUCT((Projects!$G$17:$G$46="Yes")*(22=Projects!$C$17:$C$46+Projects!$D$17:$D$46-1)*Projects!$B$17:$B$46*Assumptions!$B$11*0.05)+0+148247.2,Actuals!AA10)</f>
        <v>586900.32397583</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Assumptions!$B$11/Projects!$D$17:$D$46*0.95)+SUMPRODUCT((Projects!$G$17:$G$46="Yes")*(23=Projects!$C$17:$C$46+Projects!$D$17:$D$46-1)*Projects!$B$17:$B$46*Assumptions!$B$11*0.05)+0+123791.33,Actuals!AB10)</f>
        <v>599431.07443767</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Assumptions!$B$11/Projects!$D$17:$D$46*0.95)+SUMPRODUCT((Projects!$G$17:$G$46="Yes")*(24=Projects!$C$17:$C$46+Projects!$D$17:$D$46-1)*Projects!$B$17:$B$46*Assumptions!$B$11*0.05)+0+84386.88,Actuals!AC10)</f>
        <v>519574.72696778</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Assumptions!$B$11/Projects!$D$17:$D$46*0.95)+SUMPRODUCT((Projects!$G$17:$G$46="Yes")*(25=Projects!$C$17:$C$46+Projects!$D$17:$D$46-1)*Projects!$B$17:$B$46*Assumptions!$B$11*0.05)+0+53404.55,Actuals!AD10)</f>
        <v>421549.7100602</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Assumptions!$B$11/Projects!$D$17:$D$46*0.95)+SUMPRODUCT((Projects!$G$17:$G$46="Yes")*(26=Projects!$C$17:$C$46+Projects!$D$17:$D$46-1)*Projects!$B$17:$B$46*Assumptions!$B$11*0.05)+0+63240.23,Actuals!AE10)</f>
        <v>431385.3900602</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Assumptions!$B$11/Projects!$D$17:$D$46*0.95)+SUMPRODUCT((Projects!$G$17:$G$46="Yes")*(27=Projects!$C$17:$C$46+Projects!$D$17:$D$46-1)*Projects!$B$17:$B$46*Assumptions!$B$11*0.05)+0+59353.95,Actuals!AF10)</f>
        <v>495067.340494813</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Assumptions!$B$11/Projects!$D$17:$D$46*0.95)+SUMPRODUCT((Projects!$G$17:$G$46="Yes")*(28=Projects!$C$17:$C$46+Projects!$D$17:$D$46-1)*Projects!$B$17:$B$46*Assumptions!$B$11*0.05)+0+73396.98,Actuals!AG10)</f>
        <v>567761.379867463</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Assumptions!$B$11/Projects!$D$17:$D$46*0.95)+SUMPRODUCT((Projects!$G$17:$G$46="Yes")*(29=Projects!$C$17:$C$46+Projects!$D$17:$D$46-1)*Projects!$B$17:$B$46*Assumptions!$B$11*0.05)+0+127462.41,Actuals!AH10)</f>
        <v>529231.816920363</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Assumptions!$B$11/Projects!$D$17:$D$46*0.95)+SUMPRODUCT((Projects!$G$17:$G$46="Yes")*(30=Projects!$C$17:$C$46+Projects!$D$17:$D$46-1)*Projects!$B$17:$B$46*Assumptions!$B$11*0.05)+0+118293.75,Actuals!AI10)</f>
        <v>470649.105323963</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Assumptions!$B$11/Projects!$D$17:$D$46*0.95)+SUMPRODUCT((Projects!$G$17:$G$46="Yes")*(31=Projects!$C$17:$C$46+Projects!$D$17:$D$46-1)*Projects!$B$17:$B$46*Assumptions!$B$11*0.05)+0+115650.8,Actuals!AJ10)</f>
        <v>468006.155323963</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Assumptions!$B$11/Projects!$D$17:$D$46*0.95)+SUMPRODUCT((Projects!$G$17:$G$46="Yes")*(32=Projects!$C$17:$C$46+Projects!$D$17:$D$46-1)*Projects!$B$17:$B$46*Assumptions!$B$11*0.05)+0+63097.22,Actuals!AK10)</f>
        <v>509820.163039963</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Assumptions!$B$11/Projects!$D$17:$D$46*0.95)+SUMPRODUCT((Projects!$G$17:$G$46="Yes")*(33=Projects!$C$17:$C$46+Projects!$D$17:$D$46-1)*Projects!$B$17:$B$46*Assumptions!$B$11*0.05)+0+52379.49,Actuals!AL10)</f>
        <v>350992.041643255</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Assumptions!$B$11/Projects!$D$17:$D$46*0.95)+SUMPRODUCT((Projects!$G$17:$G$46="Yes")*(34=Projects!$C$17:$C$46+Projects!$D$17:$D$46-1)*Projects!$B$17:$B$46*Assumptions!$B$11*0.05)+0+58512.38,Actuals!AM10)</f>
        <v>346310.407463455</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Assumptions!$B$11/Projects!$D$17:$D$46*0.95)+SUMPRODUCT((Projects!$G$17:$G$46="Yes")*(35=Projects!$C$17:$C$46+Projects!$D$17:$D$46-1)*Projects!$B$17:$B$46*Assumptions!$B$11*0.05)+0+63604.57,Actuals!AN10)</f>
        <v>256245.286531055</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Assumptions!$B$11/Projects!$D$17:$D$46*0.95)+SUMPRODUCT((Projects!$G$17:$G$46="Yes")*(36=Projects!$C$17:$C$46+Projects!$D$17:$D$46-1)*Projects!$B$17:$B$46*Assumptions!$B$11*0.05)+0+17112.26,Actuals!AO10)</f>
        <v>209752.976531055</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Assumptions!$B$11/Projects!$D$17:$D$46*0.95)+SUMPRODUCT((Projects!$G$17:$G$46="Yes")*(37=Projects!$C$17:$C$46+Projects!$D$17:$D$46-1)*Projects!$B$17:$B$46*Assumptions!$B$11*0.05)+0,Actuals!AP10)</f>
        <v>192640.716531055</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Assumptions!$B$11/Projects!$D$17:$D$46*0.95)+SUMPRODUCT((Projects!$G$17:$G$46="Yes")*(38=Projects!$C$17:$C$46+Projects!$D$17:$D$46-1)*Projects!$B$17:$B$46*Assumptions!$B$11*0.05)+0,Actuals!AQ10)</f>
        <v>192640.716531055</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Assumptions!$B$11/Projects!$D$17:$D$46*0.95)+SUMPRODUCT((Projects!$G$17:$G$46="Yes")*(39=Projects!$C$17:$C$46+Projects!$D$17:$D$46-1)*Projects!$B$17:$B$46*Assumptions!$B$11*0.05)+0,Actuals!AR10)</f>
        <v>192640.716531055</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Assumptions!$B$11/Projects!$D$17:$D$46*0.95)+SUMPRODUCT((Projects!$G$17:$G$46="Yes")*(40=Projects!$C$17:$C$46+Projects!$D$17:$D$46-1)*Projects!$B$17:$B$46*Assumptions!$B$11*0.05)+0,Actuals!AS10)</f>
        <v>192640.716531055</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Assumptions!$B$11/Projects!$D$17:$D$46*0.95)+SUMPRODUCT((Projects!$G$17:$G$46="Yes")*(41=Projects!$C$17:$C$46+Projects!$D$17:$D$46-1)*Projects!$B$17:$B$46*Assumptions!$B$11*0.05)+0,Actuals!AT10)</f>
        <v>192640.716531055</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Assumptions!$B$11/Projects!$D$17:$D$46*0.95)+SUMPRODUCT((Projects!$G$17:$G$46="Yes")*(42=Projects!$C$17:$C$46+Projects!$D$17:$D$46-1)*Projects!$B$17:$B$46*Assumptions!$B$11*0.05)+0,Actuals!AU10)</f>
        <v>309419.929777055</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Assumptions!$B$11/Projects!$D$17:$D$46*0.95)+SUMPRODUCT((Projects!$G$17:$G$46="Yes")*(43=Projects!$C$17:$C$46+Projects!$D$17:$D$46-1)*Projects!$B$17:$B$46*Assumptions!$B$11*0.05)+0,Actuals!AV10)</f>
        <v>183243.475772206</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Assumptions!$B$11/Projects!$D$17:$D$46*0.95)+SUMPRODUCT((Projects!$G$17:$G$46="Yes")*(44=Projects!$C$17:$C$46+Projects!$D$17:$D$46-1)*Projects!$B$17:$B$46*Assumptions!$B$11*0.05)+0,Actuals!AW10)</f>
        <v>67568.2304346134</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Assumptions!$B$11/Projects!$D$17:$D$46*0.95)+SUMPRODUCT((Projects!$G$17:$G$46="Yes")*(45=Projects!$C$17:$C$46+Projects!$D$17:$D$46-1)*Projects!$B$17:$B$46*Assumptions!$B$11*0.05)+0,Actuals!AX10)</f>
        <v>67568.2304346134</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Assumptions!$B$11/Projects!$D$17:$D$46*0.95)+SUMPRODUCT((Projects!$G$17:$G$46="Yes")*(46=Projects!$C$17:$C$46+Projects!$D$17:$D$46-1)*Projects!$B$17:$B$46*Assumptions!$B$11*0.05)+0,Actuals!AY10)</f>
        <v>67568.2304346134</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Assumptions!$B$11/Projects!$D$17:$D$46*0.95)+SUMPRODUCT((Projects!$G$17:$G$46="Yes")*(47=Projects!$C$17:$C$46+Projects!$D$17:$D$46-1)*Projects!$B$17:$B$46*Assumptions!$B$11*0.05)+0,Actuals!AZ10)</f>
        <v>67568.2304346134</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Assumptions!$B$11/Projects!$D$17:$D$46*0.95)+SUMPRODUCT((Projects!$G$17:$G$46="Yes")*(48=Projects!$C$17:$C$46+Projects!$D$17:$D$46-1)*Projects!$B$17:$B$46*Assumptions!$B$11*0.05)+0,Actuals!BA10)</f>
        <v>67568.2304346134</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Assumptions!$B$11/Projects!$D$17:$D$46*0.95)+SUMPRODUCT((Projects!$G$17:$G$46="Yes")*(49=Projects!$C$17:$C$46+Projects!$D$17:$D$46-1)*Projects!$B$17:$B$46*Assumptions!$B$11*0.05)+0,Actuals!BB10)</f>
        <v>67568.2304346134</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Assumptions!$B$11/Projects!$D$17:$D$46*0.95)+SUMPRODUCT((Projects!$G$17:$G$46="Yes")*(50=Projects!$C$17:$C$46+Projects!$D$17:$D$46-1)*Projects!$B$17:$B$46*Assumptions!$B$11*0.05)+0,Actuals!BC10)</f>
        <v>67568.2304346134</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Assumptions!$B$11/Projects!$D$17:$D$46*0.95)+SUMPRODUCT((Projects!$G$17:$G$46="Yes")*(51=Projects!$C$17:$C$46+Projects!$D$17:$D$46-1)*Projects!$B$17:$B$46*Assumptions!$B$11*0.05)+0,Actuals!BD10)</f>
        <v>67568.2304346134</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Assumptions!$B$11/Projects!$D$17:$D$46*0.95)+SUMPRODUCT((Projects!$G$17:$G$46="Yes")*(52=Projects!$C$17:$C$46+Projects!$D$17:$D$46-1)*Projects!$B$17:$B$46*Assumptions!$B$11*0.05)+0,Actuals!BE10)</f>
        <v>67568.2304346134</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Assumptions!$B$11/Projects!$D$17:$D$46*0.95)+SUMPRODUCT((Projects!$G$17:$G$46="Yes")*(53=Projects!$C$17:$C$46+Projects!$D$17:$D$46-1)*Projects!$B$17:$B$46*Assumptions!$B$11*0.05)+0,Actuals!BF10)</f>
        <v>67568.2304346134</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Assumptions!$B$11/Projects!$D$17:$D$46*0.95)+SUMPRODUCT((Projects!$G$17:$G$46="Yes")*(54=Projects!$C$17:$C$46+Projects!$D$17:$D$46-1)*Projects!$B$17:$B$46*Assumptions!$B$11*0.05)+0,Actuals!BG10)</f>
        <v>67568.2304346134</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Assumptions!$B$11/Projects!$D$17:$D$46*0.95)+SUMPRODUCT((Projects!$G$17:$G$46="Yes")*(55=Projects!$C$17:$C$46+Projects!$D$17:$D$46-1)*Projects!$B$17:$B$46*Assumptions!$B$11*0.05)+0,Actuals!BH10)</f>
        <v>67568.2304346134</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Assumptions!$B$11/Projects!$D$17:$D$46*0.95)+SUMPRODUCT((Projects!$G$17:$G$46="Yes")*(56=Projects!$C$17:$C$46+Projects!$D$17:$D$46-1)*Projects!$B$17:$B$46*Assumptions!$B$11*0.05)+0,Actuals!BI10)</f>
        <v>174254.910068213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Assumptions!$B$11/Projects!$D$17:$D$46*0.95)+SUMPRODUCT((Projects!$G$17:$G$46="Yes")*(57=Projects!$C$17:$C$46+Projects!$D$17:$D$46-1)*Projects!$B$17:$B$46*Assumptions!$B$11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Assumptions!$B$11/Projects!$D$17:$D$46*0.95)+SUMPRODUCT((Projects!$G$17:$G$46="Yes")*(58=Projects!$C$17:$C$46+Projects!$D$17:$D$46-1)*Projects!$B$17:$B$46*Assumptions!$B$11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Assumptions!$B$11/Projects!$D$17:$D$46*0.95)+SUMPRODUCT((Projects!$G$17:$G$46="Yes")*(59=Projects!$C$17:$C$46+Projects!$D$17:$D$46-1)*Projects!$B$17:$B$46*Assumptions!$B$11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Assumptions!$B$11/Projects!$D$17:$D$46*0.95)+SUMPRODUCT((Projects!$G$17:$G$46="Yes")*(60=Projects!$C$17:$C$46+Projects!$D$17:$D$46-1)*Projects!$B$17:$B$46*Assumptions!$B$11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Assumptions!$B$11/Projects!$D$17:$D$46*0.95)+SUMPRODUCT((Projects!$G$17:$G$46="Yes")*(61=Projects!$C$17:$C$46+Projects!$D$17:$D$46-1)*Projects!$B$17:$B$46*Assumptions!$B$11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Assumptions!$B$11/Projects!$D$17:$D$46*0.95)+SUMPRODUCT((Projects!$G$17:$G$46="Yes")*(62=Projects!$C$17:$C$46+Projects!$D$17:$D$46-1)*Projects!$B$17:$B$46*Assumptions!$B$11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Assumptions!$B$11/Projects!$D$17:$D$46*0.95)+SUMPRODUCT((Projects!$G$17:$G$46="Yes")*(63=Projects!$C$17:$C$46+Projects!$D$17:$D$46-1)*Projects!$B$17:$B$46*Assumptions!$B$11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Assumptions!$B$11/Projects!$D$17:$D$46*0.95)+SUMPRODUCT((Projects!$G$17:$G$46="Yes")*(64=Projects!$C$17:$C$46+Projects!$D$17:$D$46-1)*Projects!$B$17:$B$46*Assumptions!$B$11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Assumptions!$B$11/Projects!$D$17:$D$46*0.95)+SUMPRODUCT((Projects!$G$17:$G$46="Yes")*(65=Projects!$C$17:$C$46+Projects!$D$17:$D$46-1)*Projects!$B$17:$B$46*Assumptions!$B$11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Assumptions!$B$11/Projects!$D$17:$D$46*0.95)+SUMPRODUCT((Projects!$G$17:$G$46="Yes")*(66=Projects!$C$17:$C$46+Projects!$D$17:$D$46-1)*Projects!$B$17:$B$46*Assumptions!$B$11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Assumptions!$B$11/Projects!$D$17:$D$46*0.95)+SUMPRODUCT((Projects!$G$17:$G$46="Yes")*(67=Projects!$C$17:$C$46+Projects!$D$17:$D$46-1)*Projects!$B$17:$B$46*Assumptions!$B$11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Assumptions!$B$11/Projects!$D$17:$D$46*0.95)+SUMPRODUCT((Projects!$G$17:$G$46="Yes")*(68=Projects!$C$17:$C$46+Projects!$D$17:$D$46-1)*Projects!$B$17:$B$46*Assumptions!$B$11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Assumptions!$B$11/Projects!$D$17:$D$46*0.95)+SUMPRODUCT((Projects!$G$17:$G$46="Yes")*(69=Projects!$C$17:$C$46+Projects!$D$17:$D$46-1)*Projects!$B$17:$B$46*Assumptions!$B$11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Assumptions!$B$11/Projects!$D$17:$D$46*0.95)+SUMPRODUCT((Projects!$G$17:$G$46="Yes")*(70=Projects!$C$17:$C$46+Projects!$D$17:$D$46-1)*Projects!$B$17:$B$46*Assumptions!$B$11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Assumptions!$B$11/Projects!$D$17:$D$46*0.95)+SUMPRODUCT((Projects!$G$17:$G$46="Yes")*(71=Projects!$C$17:$C$46+Projects!$D$17:$D$46-1)*Projects!$B$17:$B$46*Assumptions!$B$11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Assumptions!$B$11/Projects!$D$17:$D$46*0.95)+SUMPRODUCT((Projects!$G$17:$G$46="Yes")*(72=Projects!$C$17:$C$46+Projects!$D$17:$D$46-1)*Projects!$B$17:$B$46*Assumptions!$B$11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Assumptions!$B$11/Projects!$D$17:$D$46*0.95)+SUMPRODUCT((Projects!$G$17:$G$46="Yes")*(73=Projects!$C$17:$C$46+Projects!$D$17:$D$46-1)*Projects!$B$17:$B$46*Assumptions!$B$11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Assumptions!$B$11/Projects!$D$17:$D$46*0.95)+SUMPRODUCT((Projects!$G$17:$G$46="Yes")*(74=Projects!$C$17:$C$46+Projects!$D$17:$D$46-1)*Projects!$B$17:$B$46*Assumptions!$B$11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Assumptions!$B$11/Projects!$D$17:$D$46*0.95)+SUMPRODUCT((Projects!$G$17:$G$46="Yes")*(75=Projects!$C$17:$C$46+Projects!$D$17:$D$46-1)*Projects!$B$17:$B$46*Assumptions!$B$11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Assumptions!$B$11/Projects!$D$17:$D$46*0.95)+SUMPRODUCT((Projects!$G$17:$G$46="Yes")*(76=Projects!$C$17:$C$46+Projects!$D$17:$D$46-1)*Projects!$B$17:$B$46*Assumptions!$B$11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Assumptions!$B$11/Projects!$D$17:$D$46*0.95)+SUMPRODUCT((Projects!$G$17:$G$46="Yes")*(77=Projects!$C$17:$C$46+Projects!$D$17:$D$46-1)*Projects!$B$17:$B$46*Assumptions!$B$11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Assumptions!$B$11/Projects!$D$17:$D$46*0.95)+SUMPRODUCT((Projects!$G$17:$G$46="Yes")*(78=Projects!$C$17:$C$46+Projects!$D$17:$D$46-1)*Projects!$B$17:$B$46*Assumptions!$B$11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Assumptions!$B$11/Projects!$D$17:$D$46*0.95)+SUMPRODUCT((Projects!$G$17:$G$46="Yes")*(79=Projects!$C$17:$C$46+Projects!$D$17:$D$46-1)*Projects!$B$17:$B$46*Assumptions!$B$11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Assumptions!$B$11/Projects!$D$17:$D$46*0.95)+SUMPRODUCT((Projects!$G$17:$G$46="Yes")*(80=Projects!$C$17:$C$46+Projects!$D$17:$D$46-1)*Projects!$B$17:$B$46*Assumptions!$B$11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Assumptions!$B$11/Projects!$D$17:$D$46*0.95)+SUMPRODUCT((Projects!$G$17:$G$46="Yes")*(81=Projects!$C$17:$C$46+Projects!$D$17:$D$46-1)*Projects!$B$17:$B$46*Assumptions!$B$11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Assumptions!$B$11/Projects!$D$17:$D$46*0.95)+SUMPRODUCT((Projects!$G$17:$G$46="Yes")*(82=Projects!$C$17:$C$46+Projects!$D$17:$D$46-1)*Projects!$B$17:$B$46*Assumptions!$B$11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Assumptions!$B$11/Projects!$D$17:$D$46*0.95)+SUMPRODUCT((Projects!$G$17:$G$46="Yes")*(83=Projects!$C$17:$C$46+Projects!$D$17:$D$46-1)*Projects!$B$17:$B$46*Assumptions!$B$11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Assumptions!$B$11/Projects!$D$17:$D$46*0.95)+SUMPRODUCT((Projects!$G$17:$G$46="Yes")*(84=Projects!$C$17:$C$46+Projects!$D$17:$D$46-1)*Projects!$B$17:$B$46*Assumptions!$B$11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Assumptions!$B$11/Projects!$D$17:$D$46*0.95)+SUMPRODUCT((Projects!$G$17:$G$46="Yes")*(85=Projects!$C$17:$C$46+Projects!$D$17:$D$46-1)*Projects!$B$17:$B$46*Assumptions!$B$11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Assumptions!$B$11/Projects!$D$17:$D$46*0.95)+SUMPRODUCT((Projects!$G$17:$G$46="Yes")*(86=Projects!$C$17:$C$46+Projects!$D$17:$D$46-1)*Projects!$B$17:$B$46*Assumptions!$B$11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Assumptions!$B$11/Projects!$D$17:$D$46*0.95)+SUMPRODUCT((Projects!$G$17:$G$46="Yes")*(87=Projects!$C$17:$C$46+Projects!$D$17:$D$46-1)*Projects!$B$17:$B$46*Assumptions!$B$11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Assumptions!$B$11/Projects!$D$17:$D$46*0.95)+SUMPRODUCT((Projects!$G$17:$G$46="Yes")*(88=Projects!$C$17:$C$46+Projects!$D$17:$D$46-1)*Projects!$B$17:$B$46*Assumptions!$B$11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Assumptions!$B$11/Projects!$D$17:$D$46*0.95)+SUMPRODUCT((Projects!$G$17:$G$46="Yes")*(89=Projects!$C$17:$C$46+Projects!$D$17:$D$46-1)*Projects!$B$17:$B$46*Assumptions!$B$11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Assumptions!$B$11/Projects!$D$17:$D$46*0.95)+SUMPRODUCT((Projects!$G$17:$G$46="Yes")*(90=Projects!$C$17:$C$46+Projects!$D$17:$D$46-1)*Projects!$B$17:$B$46*Assumptions!$B$11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Assumptions!$B$11/Projects!$D$17:$D$46*0.95)+SUMPRODUCT((Projects!$G$17:$G$46="Yes")*(91=Projects!$C$17:$C$46+Projects!$D$17:$D$46-1)*Projects!$B$17:$B$46*Assumptions!$B$11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Assumptions!$B$11/Projects!$D$17:$D$46*0.95)+SUMPRODUCT((Projects!$G$17:$G$46="Yes")*(92=Projects!$C$17:$C$46+Projects!$D$17:$D$46-1)*Projects!$B$17:$B$46*Assumptions!$B$11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Assumptions!$B$11/Projects!$D$17:$D$46*0.95)+SUMPRODUCT((Projects!$G$17:$G$46="Yes")*(93=Projects!$C$17:$C$46+Projects!$D$17:$D$46-1)*Projects!$B$17:$B$46*Assumptions!$B$11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Assumptions!$B$11/Projects!$D$17:$D$46*0.95)+SUMPRODUCT((Projects!$G$17:$G$46="Yes")*(94=Projects!$C$17:$C$46+Projects!$D$17:$D$46-1)*Projects!$B$17:$B$46*Assumptions!$B$11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Assumptions!$B$11/Projects!$D$17:$D$46*0.95)+SUMPRODUCT((Projects!$G$17:$G$46="Yes")*(95=Projects!$C$17:$C$46+Projects!$D$17:$D$46-1)*Projects!$B$17:$B$46*Assumptions!$B$11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Assumptions!$B$11/Projects!$D$17:$D$46*0.95)+SUMPRODUCT((Projects!$G$17:$G$46="Yes")*(96=Projects!$C$17:$C$46+Projects!$D$17:$D$46-1)*Projects!$B$17:$B$46*Assumptions!$B$11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Assumptions!$B$11/Projects!$D$17:$D$46*0.95)+SUMPRODUCT((Projects!$G$17:$G$46="Yes")*(97=Projects!$C$17:$C$46+Projects!$D$17:$D$46-1)*Projects!$B$17:$B$46*Assumptions!$B$11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Assumptions!$B$11/Projects!$D$17:$D$46*0.95)+SUMPRODUCT((Projects!$G$17:$G$46="Yes")*(98=Projects!$C$17:$C$46+Projects!$D$17:$D$46-1)*Projects!$B$17:$B$46*Assumptions!$B$11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Assumptions!$B$11/Projects!$D$17:$D$46*0.95)+SUMPRODUCT((Projects!$G$17:$G$46="Yes")*(99=Projects!$C$17:$C$46+Projects!$D$17:$D$46-1)*Projects!$B$17:$B$46*Assumptions!$B$11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Assumptions!$B$11/Projects!$D$17:$D$46*0.95)+SUMPRODUCT((Projects!$G$17:$G$46="Yes")*(100=Projects!$C$17:$C$46+Projects!$D$17:$D$46-1)*Projects!$B$17:$B$46*Assumptions!$B$11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Assumptions!$B$11/Projects!$D$17:$D$46*0.95)+SUMPRODUCT((Projects!$G$17:$G$46="Yes")*(101=Projects!$C$17:$C$46+Projects!$D$17:$D$46-1)*Projects!$B$17:$B$46*Assumptions!$B$11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Assumptions!$B$11/Projects!$D$17:$D$46*0.95)+SUMPRODUCT((Projects!$G$17:$G$46="Yes")*(102=Projects!$C$17:$C$46+Projects!$D$17:$D$46-1)*Projects!$B$17:$B$46*Assumptions!$B$11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Assumptions!$B$11/Projects!$D$17:$D$46*0.95)+SUMPRODUCT((Projects!$G$17:$G$46="Yes")*(103=Projects!$C$17:$C$46+Projects!$D$17:$D$46-1)*Projects!$B$17:$B$46*Assumptions!$B$11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Assumptions!$B$11/Projects!$D$17:$D$46*0.95)+SUMPRODUCT((Projects!$G$17:$G$46="Yes")*(104=Projects!$C$17:$C$46+Projects!$D$17:$D$46-1)*Projects!$B$17:$B$46*Assumptions!$B$11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Assumptions!$B$11/Projects!$D$17:$D$46*0.95)+SUMPRODUCT((Projects!$G$17:$G$46="Yes")*(105=Projects!$C$17:$C$46+Projects!$D$17:$D$46-1)*Projects!$B$17:$B$46*Assumptions!$B$11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556266.059712783</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665675.842802783</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781966.174932784</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903552.719152783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1028579.53789278</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1154783.29265278</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1279674.31108278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1400536.58698278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1514473.04707278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1618722.41838278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1710478.16117278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1787250.60309278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1846912.20595278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1887652.29895278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1908339.21284278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1908339.21284278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1887652.29895278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1846912.20595278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1787250.60309278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1710478.16117278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1618722.41838278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1514473.04707278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1400536.58698278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1279674.31108278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1154783.29265278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1028579.53789278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903552.719152783</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781966.174932784</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665675.842802783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283780.474359283</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0</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0</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313939.25166175</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409572.44932175</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512511.38613675</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618651.37008675</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722892.16817675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819444.32673675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902380.54796175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966202.38246675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1006452.86988675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1020206.65135675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1006452.86988675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966202.38246675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902380.54796175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819444.32673675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722892.16817675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618651.37008675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512511.38613675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409572.44932175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221743.7335685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231977.53316825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302643.28510825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378707.42969325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457136.90774325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534163.03005325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605507.82509325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666791.46486825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713951.00816325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743693.09594325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753856.10767325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743693.09594325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713951.00816325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666791.46486825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605507.82509325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534163.03005325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457136.90774325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378707.42969325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302643.28510825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163851.9682915</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$4:$AR$4,1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$4:$AR$4,1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$4:$AR$4,1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$4:$AR$4,1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$4:$AR$4,1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$4:$AR$4,1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$4:$AR$4,1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$4:$AR$4,1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$4:$AR$4,1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$4:$AR$4,1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$4:$AR$4,1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$4:$AR$4,1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$4:$AR$4,1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$4:$AR$4,1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$4:$AR$4,1,T$3-Projects!$C$19+1),0)-IF(AND(Projects!$G$19="Yes",T$3&gt;=Projects!$C$19,T$3&lt;Projects!$C$19+Projects!$D$19),Projects!$B$19*(Assumptions!$B$10+Assumptions!$B$11+Assumptions!$B$12)/Projects!$D$19*0.95,0)-IF(AND(Projects!$G$19="Yes",T$3=Projects!$C$19+Projects!$D$19-1),Projects!$B$19*(Assumptions!$B$10+Assumptions!$B$11+Assumptions!$B$12)*0.05,0)</f>
        <v>378029.73543905</v>
      </c>
      <c r="U28" s="19" t="n">
        <f aca="false">IF(AND(Projects!$G$19="Yes",U$3&gt;=Projects!$C$19,U$3&lt;Projects!$C$19+Projects!$D$19),Projects!$B$19*INDEX(Curves!$B$4:$AR$4,1,U$3-Projects!$C$19+1),0)-IF(AND(Projects!$G$19="Yes",U$3&gt;=Projects!$C$19,U$3&lt;Projects!$C$19+Projects!$D$19),Projects!$B$19*(Assumptions!$B$10+Assumptions!$B$11+Assumptions!$B$12)/Projects!$D$19*0.95,0)-IF(AND(Projects!$G$19="Yes",U$3=Projects!$C$19+Projects!$D$19-1),Projects!$B$19*(Assumptions!$B$10+Assumptions!$B$11+Assumptions!$B$12)*0.05,0)</f>
        <v>493186.38507505</v>
      </c>
      <c r="V28" s="19" t="n">
        <f aca="false">IF(AND(Projects!$G$19="Yes",V$3&gt;=Projects!$C$19,V$3&lt;Projects!$C$19+Projects!$D$19),Projects!$B$19*INDEX(Curves!$B$4:$AR$4,1,V$3-Projects!$C$19+1),0)-IF(AND(Projects!$G$19="Yes",V$3&gt;=Projects!$C$19,V$3&lt;Projects!$C$19+Projects!$D$19),Projects!$B$19*(Assumptions!$B$10+Assumptions!$B$11+Assumptions!$B$12)/Projects!$D$19*0.95,0)-IF(AND(Projects!$G$19="Yes",V$3=Projects!$C$19+Projects!$D$19-1),Projects!$B$19*(Assumptions!$B$10+Assumptions!$B$11+Assumptions!$B$12)*0.05,0)</f>
        <v>617140.23552405</v>
      </c>
      <c r="W28" s="19" t="n">
        <f aca="false">IF(AND(Projects!$G$19="Yes",W$3&gt;=Projects!$C$19,W$3&lt;Projects!$C$19+Projects!$D$19),Projects!$B$19*INDEX(Curves!$B$4:$AR$4,1,W$3-Projects!$C$19+1),0)-IF(AND(Projects!$G$19="Yes",W$3&gt;=Projects!$C$19,W$3&lt;Projects!$C$19+Projects!$D$19),Projects!$B$19*(Assumptions!$B$10+Assumptions!$B$11+Assumptions!$B$12)/Projects!$D$19*0.95,0)-IF(AND(Projects!$G$19="Yes",W$3=Projects!$C$19+Projects!$D$19-1),Projects!$B$19*(Assumptions!$B$10+Assumptions!$B$11+Assumptions!$B$12)*0.05,0)</f>
        <v>744948.62469405</v>
      </c>
      <c r="X28" s="19" t="n">
        <f aca="false">IF(AND(Projects!$G$19="Yes",X$3&gt;=Projects!$C$19,X$3&lt;Projects!$C$19+Projects!$D$19),Projects!$B$19*INDEX(Curves!$B$4:$AR$4,1,X$3-Projects!$C$19+1),0)-IF(AND(Projects!$G$19="Yes",X$3&gt;=Projects!$C$19,X$3&lt;Projects!$C$19+Projects!$D$19),Projects!$B$19*(Assumptions!$B$10+Assumptions!$B$11+Assumptions!$B$12)/Projects!$D$19*0.95,0)-IF(AND(Projects!$G$19="Yes",X$3=Projects!$C$19+Projects!$D$19-1),Projects!$B$19*(Assumptions!$B$10+Assumptions!$B$11+Assumptions!$B$12)*0.05,0)</f>
        <v>870470.11050805</v>
      </c>
      <c r="Y28" s="19" t="n">
        <f aca="false">IF(AND(Projects!$G$19="Yes",Y$3&gt;=Projects!$C$19,Y$3&lt;Projects!$C$19+Projects!$D$19),Projects!$B$19*INDEX(Curves!$B$4:$AR$4,1,Y$3-Projects!$C$19+1),0)-IF(AND(Projects!$G$19="Yes",Y$3&gt;=Projects!$C$19,Y$3&lt;Projects!$C$19+Projects!$D$19),Projects!$B$19*(Assumptions!$B$10+Assumptions!$B$11+Assumptions!$B$12)/Projects!$D$19*0.95,0)-IF(AND(Projects!$G$19="Yes",Y$3=Projects!$C$19+Projects!$D$19-1),Projects!$B$19*(Assumptions!$B$10+Assumptions!$B$11+Assumptions!$B$12)*0.05,0)</f>
        <v>986733.32628405</v>
      </c>
      <c r="Z28" s="19" t="n">
        <f aca="false">IF(AND(Projects!$G$19="Yes",Z$3&gt;=Projects!$C$19,Z$3&lt;Projects!$C$19+Projects!$D$19),Projects!$B$19*INDEX(Curves!$B$4:$AR$4,1,Z$3-Projects!$C$19+1),0)-IF(AND(Projects!$G$19="Yes",Z$3&gt;=Projects!$C$19,Z$3&lt;Projects!$C$19+Projects!$D$19),Projects!$B$19*(Assumptions!$B$10+Assumptions!$B$11+Assumptions!$B$12)/Projects!$D$19*0.95,0)-IF(AND(Projects!$G$19="Yes",Z$3=Projects!$C$19+Projects!$D$19-1),Projects!$B$19*(Assumptions!$B$10+Assumptions!$B$11+Assumptions!$B$12)*0.05,0)</f>
        <v>1086600.92041905</v>
      </c>
      <c r="AA28" s="19" t="n">
        <f aca="false">IF(AND(Projects!$G$19="Yes",AA$3&gt;=Projects!$C$19,AA$3&lt;Projects!$C$19+Projects!$D$19),Projects!$B$19*INDEX(Curves!$B$4:$AR$4,1,AA$3-Projects!$C$19+1),0)-IF(AND(Projects!$G$19="Yes",AA$3&gt;=Projects!$C$19,AA$3&lt;Projects!$C$19+Projects!$D$19),Projects!$B$19*(Assumptions!$B$10+Assumptions!$B$11+Assumptions!$B$12)/Projects!$D$19*0.95,0)-IF(AND(Projects!$G$19="Yes",AA$3=Projects!$C$19+Projects!$D$19-1),Projects!$B$19*(Assumptions!$B$10+Assumptions!$B$11+Assumptions!$B$12)*0.05,0)</f>
        <v>1163451.93884205</v>
      </c>
      <c r="AB28" s="19" t="n">
        <f aca="false">IF(AND(Projects!$G$19="Yes",AB$3&gt;=Projects!$C$19,AB$3&lt;Projects!$C$19+Projects!$D$19),Projects!$B$19*INDEX(Curves!$B$4:$AR$4,1,AB$3-Projects!$C$19+1),0)-IF(AND(Projects!$G$19="Yes",AB$3&gt;=Projects!$C$19,AB$3&lt;Projects!$C$19+Projects!$D$19),Projects!$B$19*(Assumptions!$B$10+Assumptions!$B$11+Assumptions!$B$12)/Projects!$D$19*0.95,0)-IF(AND(Projects!$G$19="Yes",AB$3=Projects!$C$19+Projects!$D$19-1),Projects!$B$19*(Assumptions!$B$10+Assumptions!$B$11+Assumptions!$B$12)*0.05,0)</f>
        <v>1211919.53577405</v>
      </c>
      <c r="AC28" s="19" t="n">
        <f aca="false">IF(AND(Projects!$G$19="Yes",AC$3&gt;=Projects!$C$19,AC$3&lt;Projects!$C$19+Projects!$D$19),Projects!$B$19*INDEX(Curves!$B$4:$AR$4,1,AC$3-Projects!$C$19+1),0)-IF(AND(Projects!$G$19="Yes",AC$3&gt;=Projects!$C$19,AC$3&lt;Projects!$C$19+Projects!$D$19),Projects!$B$19*(Assumptions!$B$10+Assumptions!$B$11+Assumptions!$B$12)/Projects!$D$19*0.95,0)-IF(AND(Projects!$G$19="Yes",AC$3=Projects!$C$19+Projects!$D$19-1),Projects!$B$19*(Assumptions!$B$10+Assumptions!$B$11+Assumptions!$B$12)*0.05,0)</f>
        <v>1228481.14233605</v>
      </c>
      <c r="AD28" s="19" t="n">
        <f aca="false">IF(AND(Projects!$G$19="Yes",AD$3&gt;=Projects!$C$19,AD$3&lt;Projects!$C$19+Projects!$D$19),Projects!$B$19*INDEX(Curves!$B$4:$AR$4,1,AD$3-Projects!$C$19+1),0)-IF(AND(Projects!$G$19="Yes",AD$3&gt;=Projects!$C$19,AD$3&lt;Projects!$C$19+Projects!$D$19),Projects!$B$19*(Assumptions!$B$10+Assumptions!$B$11+Assumptions!$B$12)/Projects!$D$19*0.95,0)-IF(AND(Projects!$G$19="Yes",AD$3=Projects!$C$19+Projects!$D$19-1),Projects!$B$19*(Assumptions!$B$10+Assumptions!$B$11+Assumptions!$B$12)*0.05,0)</f>
        <v>1211919.53577405</v>
      </c>
      <c r="AE28" s="19" t="n">
        <f aca="false">IF(AND(Projects!$G$19="Yes",AE$3&gt;=Projects!$C$19,AE$3&lt;Projects!$C$19+Projects!$D$19),Projects!$B$19*INDEX(Curves!$B$4:$AR$4,1,AE$3-Projects!$C$19+1),0)-IF(AND(Projects!$G$19="Yes",AE$3&gt;=Projects!$C$19,AE$3&lt;Projects!$C$19+Projects!$D$19),Projects!$B$19*(Assumptions!$B$10+Assumptions!$B$11+Assumptions!$B$12)/Projects!$D$19*0.95,0)-IF(AND(Projects!$G$19="Yes",AE$3=Projects!$C$19+Projects!$D$19-1),Projects!$B$19*(Assumptions!$B$10+Assumptions!$B$11+Assumptions!$B$12)*0.05,0)</f>
        <v>1163451.93884205</v>
      </c>
      <c r="AF28" s="19" t="n">
        <f aca="false">IF(AND(Projects!$G$19="Yes",AF$3&gt;=Projects!$C$19,AF$3&lt;Projects!$C$19+Projects!$D$19),Projects!$B$19*INDEX(Curves!$B$4:$AR$4,1,AF$3-Projects!$C$19+1),0)-IF(AND(Projects!$G$19="Yes",AF$3&gt;=Projects!$C$19,AF$3&lt;Projects!$C$19+Projects!$D$19),Projects!$B$19*(Assumptions!$B$10+Assumptions!$B$11+Assumptions!$B$12)/Projects!$D$19*0.95,0)-IF(AND(Projects!$G$19="Yes",AF$3=Projects!$C$19+Projects!$D$19-1),Projects!$B$19*(Assumptions!$B$10+Assumptions!$B$11+Assumptions!$B$12)*0.05,0)</f>
        <v>1086600.92041905</v>
      </c>
      <c r="AG28" s="19" t="n">
        <f aca="false">IF(AND(Projects!$G$19="Yes",AG$3&gt;=Projects!$C$19,AG$3&lt;Projects!$C$19+Projects!$D$19),Projects!$B$19*INDEX(Curves!$B$4:$AR$4,1,AG$3-Projects!$C$19+1),0)-IF(AND(Projects!$G$19="Yes",AG$3&gt;=Projects!$C$19,AG$3&lt;Projects!$C$19+Projects!$D$19),Projects!$B$19*(Assumptions!$B$10+Assumptions!$B$11+Assumptions!$B$12)/Projects!$D$19*0.95,0)-IF(AND(Projects!$G$19="Yes",AG$3=Projects!$C$19+Projects!$D$19-1),Projects!$B$19*(Assumptions!$B$10+Assumptions!$B$11+Assumptions!$B$12)*0.05,0)</f>
        <v>986733.32628405</v>
      </c>
      <c r="AH28" s="19" t="n">
        <f aca="false">IF(AND(Projects!$G$19="Yes",AH$3&gt;=Projects!$C$19,AH$3&lt;Projects!$C$19+Projects!$D$19),Projects!$B$19*INDEX(Curves!$B$4:$AR$4,1,AH$3-Projects!$C$19+1),0)-IF(AND(Projects!$G$19="Yes",AH$3&gt;=Projects!$C$19,AH$3&lt;Projects!$C$19+Projects!$D$19),Projects!$B$19*(Assumptions!$B$10+Assumptions!$B$11+Assumptions!$B$12)/Projects!$D$19*0.95,0)-IF(AND(Projects!$G$19="Yes",AH$3=Projects!$C$19+Projects!$D$19-1),Projects!$B$19*(Assumptions!$B$10+Assumptions!$B$11+Assumptions!$B$12)*0.05,0)</f>
        <v>870470.11050805</v>
      </c>
      <c r="AI28" s="19" t="n">
        <f aca="false">IF(AND(Projects!$G$19="Yes",AI$3&gt;=Projects!$C$19,AI$3&lt;Projects!$C$19+Projects!$D$19),Projects!$B$19*INDEX(Curves!$B$4:$AR$4,1,AI$3-Projects!$C$19+1),0)-IF(AND(Projects!$G$19="Yes",AI$3&gt;=Projects!$C$19,AI$3&lt;Projects!$C$19+Projects!$D$19),Projects!$B$19*(Assumptions!$B$10+Assumptions!$B$11+Assumptions!$B$12)/Projects!$D$19*0.95,0)-IF(AND(Projects!$G$19="Yes",AI$3=Projects!$C$19+Projects!$D$19-1),Projects!$B$19*(Assumptions!$B$10+Assumptions!$B$11+Assumptions!$B$12)*0.05,0)</f>
        <v>744948.62469405</v>
      </c>
      <c r="AJ28" s="19" t="n">
        <f aca="false">IF(AND(Projects!$G$19="Yes",AJ$3&gt;=Projects!$C$19,AJ$3&lt;Projects!$C$19+Projects!$D$19),Projects!$B$19*INDEX(Curves!$B$4:$AR$4,1,AJ$3-Projects!$C$19+1),0)-IF(AND(Projects!$G$19="Yes",AJ$3&gt;=Projects!$C$19,AJ$3&lt;Projects!$C$19+Projects!$D$19),Projects!$B$19*(Assumptions!$B$10+Assumptions!$B$11+Assumptions!$B$12)/Projects!$D$19*0.95,0)-IF(AND(Projects!$G$19="Yes",AJ$3=Projects!$C$19+Projects!$D$19-1),Projects!$B$19*(Assumptions!$B$10+Assumptions!$B$11+Assumptions!$B$12)*0.05,0)</f>
        <v>617140.23552405</v>
      </c>
      <c r="AK28" s="19" t="n">
        <f aca="false">IF(AND(Projects!$G$19="Yes",AK$3&gt;=Projects!$C$19,AK$3&lt;Projects!$C$19+Projects!$D$19),Projects!$B$19*INDEX(Curves!$B$4:$AR$4,1,AK$3-Projects!$C$19+1),0)-IF(AND(Projects!$G$19="Yes",AK$3&gt;=Projects!$C$19,AK$3&lt;Projects!$C$19+Projects!$D$19),Projects!$B$19*(Assumptions!$B$10+Assumptions!$B$11+Assumptions!$B$12)/Projects!$D$19*0.95,0)-IF(AND(Projects!$G$19="Yes",AK$3=Projects!$C$19+Projects!$D$19-1),Projects!$B$19*(Assumptions!$B$10+Assumptions!$B$11+Assumptions!$B$12)*0.05,0)</f>
        <v>493186.38507505</v>
      </c>
      <c r="AL28" s="19" t="n">
        <f aca="false">IF(AND(Projects!$G$19="Yes",AL$3&gt;=Projects!$C$19,AL$3&lt;Projects!$C$19+Projects!$D$19),Projects!$B$19*INDEX(Curves!$B$4:$AR$4,1,AL$3-Projects!$C$19+1),0)-IF(AND(Projects!$G$19="Yes",AL$3&gt;=Projects!$C$19,AL$3&lt;Projects!$C$19+Projects!$D$19),Projects!$B$19*(Assumptions!$B$10+Assumptions!$B$11+Assumptions!$B$12)/Projects!$D$19*0.95,0)-IF(AND(Projects!$G$19="Yes",AL$3=Projects!$C$19+Projects!$D$19-1),Projects!$B$19*(Assumptions!$B$10+Assumptions!$B$11+Assumptions!$B$12)*0.05,0)</f>
        <v>267012.5653051</v>
      </c>
      <c r="AM28" s="19" t="n">
        <f aca="false">IF(AND(Projects!$G$19="Yes",AM$3&gt;=Projects!$C$19,AM$3&lt;Projects!$C$19+Projects!$D$19),Projects!$B$19*INDEX(Curves!$B$4:$AR$4,1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$4:$AR$4,1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$4:$AR$4,1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$4:$AR$4,1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$4:$AR$4,1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$4:$AR$4,1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$4:$AR$4,1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$4:$AR$4,1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$4:$AR$4,1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$4:$AR$4,1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$4:$AR$4,1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$4:$AR$4,1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$4:$AR$4,1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$4:$AR$4,1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$4:$AR$4,1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$4:$AR$4,1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$4:$AR$4,1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$4:$AR$4,1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$4:$AR$4,1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$4:$AR$4,1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$4:$AR$4,1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$4:$AR$4,1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$4:$AR$4,1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$4:$AR$4,1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$4:$AR$4,1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$4:$AR$4,1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$4:$AR$4,1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$4:$AR$4,1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$4:$AR$4,1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$4:$AR$4,1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$4:$AR$4,1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$4:$AR$4,1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$4:$AR$4,1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$4:$AR$4,1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$4:$AR$4,1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$4:$AR$4,1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$4:$AR$4,1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$4:$AR$4,1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$4:$AR$4,1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$4:$AR$4,1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$4:$AR$4,1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$4:$AR$4,1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$4:$AR$4,1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$4:$AR$4,1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$4:$AR$4,1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$4:$AR$4,1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$4:$AR$4,1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$4:$AR$4,1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$4:$AR$4,1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$4:$AR$4,1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$4:$AR$4,1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$4:$AR$4,1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$4:$AR$4,1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$4:$AR$4,1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$4:$AR$4,1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$4:$AR$4,1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$4:$AR$4,1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$4:$AR$4,1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$4:$AR$4,1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$4:$AR$4,1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$4:$AR$4,1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$4:$AR$4,1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$4:$AR$4,1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$4:$AR$4,1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$4:$AR$4,1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$4:$AR$4,1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$4:$AR$4,1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$4:$AR$4,1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$4:$AR$4,1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$4:$AR$4,1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$4:$AR$4,1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544360.803130946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700625.211272466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868827.179100646</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1042259.65002005</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1212588.85594753</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1370354.84392385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1505872.42401455</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1610157.14354141</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1675926.34030565</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1698399.98516649</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1675926.34030565</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1610157.14354141</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1505872.42401455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1370354.84392385</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1212588.85594753</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1042259.65002005</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868827.179100646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700625.211272466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544360.803130946</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-119262.404858914</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-269909.653101753</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$4:$AR$4,1,F$3-Projects!$C$21+1),0)-IF(AND(Projects!$G$21="Yes",F$3&gt;=Projects!$C$21,F$3&lt;Projects!$C$21+Projects!$D$21),Projects!$B$21*(Assumptions!$B$10+Assumptions!$B$11+Assumptions!$B$12)/Projects!$D$21*0.95,0)-IF(AND(Projects!$G$21="Yes",F$3=Projects!$C$21+Projects!$D$21-1),Projects!$B$21*(Assumptions!$B$10+Assumptions!$B$11+Assumptions!$B$12)*0.05,0)</f>
        <v>0</v>
      </c>
      <c r="G30" s="19" t="n">
        <f aca="false">IF(AND(Projects!$G$21="Yes",G$3&gt;=Projects!$C$21,G$3&lt;Projects!$C$21+Projects!$D$21),Projects!$B$21*INDEX(Curves!$B$4:$AR$4,1,G$3-Projects!$C$21+1),0)-IF(AND(Projects!$G$21="Yes",G$3&gt;=Projects!$C$21,G$3&lt;Projects!$C$21+Projects!$D$21),Projects!$B$21*(Assumptions!$B$10+Assumptions!$B$11+Assumptions!$B$12)/Projects!$D$21*0.95,0)-IF(AND(Projects!$G$21="Yes",G$3=Projects!$C$21+Projects!$D$21-1),Projects!$B$21*(Assumptions!$B$10+Assumptions!$B$11+Assumptions!$B$12)*0.05,0)</f>
        <v>0</v>
      </c>
      <c r="H30" s="19" t="n">
        <f aca="false">IF(AND(Projects!$G$21="Yes",H$3&gt;=Projects!$C$21,H$3&lt;Projects!$C$21+Projects!$D$21),Projects!$B$21*INDEX(Curves!$B$4:$AR$4,1,H$3-Projects!$C$21+1),0)-IF(AND(Projects!$G$21="Yes",H$3&gt;=Projects!$C$21,H$3&lt;Projects!$C$21+Projects!$D$21),Projects!$B$21*(Assumptions!$B$10+Assumptions!$B$11+Assumptions!$B$12)/Projects!$D$21*0.95,0)-IF(AND(Projects!$G$21="Yes",H$3=Projects!$C$21+Projects!$D$21-1),Projects!$B$21*(Assumptions!$B$10+Assumptions!$B$11+Assumptions!$B$12)*0.05,0)</f>
        <v>0</v>
      </c>
      <c r="I30" s="19" t="n">
        <f aca="false">IF(AND(Projects!$G$21="Yes",I$3&gt;=Projects!$C$21,I$3&lt;Projects!$C$21+Projects!$D$21),Projects!$B$21*INDEX(Curves!$B$4:$AR$4,1,I$3-Projects!$C$21+1),0)-IF(AND(Projects!$G$21="Yes",I$3&gt;=Projects!$C$21,I$3&lt;Projects!$C$21+Projects!$D$21),Projects!$B$21*(Assumptions!$B$10+Assumptions!$B$11+Assumptions!$B$12)/Projects!$D$21*0.95,0)-IF(AND(Projects!$G$21="Yes",I$3=Projects!$C$21+Projects!$D$21-1),Projects!$B$21*(Assumptions!$B$10+Assumptions!$B$11+Assumptions!$B$12)*0.05,0)</f>
        <v>0</v>
      </c>
      <c r="J30" s="19" t="n">
        <f aca="false">IF(AND(Projects!$G$21="Yes",J$3&gt;=Projects!$C$21,J$3&lt;Projects!$C$21+Projects!$D$21),Projects!$B$21*INDEX(Curves!$B$4:$AR$4,1,J$3-Projects!$C$21+1),0)-IF(AND(Projects!$G$21="Yes",J$3&gt;=Projects!$C$21,J$3&lt;Projects!$C$21+Projects!$D$21),Projects!$B$21*(Assumptions!$B$10+Assumptions!$B$11+Assumptions!$B$12)/Projects!$D$21*0.95,0)-IF(AND(Projects!$G$21="Yes",J$3=Projects!$C$21+Projects!$D$21-1),Projects!$B$21*(Assumptions!$B$10+Assumptions!$B$11+Assumptions!$B$12)*0.05,0)</f>
        <v>0</v>
      </c>
      <c r="K30" s="19" t="n">
        <f aca="false">IF(AND(Projects!$G$21="Yes",K$3&gt;=Projects!$C$21,K$3&lt;Projects!$C$21+Projects!$D$21),Projects!$B$21*INDEX(Curves!$B$4:$AR$4,1,K$3-Projects!$C$21+1),0)-IF(AND(Projects!$G$21="Yes",K$3&gt;=Projects!$C$21,K$3&lt;Projects!$C$21+Projects!$D$21),Projects!$B$21*(Assumptions!$B$10+Assumptions!$B$11+Assumptions!$B$12)/Projects!$D$21*0.95,0)-IF(AND(Projects!$G$21="Yes",K$3=Projects!$C$21+Projects!$D$21-1),Projects!$B$21*(Assumptions!$B$10+Assumptions!$B$11+Assumptions!$B$12)*0.05,0)</f>
        <v>0</v>
      </c>
      <c r="L30" s="19" t="n">
        <f aca="false">IF(AND(Projects!$G$21="Yes",L$3&gt;=Projects!$C$21,L$3&lt;Projects!$C$21+Projects!$D$21),Projects!$B$21*INDEX(Curves!$B$4:$AR$4,1,L$3-Projects!$C$21+1),0)-IF(AND(Projects!$G$21="Yes",L$3&gt;=Projects!$C$21,L$3&lt;Projects!$C$21+Projects!$D$21),Projects!$B$21*(Assumptions!$B$10+Assumptions!$B$11+Assumptions!$B$12)/Projects!$D$21*0.95,0)-IF(AND(Projects!$G$21="Yes",L$3=Projects!$C$21+Projects!$D$21-1),Projects!$B$21*(Assumptions!$B$10+Assumptions!$B$11+Assumptions!$B$12)*0.05,0)</f>
        <v>0</v>
      </c>
      <c r="M30" s="19" t="n">
        <f aca="false">IF(AND(Projects!$G$21="Yes",M$3&gt;=Projects!$C$21,M$3&lt;Projects!$C$21+Projects!$D$21),Projects!$B$21*INDEX(Curves!$B$4:$AR$4,1,M$3-Projects!$C$21+1),0)-IF(AND(Projects!$G$21="Yes",M$3&gt;=Projects!$C$21,M$3&lt;Projects!$C$21+Projects!$D$21),Projects!$B$21*(Assumptions!$B$10+Assumptions!$B$11+Assumptions!$B$12)/Projects!$D$21*0.95,0)-IF(AND(Projects!$G$21="Yes",M$3=Projects!$C$21+Projects!$D$21-1),Projects!$B$21*(Assumptions!$B$10+Assumptions!$B$11+Assumptions!$B$12)*0.05,0)</f>
        <v>0</v>
      </c>
      <c r="N30" s="19" t="n">
        <f aca="false">IF(AND(Projects!$G$21="Yes",N$3&gt;=Projects!$C$21,N$3&lt;Projects!$C$21+Projects!$D$21),Projects!$B$21*INDEX(Curves!$B$4:$AR$4,1,N$3-Projects!$C$21+1),0)-IF(AND(Projects!$G$21="Yes",N$3&gt;=Projects!$C$21,N$3&lt;Projects!$C$21+Projects!$D$21),Projects!$B$21*(Assumptions!$B$10+Assumptions!$B$11+Assumptions!$B$12)/Projects!$D$21*0.95,0)-IF(AND(Projects!$G$21="Yes",N$3=Projects!$C$21+Projects!$D$21-1),Projects!$B$21*(Assumptions!$B$10+Assumptions!$B$11+Assumptions!$B$12)*0.05,0)</f>
        <v>311346.196127688</v>
      </c>
      <c r="O30" s="19" t="n">
        <f aca="false">IF(AND(Projects!$G$21="Yes",O$3&gt;=Projects!$C$21,O$3&lt;Projects!$C$21+Projects!$D$21),Projects!$B$21*INDEX(Curves!$B$4:$AR$4,1,O$3-Projects!$C$21+1),0)-IF(AND(Projects!$G$21="Yes",O$3&gt;=Projects!$C$21,O$3&lt;Projects!$C$21+Projects!$D$21),Projects!$B$21*(Assumptions!$B$10+Assumptions!$B$11+Assumptions!$B$12)/Projects!$D$21*0.95,0)-IF(AND(Projects!$G$21="Yes",O$3=Projects!$C$21+Projects!$D$21-1),Projects!$B$21*(Assumptions!$B$10+Assumptions!$B$11+Assumptions!$B$12)*0.05,0)</f>
        <v>406189.488762688</v>
      </c>
      <c r="P30" s="19" t="n">
        <f aca="false">IF(AND(Projects!$G$21="Yes",P$3&gt;=Projects!$C$21,P$3&lt;Projects!$C$21+Projects!$D$21),Projects!$B$21*INDEX(Curves!$B$4:$AR$4,1,P$3-Projects!$C$21+1),0)-IF(AND(Projects!$G$21="Yes",P$3&gt;=Projects!$C$21,P$3&lt;Projects!$C$21+Projects!$D$21),Projects!$B$21*(Assumptions!$B$10+Assumptions!$B$11+Assumptions!$B$12)/Projects!$D$21*0.95,0)-IF(AND(Projects!$G$21="Yes",P$3=Projects!$C$21+Projects!$D$21-1),Projects!$B$21*(Assumptions!$B$10+Assumptions!$B$11+Assumptions!$B$12)*0.05,0)</f>
        <v>508278.177071438</v>
      </c>
      <c r="Q30" s="19" t="n">
        <f aca="false">IF(AND(Projects!$G$21="Yes",Q$3&gt;=Projects!$C$21,Q$3&lt;Projects!$C$21+Projects!$D$21),Projects!$B$21*INDEX(Curves!$B$4:$AR$4,1,Q$3-Projects!$C$21+1),0)-IF(AND(Projects!$G$21="Yes",Q$3&gt;=Projects!$C$21,Q$3&lt;Projects!$C$21+Projects!$D$21),Projects!$B$21*(Assumptions!$B$10+Assumptions!$B$11+Assumptions!$B$12)/Projects!$D$21*0.95,0)-IF(AND(Projects!$G$21="Yes",Q$3=Projects!$C$21+Projects!$D$21-1),Projects!$B$21*(Assumptions!$B$10+Assumptions!$B$11+Assumptions!$B$12)*0.05,0)</f>
        <v>613541.472708938</v>
      </c>
      <c r="R30" s="19" t="n">
        <f aca="false">IF(AND(Projects!$G$21="Yes",R$3&gt;=Projects!$C$21,R$3&lt;Projects!$C$21+Projects!$D$21),Projects!$B$21*INDEX(Curves!$B$4:$AR$4,1,R$3-Projects!$C$21+1),0)-IF(AND(Projects!$G$21="Yes",R$3&gt;=Projects!$C$21,R$3&lt;Projects!$C$21+Projects!$D$21),Projects!$B$21*(Assumptions!$B$10+Assumptions!$B$11+Assumptions!$B$12)/Projects!$D$21*0.95,0)-IF(AND(Projects!$G$21="Yes",R$3=Projects!$C$21+Projects!$D$21-1),Projects!$B$21*(Assumptions!$B$10+Assumptions!$B$11+Assumptions!$B$12)*0.05,0)</f>
        <v>716921.269261438</v>
      </c>
      <c r="S30" s="19" t="n">
        <f aca="false">IF(AND(Projects!$G$21="Yes",S$3&gt;=Projects!$C$21,S$3&lt;Projects!$C$21+Projects!$D$21),Projects!$B$21*INDEX(Curves!$B$4:$AR$4,1,S$3-Projects!$C$21+1),0)-IF(AND(Projects!$G$21="Yes",S$3&gt;=Projects!$C$21,S$3&lt;Projects!$C$21+Projects!$D$21),Projects!$B$21*(Assumptions!$B$10+Assumptions!$B$11+Assumptions!$B$12)/Projects!$D$21*0.95,0)-IF(AND(Projects!$G$21="Yes",S$3=Projects!$C$21+Projects!$D$21-1),Projects!$B$21*(Assumptions!$B$10+Assumptions!$B$11+Assumptions!$B$12)*0.05,0)</f>
        <v>812675.932421438</v>
      </c>
      <c r="T30" s="19" t="n">
        <f aca="false">IF(AND(Projects!$G$21="Yes",T$3&gt;=Projects!$C$21,T$3&lt;Projects!$C$21+Projects!$D$21),Projects!$B$21*INDEX(Curves!$B$4:$AR$4,1,T$3-Projects!$C$21+1),0)-IF(AND(Projects!$G$21="Yes",T$3&gt;=Projects!$C$21,T$3&lt;Projects!$C$21+Projects!$D$21),Projects!$B$21*(Assumptions!$B$10+Assumptions!$B$11+Assumptions!$B$12)/Projects!$D$21*0.95,0)-IF(AND(Projects!$G$21="Yes",T$3=Projects!$C$21+Projects!$D$21-1),Projects!$B$21*(Assumptions!$B$10+Assumptions!$B$11+Assumptions!$B$12)*0.05,0)</f>
        <v>894927.122302687</v>
      </c>
      <c r="U30" s="19" t="n">
        <f aca="false">IF(AND(Projects!$G$21="Yes",U$3&gt;=Projects!$C$21,U$3&lt;Projects!$C$21+Projects!$D$21),Projects!$B$21*INDEX(Curves!$B$4:$AR$4,1,U$3-Projects!$C$21+1),0)-IF(AND(Projects!$G$21="Yes",U$3&gt;=Projects!$C$21,U$3&lt;Projects!$C$21+Projects!$D$21),Projects!$B$21*(Assumptions!$B$10+Assumptions!$B$11+Assumptions!$B$12)/Projects!$D$21*0.95,0)-IF(AND(Projects!$G$21="Yes",U$3=Projects!$C$21+Projects!$D$21-1),Projects!$B$21*(Assumptions!$B$10+Assumptions!$B$11+Assumptions!$B$12)*0.05,0)</f>
        <v>958221.805263938</v>
      </c>
      <c r="V30" s="19" t="n">
        <f aca="false">IF(AND(Projects!$G$21="Yes",V$3&gt;=Projects!$C$21,V$3&lt;Projects!$C$21+Projects!$D$21),Projects!$B$21*INDEX(Curves!$B$4:$AR$4,1,V$3-Projects!$C$21+1),0)-IF(AND(Projects!$G$21="Yes",V$3&gt;=Projects!$C$21,V$3&lt;Projects!$C$21+Projects!$D$21),Projects!$B$21*(Assumptions!$B$10+Assumptions!$B$11+Assumptions!$B$12)/Projects!$D$21*0.95,0)-IF(AND(Projects!$G$21="Yes",V$3=Projects!$C$21+Projects!$D$21-1),Projects!$B$21*(Assumptions!$B$10+Assumptions!$B$11+Assumptions!$B$12)*0.05,0)</f>
        <v>998139.834258938</v>
      </c>
      <c r="W30" s="19" t="n">
        <f aca="false">IF(AND(Projects!$G$21="Yes",W$3&gt;=Projects!$C$21,W$3&lt;Projects!$C$21+Projects!$D$21),Projects!$B$21*INDEX(Curves!$B$4:$AR$4,1,W$3-Projects!$C$21+1),0)-IF(AND(Projects!$G$21="Yes",W$3&gt;=Projects!$C$21,W$3&lt;Projects!$C$21+Projects!$D$21),Projects!$B$21*(Assumptions!$B$10+Assumptions!$B$11+Assumptions!$B$12)/Projects!$D$21*0.95,0)-IF(AND(Projects!$G$21="Yes",W$3=Projects!$C$21+Projects!$D$21-1),Projects!$B$21*(Assumptions!$B$10+Assumptions!$B$11+Assumptions!$B$12)*0.05,0)</f>
        <v>1011780.01311644</v>
      </c>
      <c r="X30" s="19" t="n">
        <f aca="false">IF(AND(Projects!$G$21="Yes",X$3&gt;=Projects!$C$21,X$3&lt;Projects!$C$21+Projects!$D$21),Projects!$B$21*INDEX(Curves!$B$4:$AR$4,1,X$3-Projects!$C$21+1),0)-IF(AND(Projects!$G$21="Yes",X$3&gt;=Projects!$C$21,X$3&lt;Projects!$C$21+Projects!$D$21),Projects!$B$21*(Assumptions!$B$10+Assumptions!$B$11+Assumptions!$B$12)/Projects!$D$21*0.95,0)-IF(AND(Projects!$G$21="Yes",X$3=Projects!$C$21+Projects!$D$21-1),Projects!$B$21*(Assumptions!$B$10+Assumptions!$B$11+Assumptions!$B$12)*0.05,0)</f>
        <v>998139.834258938</v>
      </c>
      <c r="Y30" s="19" t="n">
        <f aca="false">IF(AND(Projects!$G$21="Yes",Y$3&gt;=Projects!$C$21,Y$3&lt;Projects!$C$21+Projects!$D$21),Projects!$B$21*INDEX(Curves!$B$4:$AR$4,1,Y$3-Projects!$C$21+1),0)-IF(AND(Projects!$G$21="Yes",Y$3&gt;=Projects!$C$21,Y$3&lt;Projects!$C$21+Projects!$D$21),Projects!$B$21*(Assumptions!$B$10+Assumptions!$B$11+Assumptions!$B$12)/Projects!$D$21*0.95,0)-IF(AND(Projects!$G$21="Yes",Y$3=Projects!$C$21+Projects!$D$21-1),Projects!$B$21*(Assumptions!$B$10+Assumptions!$B$11+Assumptions!$B$12)*0.05,0)</f>
        <v>958221.805263938</v>
      </c>
      <c r="Z30" s="19" t="n">
        <f aca="false">IF(AND(Projects!$G$21="Yes",Z$3&gt;=Projects!$C$21,Z$3&lt;Projects!$C$21+Projects!$D$21),Projects!$B$21*INDEX(Curves!$B$4:$AR$4,1,Z$3-Projects!$C$21+1),0)-IF(AND(Projects!$G$21="Yes",Z$3&gt;=Projects!$C$21,Z$3&lt;Projects!$C$21+Projects!$D$21),Projects!$B$21*(Assumptions!$B$10+Assumptions!$B$11+Assumptions!$B$12)/Projects!$D$21*0.95,0)-IF(AND(Projects!$G$21="Yes",Z$3=Projects!$C$21+Projects!$D$21-1),Projects!$B$21*(Assumptions!$B$10+Assumptions!$B$11+Assumptions!$B$12)*0.05,0)</f>
        <v>894927.122302687</v>
      </c>
      <c r="AA30" s="19" t="n">
        <f aca="false">IF(AND(Projects!$G$21="Yes",AA$3&gt;=Projects!$C$21,AA$3&lt;Projects!$C$21+Projects!$D$21),Projects!$B$21*INDEX(Curves!$B$4:$AR$4,1,AA$3-Projects!$C$21+1),0)-IF(AND(Projects!$G$21="Yes",AA$3&gt;=Projects!$C$21,AA$3&lt;Projects!$C$21+Projects!$D$21),Projects!$B$21*(Assumptions!$B$10+Assumptions!$B$11+Assumptions!$B$12)/Projects!$D$21*0.95,0)-IF(AND(Projects!$G$21="Yes",AA$3=Projects!$C$21+Projects!$D$21-1),Projects!$B$21*(Assumptions!$B$10+Assumptions!$B$11+Assumptions!$B$12)*0.05,0)</f>
        <v>812675.932421438</v>
      </c>
      <c r="AB30" s="19" t="n">
        <f aca="false">IF(AND(Projects!$G$21="Yes",AB$3&gt;=Projects!$C$21,AB$3&lt;Projects!$C$21+Projects!$D$21),Projects!$B$21*INDEX(Curves!$B$4:$AR$4,1,AB$3-Projects!$C$21+1),0)-IF(AND(Projects!$G$21="Yes",AB$3&gt;=Projects!$C$21,AB$3&lt;Projects!$C$21+Projects!$D$21),Projects!$B$21*(Assumptions!$B$10+Assumptions!$B$11+Assumptions!$B$12)/Projects!$D$21*0.95,0)-IF(AND(Projects!$G$21="Yes",AB$3=Projects!$C$21+Projects!$D$21-1),Projects!$B$21*(Assumptions!$B$10+Assumptions!$B$11+Assumptions!$B$12)*0.05,0)</f>
        <v>716921.269261438</v>
      </c>
      <c r="AC30" s="19" t="n">
        <f aca="false">IF(AND(Projects!$G$21="Yes",AC$3&gt;=Projects!$C$21,AC$3&lt;Projects!$C$21+Projects!$D$21),Projects!$B$21*INDEX(Curves!$B$4:$AR$4,1,AC$3-Projects!$C$21+1),0)-IF(AND(Projects!$G$21="Yes",AC$3&gt;=Projects!$C$21,AC$3&lt;Projects!$C$21+Projects!$D$21),Projects!$B$21*(Assumptions!$B$10+Assumptions!$B$11+Assumptions!$B$12)/Projects!$D$21*0.95,0)-IF(AND(Projects!$G$21="Yes",AC$3=Projects!$C$21+Projects!$D$21-1),Projects!$B$21*(Assumptions!$B$10+Assumptions!$B$11+Assumptions!$B$12)*0.05,0)</f>
        <v>613541.472708938</v>
      </c>
      <c r="AD30" s="19" t="n">
        <f aca="false">IF(AND(Projects!$G$21="Yes",AD$3&gt;=Projects!$C$21,AD$3&lt;Projects!$C$21+Projects!$D$21),Projects!$B$21*INDEX(Curves!$B$4:$AR$4,1,AD$3-Projects!$C$21+1),0)-IF(AND(Projects!$G$21="Yes",AD$3&gt;=Projects!$C$21,AD$3&lt;Projects!$C$21+Projects!$D$21),Projects!$B$21*(Assumptions!$B$10+Assumptions!$B$11+Assumptions!$B$12)/Projects!$D$21*0.95,0)-IF(AND(Projects!$G$21="Yes",AD$3=Projects!$C$21+Projects!$D$21-1),Projects!$B$21*(Assumptions!$B$10+Assumptions!$B$11+Assumptions!$B$12)*0.05,0)</f>
        <v>508278.177071438</v>
      </c>
      <c r="AE30" s="19" t="n">
        <f aca="false">IF(AND(Projects!$G$21="Yes",AE$3&gt;=Projects!$C$21,AE$3&lt;Projects!$C$21+Projects!$D$21),Projects!$B$21*INDEX(Curves!$B$4:$AR$4,1,AE$3-Projects!$C$21+1),0)-IF(AND(Projects!$G$21="Yes",AE$3&gt;=Projects!$C$21,AE$3&lt;Projects!$C$21+Projects!$D$21),Projects!$B$21*(Assumptions!$B$10+Assumptions!$B$11+Assumptions!$B$12)/Projects!$D$21*0.95,0)-IF(AND(Projects!$G$21="Yes",AE$3=Projects!$C$21+Projects!$D$21-1),Projects!$B$21*(Assumptions!$B$10+Assumptions!$B$11+Assumptions!$B$12)*0.05,0)</f>
        <v>406189.488762688</v>
      </c>
      <c r="AF30" s="19" t="n">
        <f aca="false">IF(AND(Projects!$G$21="Yes",AF$3&gt;=Projects!$C$21,AF$3&lt;Projects!$C$21+Projects!$D$21),Projects!$B$21*INDEX(Curves!$B$4:$AR$4,1,AF$3-Projects!$C$21+1),0)-IF(AND(Projects!$G$21="Yes",AF$3&gt;=Projects!$C$21,AF$3&lt;Projects!$C$21+Projects!$D$21),Projects!$B$21*(Assumptions!$B$10+Assumptions!$B$11+Assumptions!$B$12)/Projects!$D$21*0.95,0)-IF(AND(Projects!$G$21="Yes",AF$3=Projects!$C$21+Projects!$D$21-1),Projects!$B$21*(Assumptions!$B$10+Assumptions!$B$11+Assumptions!$B$12)*0.05,0)</f>
        <v>219912.188731625</v>
      </c>
      <c r="AG30" s="19" t="n">
        <f aca="false">IF(AND(Projects!$G$21="Yes",AG$3&gt;=Projects!$C$21,AG$3&lt;Projects!$C$21+Projects!$D$21),Projects!$B$21*INDEX(Curves!$B$4:$AR$4,1,AG$3-Projects!$C$21+1),0)-IF(AND(Projects!$G$21="Yes",AG$3&gt;=Projects!$C$21,AG$3&lt;Projects!$C$21+Projects!$D$21),Projects!$B$21*(Assumptions!$B$10+Assumptions!$B$11+Assumptions!$B$12)/Projects!$D$21*0.95,0)-IF(AND(Projects!$G$21="Yes",AG$3=Projects!$C$21+Projects!$D$21-1),Projects!$B$21*(Assumptions!$B$10+Assumptions!$B$11+Assumptions!$B$12)*0.05,0)</f>
        <v>0</v>
      </c>
      <c r="AH30" s="19" t="n">
        <f aca="false">IF(AND(Projects!$G$21="Yes",AH$3&gt;=Projects!$C$21,AH$3&lt;Projects!$C$21+Projects!$D$21),Projects!$B$21*INDEX(Curves!$B$4:$AR$4,1,AH$3-Projects!$C$21+1),0)-IF(AND(Projects!$G$21="Yes",AH$3&gt;=Projects!$C$21,AH$3&lt;Projects!$C$21+Projects!$D$21),Projects!$B$21*(Assumptions!$B$10+Assumptions!$B$11+Assumptions!$B$12)/Projects!$D$21*0.95,0)-IF(AND(Projects!$G$21="Yes",AH$3=Projects!$C$21+Projects!$D$21-1),Projects!$B$21*(Assumptions!$B$10+Assumptions!$B$11+Assumptions!$B$12)*0.05,0)</f>
        <v>0</v>
      </c>
      <c r="AI30" s="19" t="n">
        <f aca="false">IF(AND(Projects!$G$21="Yes",AI$3&gt;=Projects!$C$21,AI$3&lt;Projects!$C$21+Projects!$D$21),Projects!$B$21*INDEX(Curves!$B$4:$AR$4,1,AI$3-Projects!$C$21+1),0)-IF(AND(Projects!$G$21="Yes",AI$3&gt;=Projects!$C$21,AI$3&lt;Projects!$C$21+Projects!$D$21),Projects!$B$21*(Assumptions!$B$10+Assumptions!$B$11+Assumptions!$B$12)/Projects!$D$21*0.95,0)-IF(AND(Projects!$G$21="Yes",AI$3=Projects!$C$21+Projects!$D$21-1),Projects!$B$21*(Assumptions!$B$10+Assumptions!$B$11+Assumptions!$B$12)*0.05,0)</f>
        <v>0</v>
      </c>
      <c r="AJ30" s="19" t="n">
        <f aca="false">IF(AND(Projects!$G$21="Yes",AJ$3&gt;=Projects!$C$21,AJ$3&lt;Projects!$C$21+Projects!$D$21),Projects!$B$21*INDEX(Curves!$B$4:$AR$4,1,AJ$3-Projects!$C$21+1),0)-IF(AND(Projects!$G$21="Yes",AJ$3&gt;=Projects!$C$21,AJ$3&lt;Projects!$C$21+Projects!$D$21),Projects!$B$21*(Assumptions!$B$10+Assumptions!$B$11+Assumptions!$B$12)/Projects!$D$21*0.95,0)-IF(AND(Projects!$G$21="Yes",AJ$3=Projects!$C$21+Projects!$D$21-1),Projects!$B$21*(Assumptions!$B$10+Assumptions!$B$11+Assumptions!$B$12)*0.05,0)</f>
        <v>0</v>
      </c>
      <c r="AK30" s="19" t="n">
        <f aca="false">IF(AND(Projects!$G$21="Yes",AK$3&gt;=Projects!$C$21,AK$3&lt;Projects!$C$21+Projects!$D$21),Projects!$B$21*INDEX(Curves!$B$4:$AR$4,1,AK$3-Projects!$C$21+1),0)-IF(AND(Projects!$G$21="Yes",AK$3&gt;=Projects!$C$21,AK$3&lt;Projects!$C$21+Projects!$D$21),Projects!$B$21*(Assumptions!$B$10+Assumptions!$B$11+Assumptions!$B$12)/Projects!$D$21*0.95,0)-IF(AND(Projects!$G$21="Yes",AK$3=Projects!$C$21+Projects!$D$21-1),Projects!$B$21*(Assumptions!$B$10+Assumptions!$B$11+Assumptions!$B$12)*0.05,0)</f>
        <v>0</v>
      </c>
      <c r="AL30" s="19" t="n">
        <f aca="false">IF(AND(Projects!$G$21="Yes",AL$3&gt;=Projects!$C$21,AL$3&lt;Projects!$C$21+Projects!$D$21),Projects!$B$21*INDEX(Curves!$B$4:$AR$4,1,AL$3-Projects!$C$21+1),0)-IF(AND(Projects!$G$21="Yes",AL$3&gt;=Projects!$C$21,AL$3&lt;Projects!$C$21+Projects!$D$21),Projects!$B$21*(Assumptions!$B$10+Assumptions!$B$11+Assumptions!$B$12)/Projects!$D$21*0.95,0)-IF(AND(Projects!$G$21="Yes",AL$3=Projects!$C$21+Projects!$D$21-1),Projects!$B$21*(Assumptions!$B$10+Assumptions!$B$11+Assumptions!$B$12)*0.05,0)</f>
        <v>0</v>
      </c>
      <c r="AM30" s="19" t="n">
        <f aca="false">IF(AND(Projects!$G$21="Yes",AM$3&gt;=Projects!$C$21,AM$3&lt;Projects!$C$21+Projects!$D$21),Projects!$B$21*INDEX(Curves!$B$4:$AR$4,1,AM$3-Projects!$C$21+1),0)-IF(AND(Projects!$G$21="Yes",AM$3&gt;=Projects!$C$21,AM$3&lt;Projects!$C$21+Projects!$D$21),Projects!$B$21*(Assumptions!$B$10+Assumptions!$B$11+Assumptions!$B$12)/Projects!$D$21*0.95,0)-IF(AND(Projects!$G$21="Yes",AM$3=Projects!$C$21+Projects!$D$21-1),Projects!$B$21*(Assumptions!$B$10+Assumptions!$B$11+Assumptions!$B$12)*0.05,0)</f>
        <v>0</v>
      </c>
      <c r="AN30" s="19" t="n">
        <f aca="false">IF(AND(Projects!$G$21="Yes",AN$3&gt;=Projects!$C$21,AN$3&lt;Projects!$C$21+Projects!$D$21),Projects!$B$21*INDEX(Curves!$B$4:$AR$4,1,AN$3-Projects!$C$21+1),0)-IF(AND(Projects!$G$21="Yes",AN$3&gt;=Projects!$C$21,AN$3&lt;Projects!$C$21+Projects!$D$21),Projects!$B$21*(Assumptions!$B$10+Assumptions!$B$11+Assumptions!$B$12)/Projects!$D$21*0.95,0)-IF(AND(Projects!$G$21="Yes",AN$3=Projects!$C$21+Projects!$D$21-1),Projects!$B$21*(Assumptions!$B$10+Assumptions!$B$11+Assumptions!$B$12)*0.05,0)</f>
        <v>0</v>
      </c>
      <c r="AO30" s="19" t="n">
        <f aca="false">IF(AND(Projects!$G$21="Yes",AO$3&gt;=Projects!$C$21,AO$3&lt;Projects!$C$21+Projects!$D$21),Projects!$B$21*INDEX(Curves!$B$4:$AR$4,1,AO$3-Projects!$C$21+1),0)-IF(AND(Projects!$G$21="Yes",AO$3&gt;=Projects!$C$21,AO$3&lt;Projects!$C$21+Projects!$D$21),Projects!$B$21*(Assumptions!$B$10+Assumptions!$B$11+Assumptions!$B$12)/Projects!$D$21*0.95,0)-IF(AND(Projects!$G$21="Yes",AO$3=Projects!$C$21+Projects!$D$21-1),Projects!$B$21*(Assumptions!$B$10+Assumptions!$B$11+Assumptions!$B$12)*0.05,0)</f>
        <v>0</v>
      </c>
      <c r="AP30" s="19" t="n">
        <f aca="false">IF(AND(Projects!$G$21="Yes",AP$3&gt;=Projects!$C$21,AP$3&lt;Projects!$C$21+Projects!$D$21),Projects!$B$21*INDEX(Curves!$B$4:$AR$4,1,AP$3-Projects!$C$21+1),0)-IF(AND(Projects!$G$21="Yes",AP$3&gt;=Projects!$C$21,AP$3&lt;Projects!$C$21+Projects!$D$21),Projects!$B$21*(Assumptions!$B$10+Assumptions!$B$11+Assumptions!$B$12)/Projects!$D$21*0.95,0)-IF(AND(Projects!$G$21="Yes",AP$3=Projects!$C$21+Projects!$D$21-1),Projects!$B$21*(Assumptions!$B$10+Assumptions!$B$11+Assumptions!$B$12)*0.05,0)</f>
        <v>0</v>
      </c>
      <c r="AQ30" s="19" t="n">
        <f aca="false">IF(AND(Projects!$G$21="Yes",AQ$3&gt;=Projects!$C$21,AQ$3&lt;Projects!$C$21+Projects!$D$21),Projects!$B$21*INDEX(Curves!$B$4:$AR$4,1,AQ$3-Projects!$C$21+1),0)-IF(AND(Projects!$G$21="Yes",AQ$3&gt;=Projects!$C$21,AQ$3&lt;Projects!$C$21+Projects!$D$21),Projects!$B$21*(Assumptions!$B$10+Assumptions!$B$11+Assumptions!$B$12)/Projects!$D$21*0.95,0)-IF(AND(Projects!$G$21="Yes",AQ$3=Projects!$C$21+Projects!$D$21-1),Projects!$B$21*(Assumptions!$B$10+Assumptions!$B$11+Assumptions!$B$12)*0.05,0)</f>
        <v>0</v>
      </c>
      <c r="AR30" s="19" t="n">
        <f aca="false">IF(AND(Projects!$G$21="Yes",AR$3&gt;=Projects!$C$21,AR$3&lt;Projects!$C$21+Projects!$D$21),Projects!$B$21*INDEX(Curves!$B$4:$AR$4,1,AR$3-Projects!$C$21+1),0)-IF(AND(Projects!$G$21="Yes",AR$3&gt;=Projects!$C$21,AR$3&lt;Projects!$C$21+Projects!$D$21),Projects!$B$21*(Assumptions!$B$10+Assumptions!$B$11+Assumptions!$B$12)/Projects!$D$21*0.95,0)-IF(AND(Projects!$G$21="Yes",AR$3=Projects!$C$21+Projects!$D$21-1),Projects!$B$21*(Assumptions!$B$10+Assumptions!$B$11+Assumptions!$B$12)*0.05,0)</f>
        <v>0</v>
      </c>
      <c r="AS30" s="19" t="n">
        <f aca="false">IF(AND(Projects!$G$21="Yes",AS$3&gt;=Projects!$C$21,AS$3&lt;Projects!$C$21+Projects!$D$21),Projects!$B$21*INDEX(Curves!$B$4:$AR$4,1,AS$3-Projects!$C$21+1),0)-IF(AND(Projects!$G$21="Yes",AS$3&gt;=Projects!$C$21,AS$3&lt;Projects!$C$21+Projects!$D$21),Projects!$B$21*(Assumptions!$B$10+Assumptions!$B$11+Assumptions!$B$12)/Projects!$D$21*0.95,0)-IF(AND(Projects!$G$21="Yes",AS$3=Projects!$C$21+Projects!$D$21-1),Projects!$B$21*(Assumptions!$B$10+Assumptions!$B$11+Assumptions!$B$12)*0.05,0)</f>
        <v>0</v>
      </c>
      <c r="AT30" s="19" t="n">
        <f aca="false">IF(AND(Projects!$G$21="Yes",AT$3&gt;=Projects!$C$21,AT$3&lt;Projects!$C$21+Projects!$D$21),Projects!$B$21*INDEX(Curves!$B$4:$AR$4,1,AT$3-Projects!$C$21+1),0)-IF(AND(Projects!$G$21="Yes",AT$3&gt;=Projects!$C$21,AT$3&lt;Projects!$C$21+Projects!$D$21),Projects!$B$21*(Assumptions!$B$10+Assumptions!$B$11+Assumptions!$B$12)/Projects!$D$21*0.95,0)-IF(AND(Projects!$G$21="Yes",AT$3=Projects!$C$21+Projects!$D$21-1),Projects!$B$21*(Assumptions!$B$10+Assumptions!$B$11+Assumptions!$B$12)*0.05,0)</f>
        <v>0</v>
      </c>
      <c r="AU30" s="19" t="n">
        <f aca="false">IF(AND(Projects!$G$21="Yes",AU$3&gt;=Projects!$C$21,AU$3&lt;Projects!$C$21+Projects!$D$21),Projects!$B$21*INDEX(Curves!$B$4:$AR$4,1,AU$3-Projects!$C$21+1),0)-IF(AND(Projects!$G$21="Yes",AU$3&gt;=Projects!$C$21,AU$3&lt;Projects!$C$21+Projects!$D$21),Projects!$B$21*(Assumptions!$B$10+Assumptions!$B$11+Assumptions!$B$12)/Projects!$D$21*0.95,0)-IF(AND(Projects!$G$21="Yes",AU$3=Projects!$C$21+Projects!$D$21-1),Projects!$B$21*(Assumptions!$B$10+Assumptions!$B$11+Assumptions!$B$12)*0.05,0)</f>
        <v>0</v>
      </c>
      <c r="AV30" s="19" t="n">
        <f aca="false">IF(AND(Projects!$G$21="Yes",AV$3&gt;=Projects!$C$21,AV$3&lt;Projects!$C$21+Projects!$D$21),Projects!$B$21*INDEX(Curves!$B$4:$AR$4,1,AV$3-Projects!$C$21+1),0)-IF(AND(Projects!$G$21="Yes",AV$3&gt;=Projects!$C$21,AV$3&lt;Projects!$C$21+Projects!$D$21),Projects!$B$21*(Assumptions!$B$10+Assumptions!$B$11+Assumptions!$B$12)/Projects!$D$21*0.95,0)-IF(AND(Projects!$G$21="Yes",AV$3=Projects!$C$21+Projects!$D$21-1),Projects!$B$21*(Assumptions!$B$10+Assumptions!$B$11+Assumptions!$B$12)*0.05,0)</f>
        <v>0</v>
      </c>
      <c r="AW30" s="19" t="n">
        <f aca="false">IF(AND(Projects!$G$21="Yes",AW$3&gt;=Projects!$C$21,AW$3&lt;Projects!$C$21+Projects!$D$21),Projects!$B$21*INDEX(Curves!$B$4:$AR$4,1,AW$3-Projects!$C$21+1),0)-IF(AND(Projects!$G$21="Yes",AW$3&gt;=Projects!$C$21,AW$3&lt;Projects!$C$21+Projects!$D$21),Projects!$B$21*(Assumptions!$B$10+Assumptions!$B$11+Assumptions!$B$12)/Projects!$D$21*0.95,0)-IF(AND(Projects!$G$21="Yes",AW$3=Projects!$C$21+Projects!$D$21-1),Projects!$B$21*(Assumptions!$B$10+Assumptions!$B$11+Assumptions!$B$12)*0.05,0)</f>
        <v>0</v>
      </c>
      <c r="AX30" s="19" t="n">
        <f aca="false">IF(AND(Projects!$G$21="Yes",AX$3&gt;=Projects!$C$21,AX$3&lt;Projects!$C$21+Projects!$D$21),Projects!$B$21*INDEX(Curves!$B$4:$AR$4,1,AX$3-Projects!$C$21+1),0)-IF(AND(Projects!$G$21="Yes",AX$3&gt;=Projects!$C$21,AX$3&lt;Projects!$C$21+Projects!$D$21),Projects!$B$21*(Assumptions!$B$10+Assumptions!$B$11+Assumptions!$B$12)/Projects!$D$21*0.95,0)-IF(AND(Projects!$G$21="Yes",AX$3=Projects!$C$21+Projects!$D$21-1),Projects!$B$21*(Assumptions!$B$10+Assumptions!$B$11+Assumptions!$B$12)*0.05,0)</f>
        <v>0</v>
      </c>
      <c r="AY30" s="19" t="n">
        <f aca="false">IF(AND(Projects!$G$21="Yes",AY$3&gt;=Projects!$C$21,AY$3&lt;Projects!$C$21+Projects!$D$21),Projects!$B$21*INDEX(Curves!$B$4:$AR$4,1,AY$3-Projects!$C$21+1),0)-IF(AND(Projects!$G$21="Yes",AY$3&gt;=Projects!$C$21,AY$3&lt;Projects!$C$21+Projects!$D$21),Projects!$B$21*(Assumptions!$B$10+Assumptions!$B$11+Assumptions!$B$12)/Projects!$D$21*0.95,0)-IF(AND(Projects!$G$21="Yes",AY$3=Projects!$C$21+Projects!$D$21-1),Projects!$B$21*(Assumptions!$B$10+Assumptions!$B$11+Assumptions!$B$12)*0.05,0)</f>
        <v>0</v>
      </c>
      <c r="AZ30" s="19" t="n">
        <f aca="false">IF(AND(Projects!$G$21="Yes",AZ$3&gt;=Projects!$C$21,AZ$3&lt;Projects!$C$21+Projects!$D$21),Projects!$B$21*INDEX(Curves!$B$4:$AR$4,1,AZ$3-Projects!$C$21+1),0)-IF(AND(Projects!$G$21="Yes",AZ$3&gt;=Projects!$C$21,AZ$3&lt;Projects!$C$21+Projects!$D$21),Projects!$B$21*(Assumptions!$B$10+Assumptions!$B$11+Assumptions!$B$12)/Projects!$D$21*0.95,0)-IF(AND(Projects!$G$21="Yes",AZ$3=Projects!$C$21+Projects!$D$21-1),Projects!$B$21*(Assumptions!$B$10+Assumptions!$B$11+Assumptions!$B$12)*0.05,0)</f>
        <v>0</v>
      </c>
      <c r="BA30" s="19" t="n">
        <f aca="false">IF(AND(Projects!$G$21="Yes",BA$3&gt;=Projects!$C$21,BA$3&lt;Projects!$C$21+Projects!$D$21),Projects!$B$21*INDEX(Curves!$B$4:$AR$4,1,BA$3-Projects!$C$21+1),0)-IF(AND(Projects!$G$21="Yes",BA$3&gt;=Projects!$C$21,BA$3&lt;Projects!$C$21+Projects!$D$21),Projects!$B$21*(Assumptions!$B$10+Assumptions!$B$11+Assumptions!$B$12)/Projects!$D$21*0.95,0)-IF(AND(Projects!$G$21="Yes",BA$3=Projects!$C$21+Projects!$D$21-1),Projects!$B$21*(Assumptions!$B$10+Assumptions!$B$11+Assumptions!$B$12)*0.05,0)</f>
        <v>0</v>
      </c>
      <c r="BB30" s="19" t="n">
        <f aca="false">IF(AND(Projects!$G$21="Yes",BB$3&gt;=Projects!$C$21,BB$3&lt;Projects!$C$21+Projects!$D$21),Projects!$B$21*INDEX(Curves!$B$4:$AR$4,1,BB$3-Projects!$C$21+1),0)-IF(AND(Projects!$G$21="Yes",BB$3&gt;=Projects!$C$21,BB$3&lt;Projects!$C$21+Projects!$D$21),Projects!$B$21*(Assumptions!$B$10+Assumptions!$B$11+Assumptions!$B$12)/Projects!$D$21*0.95,0)-IF(AND(Projects!$G$21="Yes",BB$3=Projects!$C$21+Projects!$D$21-1),Projects!$B$21*(Assumptions!$B$10+Assumptions!$B$11+Assumptions!$B$12)*0.05,0)</f>
        <v>0</v>
      </c>
      <c r="BC30" s="19" t="n">
        <f aca="false">IF(AND(Projects!$G$21="Yes",BC$3&gt;=Projects!$C$21,BC$3&lt;Projects!$C$21+Projects!$D$21),Projects!$B$21*INDEX(Curves!$B$4:$AR$4,1,BC$3-Projects!$C$21+1),0)-IF(AND(Projects!$G$21="Yes",BC$3&gt;=Projects!$C$21,BC$3&lt;Projects!$C$21+Projects!$D$21),Projects!$B$21*(Assumptions!$B$10+Assumptions!$B$11+Assumptions!$B$12)/Projects!$D$21*0.95,0)-IF(AND(Projects!$G$21="Yes",BC$3=Projects!$C$21+Projects!$D$21-1),Projects!$B$21*(Assumptions!$B$10+Assumptions!$B$11+Assumptions!$B$12)*0.05,0)</f>
        <v>0</v>
      </c>
      <c r="BD30" s="19" t="n">
        <f aca="false">IF(AND(Projects!$G$21="Yes",BD$3&gt;=Projects!$C$21,BD$3&lt;Projects!$C$21+Projects!$D$21),Projects!$B$21*INDEX(Curves!$B$4:$AR$4,1,BD$3-Projects!$C$21+1),0)-IF(AND(Projects!$G$21="Yes",BD$3&gt;=Projects!$C$21,BD$3&lt;Projects!$C$21+Projects!$D$21),Projects!$B$21*(Assumptions!$B$10+Assumptions!$B$11+Assumptions!$B$12)/Projects!$D$21*0.95,0)-IF(AND(Projects!$G$21="Yes",BD$3=Projects!$C$21+Projects!$D$21-1),Projects!$B$21*(Assumptions!$B$10+Assumptions!$B$11+Assumptions!$B$12)*0.05,0)</f>
        <v>0</v>
      </c>
      <c r="BE30" s="19" t="n">
        <f aca="false">IF(AND(Projects!$G$21="Yes",BE$3&gt;=Projects!$C$21,BE$3&lt;Projects!$C$21+Projects!$D$21),Projects!$B$21*INDEX(Curves!$B$4:$AR$4,1,BE$3-Projects!$C$21+1),0)-IF(AND(Projects!$G$21="Yes",BE$3&gt;=Projects!$C$21,BE$3&lt;Projects!$C$21+Projects!$D$21),Projects!$B$21*(Assumptions!$B$10+Assumptions!$B$11+Assumptions!$B$12)/Projects!$D$21*0.95,0)-IF(AND(Projects!$G$21="Yes",BE$3=Projects!$C$21+Projects!$D$21-1),Projects!$B$21*(Assumptions!$B$10+Assumptions!$B$11+Assumptions!$B$12)*0.05,0)</f>
        <v>0</v>
      </c>
      <c r="BF30" s="19" t="n">
        <f aca="false">IF(AND(Projects!$G$21="Yes",BF$3&gt;=Projects!$C$21,BF$3&lt;Projects!$C$21+Projects!$D$21),Projects!$B$21*INDEX(Curves!$B$4:$AR$4,1,BF$3-Projects!$C$21+1),0)-IF(AND(Projects!$G$21="Yes",BF$3&gt;=Projects!$C$21,BF$3&lt;Projects!$C$21+Projects!$D$21),Projects!$B$21*(Assumptions!$B$10+Assumptions!$B$11+Assumptions!$B$12)/Projects!$D$21*0.95,0)-IF(AND(Projects!$G$21="Yes",BF$3=Projects!$C$21+Projects!$D$21-1),Projects!$B$21*(Assumptions!$B$10+Assumptions!$B$11+Assumptions!$B$12)*0.05,0)</f>
        <v>0</v>
      </c>
      <c r="BG30" s="19" t="n">
        <f aca="false">IF(AND(Projects!$G$21="Yes",BG$3&gt;=Projects!$C$21,BG$3&lt;Projects!$C$21+Projects!$D$21),Projects!$B$21*INDEX(Curves!$B$4:$AR$4,1,BG$3-Projects!$C$21+1),0)-IF(AND(Projects!$G$21="Yes",BG$3&gt;=Projects!$C$21,BG$3&lt;Projects!$C$21+Projects!$D$21),Projects!$B$21*(Assumptions!$B$10+Assumptions!$B$11+Assumptions!$B$12)/Projects!$D$21*0.95,0)-IF(AND(Projects!$G$21="Yes",BG$3=Projects!$C$21+Projects!$D$21-1),Projects!$B$21*(Assumptions!$B$10+Assumptions!$B$11+Assumptions!$B$12)*0.05,0)</f>
        <v>0</v>
      </c>
      <c r="BH30" s="19" t="n">
        <f aca="false">IF(AND(Projects!$G$21="Yes",BH$3&gt;=Projects!$C$21,BH$3&lt;Projects!$C$21+Projects!$D$21),Projects!$B$21*INDEX(Curves!$B$4:$AR$4,1,BH$3-Projects!$C$21+1),0)-IF(AND(Projects!$G$21="Yes",BH$3&gt;=Projects!$C$21,BH$3&lt;Projects!$C$21+Projects!$D$21),Projects!$B$21*(Assumptions!$B$10+Assumptions!$B$11+Assumptions!$B$12)/Projects!$D$21*0.95,0)-IF(AND(Projects!$G$21="Yes",BH$3=Projects!$C$21+Projects!$D$21-1),Projects!$B$21*(Assumptions!$B$10+Assumptions!$B$11+Assumptions!$B$12)*0.05,0)</f>
        <v>0</v>
      </c>
      <c r="BI30" s="19" t="n">
        <f aca="false">IF(AND(Projects!$G$21="Yes",BI$3&gt;=Projects!$C$21,BI$3&lt;Projects!$C$21+Projects!$D$21),Projects!$B$21*INDEX(Curves!$B$4:$AR$4,1,BI$3-Projects!$C$21+1),0)-IF(AND(Projects!$G$21="Yes",BI$3&gt;=Projects!$C$21,BI$3&lt;Projects!$C$21+Projects!$D$21),Projects!$B$21*(Assumptions!$B$10+Assumptions!$B$11+Assumptions!$B$12)/Projects!$D$21*0.95,0)-IF(AND(Projects!$G$21="Yes",BI$3=Projects!$C$21+Projects!$D$21-1),Projects!$B$21*(Assumptions!$B$10+Assumptions!$B$11+Assumptions!$B$12)*0.05,0)</f>
        <v>0</v>
      </c>
      <c r="BJ30" s="19" t="n">
        <f aca="false">IF(AND(Projects!$G$21="Yes",BJ$3&gt;=Projects!$C$21,BJ$3&lt;Projects!$C$21+Projects!$D$21),Projects!$B$21*INDEX(Curves!$B$4:$AR$4,1,BJ$3-Projects!$C$21+1),0)-IF(AND(Projects!$G$21="Yes",BJ$3&gt;=Projects!$C$21,BJ$3&lt;Projects!$C$21+Projects!$D$21),Projects!$B$21*(Assumptions!$B$10+Assumptions!$B$11+Assumptions!$B$12)/Projects!$D$21*0.95,0)-IF(AND(Projects!$G$21="Yes",BJ$3=Projects!$C$21+Projects!$D$21-1),Projects!$B$21*(Assumptions!$B$10+Assumptions!$B$11+Assumptions!$B$12)*0.05,0)</f>
        <v>0</v>
      </c>
      <c r="BK30" s="19" t="n">
        <f aca="false">IF(AND(Projects!$G$21="Yes",BK$3&gt;=Projects!$C$21,BK$3&lt;Projects!$C$21+Projects!$D$21),Projects!$B$21*INDEX(Curves!$B$4:$AR$4,1,BK$3-Projects!$C$21+1),0)-IF(AND(Projects!$G$21="Yes",BK$3&gt;=Projects!$C$21,BK$3&lt;Projects!$C$21+Projects!$D$21),Projects!$B$21*(Assumptions!$B$10+Assumptions!$B$11+Assumptions!$B$12)/Projects!$D$21*0.95,0)-IF(AND(Projects!$G$21="Yes",BK$3=Projects!$C$21+Projects!$D$21-1),Projects!$B$21*(Assumptions!$B$10+Assumptions!$B$11+Assumptions!$B$12)*0.05,0)</f>
        <v>0</v>
      </c>
      <c r="BL30" s="19" t="n">
        <f aca="false">IF(AND(Projects!$G$21="Yes",BL$3&gt;=Projects!$C$21,BL$3&lt;Projects!$C$21+Projects!$D$21),Projects!$B$21*INDEX(Curves!$B$4:$AR$4,1,BL$3-Projects!$C$21+1),0)-IF(AND(Projects!$G$21="Yes",BL$3&gt;=Projects!$C$21,BL$3&lt;Projects!$C$21+Projects!$D$21),Projects!$B$21*(Assumptions!$B$10+Assumptions!$B$11+Assumptions!$B$12)/Projects!$D$21*0.95,0)-IF(AND(Projects!$G$21="Yes",BL$3=Projects!$C$21+Projects!$D$21-1),Projects!$B$21*(Assumptions!$B$10+Assumptions!$B$11+Assumptions!$B$12)*0.05,0)</f>
        <v>0</v>
      </c>
      <c r="BM30" s="19" t="n">
        <f aca="false">IF(AND(Projects!$G$21="Yes",BM$3&gt;=Projects!$C$21,BM$3&lt;Projects!$C$21+Projects!$D$21),Projects!$B$21*INDEX(Curves!$B$4:$AR$4,1,BM$3-Projects!$C$21+1),0)-IF(AND(Projects!$G$21="Yes",BM$3&gt;=Projects!$C$21,BM$3&lt;Projects!$C$21+Projects!$D$21),Projects!$B$21*(Assumptions!$B$10+Assumptions!$B$11+Assumptions!$B$12)/Projects!$D$21*0.95,0)-IF(AND(Projects!$G$21="Yes",BM$3=Projects!$C$21+Projects!$D$21-1),Projects!$B$21*(Assumptions!$B$10+Assumptions!$B$11+Assumptions!$B$12)*0.05,0)</f>
        <v>0</v>
      </c>
      <c r="BN30" s="19" t="n">
        <f aca="false">IF(AND(Projects!$G$21="Yes",BN$3&gt;=Projects!$C$21,BN$3&lt;Projects!$C$21+Projects!$D$21),Projects!$B$21*INDEX(Curves!$B$4:$AR$4,1,BN$3-Projects!$C$21+1),0)-IF(AND(Projects!$G$21="Yes",BN$3&gt;=Projects!$C$21,BN$3&lt;Projects!$C$21+Projects!$D$21),Projects!$B$21*(Assumptions!$B$10+Assumptions!$B$11+Assumptions!$B$12)/Projects!$D$21*0.95,0)-IF(AND(Projects!$G$21="Yes",BN$3=Projects!$C$21+Projects!$D$21-1),Projects!$B$21*(Assumptions!$B$10+Assumptions!$B$11+Assumptions!$B$12)*0.05,0)</f>
        <v>0</v>
      </c>
      <c r="BO30" s="19" t="n">
        <f aca="false">IF(AND(Projects!$G$21="Yes",BO$3&gt;=Projects!$C$21,BO$3&lt;Projects!$C$21+Projects!$D$21),Projects!$B$21*INDEX(Curves!$B$4:$AR$4,1,BO$3-Projects!$C$21+1),0)-IF(AND(Projects!$G$21="Yes",BO$3&gt;=Projects!$C$21,BO$3&lt;Projects!$C$21+Projects!$D$21),Projects!$B$21*(Assumptions!$B$10+Assumptions!$B$11+Assumptions!$B$12)/Projects!$D$21*0.95,0)-IF(AND(Projects!$G$21="Yes",BO$3=Projects!$C$21+Projects!$D$21-1),Projects!$B$21*(Assumptions!$B$10+Assumptions!$B$11+Assumptions!$B$12)*0.05,0)</f>
        <v>0</v>
      </c>
      <c r="BP30" s="19" t="n">
        <f aca="false">IF(AND(Projects!$G$21="Yes",BP$3&gt;=Projects!$C$21,BP$3&lt;Projects!$C$21+Projects!$D$21),Projects!$B$21*INDEX(Curves!$B$4:$AR$4,1,BP$3-Projects!$C$21+1),0)-IF(AND(Projects!$G$21="Yes",BP$3&gt;=Projects!$C$21,BP$3&lt;Projects!$C$21+Projects!$D$21),Projects!$B$21*(Assumptions!$B$10+Assumptions!$B$11+Assumptions!$B$12)/Projects!$D$21*0.95,0)-IF(AND(Projects!$G$21="Yes",BP$3=Projects!$C$21+Projects!$D$21-1),Projects!$B$21*(Assumptions!$B$10+Assumptions!$B$11+Assumptions!$B$12)*0.05,0)</f>
        <v>0</v>
      </c>
      <c r="BQ30" s="19" t="n">
        <f aca="false">IF(AND(Projects!$G$21="Yes",BQ$3&gt;=Projects!$C$21,BQ$3&lt;Projects!$C$21+Projects!$D$21),Projects!$B$21*INDEX(Curves!$B$4:$AR$4,1,BQ$3-Projects!$C$21+1),0)-IF(AND(Projects!$G$21="Yes",BQ$3&gt;=Projects!$C$21,BQ$3&lt;Projects!$C$21+Projects!$D$21),Projects!$B$21*(Assumptions!$B$10+Assumptions!$B$11+Assumptions!$B$12)/Projects!$D$21*0.95,0)-IF(AND(Projects!$G$21="Yes",BQ$3=Projects!$C$21+Projects!$D$21-1),Projects!$B$21*(Assumptions!$B$10+Assumptions!$B$11+Assumptions!$B$12)*0.05,0)</f>
        <v>0</v>
      </c>
      <c r="BR30" s="19" t="n">
        <f aca="false">IF(AND(Projects!$G$21="Yes",BR$3&gt;=Projects!$C$21,BR$3&lt;Projects!$C$21+Projects!$D$21),Projects!$B$21*INDEX(Curves!$B$4:$AR$4,1,BR$3-Projects!$C$21+1),0)-IF(AND(Projects!$G$21="Yes",BR$3&gt;=Projects!$C$21,BR$3&lt;Projects!$C$21+Projects!$D$21),Projects!$B$21*(Assumptions!$B$10+Assumptions!$B$11+Assumptions!$B$12)/Projects!$D$21*0.95,0)-IF(AND(Projects!$G$21="Yes",BR$3=Projects!$C$21+Projects!$D$21-1),Projects!$B$21*(Assumptions!$B$10+Assumptions!$B$11+Assumptions!$B$12)*0.05,0)</f>
        <v>0</v>
      </c>
      <c r="BS30" s="19" t="n">
        <f aca="false">IF(AND(Projects!$G$21="Yes",BS$3&gt;=Projects!$C$21,BS$3&lt;Projects!$C$21+Projects!$D$21),Projects!$B$21*INDEX(Curves!$B$4:$AR$4,1,BS$3-Projects!$C$21+1),0)-IF(AND(Projects!$G$21="Yes",BS$3&gt;=Projects!$C$21,BS$3&lt;Projects!$C$21+Projects!$D$21),Projects!$B$21*(Assumptions!$B$10+Assumptions!$B$11+Assumptions!$B$12)/Projects!$D$21*0.95,0)-IF(AND(Projects!$G$21="Yes",BS$3=Projects!$C$21+Projects!$D$21-1),Projects!$B$21*(Assumptions!$B$10+Assumptions!$B$11+Assumptions!$B$12)*0.05,0)</f>
        <v>0</v>
      </c>
      <c r="BT30" s="19" t="n">
        <f aca="false">IF(AND(Projects!$G$21="Yes",BT$3&gt;=Projects!$C$21,BT$3&lt;Projects!$C$21+Projects!$D$21),Projects!$B$21*INDEX(Curves!$B$4:$AR$4,1,BT$3-Projects!$C$21+1),0)-IF(AND(Projects!$G$21="Yes",BT$3&gt;=Projects!$C$21,BT$3&lt;Projects!$C$21+Projects!$D$21),Projects!$B$21*(Assumptions!$B$10+Assumptions!$B$11+Assumptions!$B$12)/Projects!$D$21*0.95,0)-IF(AND(Projects!$G$21="Yes",BT$3=Projects!$C$21+Projects!$D$21-1),Projects!$B$21*(Assumptions!$B$10+Assumptions!$B$11+Assumptions!$B$12)*0.05,0)</f>
        <v>0</v>
      </c>
      <c r="BU30" s="19" t="n">
        <f aca="false">IF(AND(Projects!$G$21="Yes",BU$3&gt;=Projects!$C$21,BU$3&lt;Projects!$C$21+Projects!$D$21),Projects!$B$21*INDEX(Curves!$B$4:$AR$4,1,BU$3-Projects!$C$21+1),0)-IF(AND(Projects!$G$21="Yes",BU$3&gt;=Projects!$C$21,BU$3&lt;Projects!$C$21+Projects!$D$21),Projects!$B$21*(Assumptions!$B$10+Assumptions!$B$11+Assumptions!$B$12)/Projects!$D$21*0.95,0)-IF(AND(Projects!$G$21="Yes",BU$3=Projects!$C$21+Projects!$D$21-1),Projects!$B$21*(Assumptions!$B$10+Assumptions!$B$11+Assumptions!$B$12)*0.05,0)</f>
        <v>0</v>
      </c>
      <c r="BV30" s="19" t="n">
        <f aca="false">IF(AND(Projects!$G$21="Yes",BV$3&gt;=Projects!$C$21,BV$3&lt;Projects!$C$21+Projects!$D$21),Projects!$B$21*INDEX(Curves!$B$4:$AR$4,1,BV$3-Projects!$C$21+1),0)-IF(AND(Projects!$G$21="Yes",BV$3&gt;=Projects!$C$21,BV$3&lt;Projects!$C$21+Projects!$D$21),Projects!$B$21*(Assumptions!$B$10+Assumptions!$B$11+Assumptions!$B$12)/Projects!$D$21*0.95,0)-IF(AND(Projects!$G$21="Yes",BV$3=Projects!$C$21+Projects!$D$21-1),Projects!$B$21*(Assumptions!$B$10+Assumptions!$B$11+Assumptions!$B$12)*0.05,0)</f>
        <v>0</v>
      </c>
      <c r="BW30" s="19" t="n">
        <f aca="false">IF(AND(Projects!$G$21="Yes",BW$3&gt;=Projects!$C$21,BW$3&lt;Projects!$C$21+Projects!$D$21),Projects!$B$21*INDEX(Curves!$B$4:$AR$4,1,BW$3-Projects!$C$21+1),0)-IF(AND(Projects!$G$21="Yes",BW$3&gt;=Projects!$C$21,BW$3&lt;Projects!$C$21+Projects!$D$21),Projects!$B$21*(Assumptions!$B$10+Assumptions!$B$11+Assumptions!$B$12)/Projects!$D$21*0.95,0)-IF(AND(Projects!$G$21="Yes",BW$3=Projects!$C$21+Projects!$D$21-1),Projects!$B$21*(Assumptions!$B$10+Assumptions!$B$11+Assumptions!$B$12)*0.05,0)</f>
        <v>0</v>
      </c>
      <c r="BX30" s="19" t="n">
        <f aca="false">IF(AND(Projects!$G$21="Yes",BX$3&gt;=Projects!$C$21,BX$3&lt;Projects!$C$21+Projects!$D$21),Projects!$B$21*INDEX(Curves!$B$4:$AR$4,1,BX$3-Projects!$C$21+1),0)-IF(AND(Projects!$G$21="Yes",BX$3&gt;=Projects!$C$21,BX$3&lt;Projects!$C$21+Projects!$D$21),Projects!$B$21*(Assumptions!$B$10+Assumptions!$B$11+Assumptions!$B$12)/Projects!$D$21*0.95,0)-IF(AND(Projects!$G$21="Yes",BX$3=Projects!$C$21+Projects!$D$21-1),Projects!$B$21*(Assumptions!$B$10+Assumptions!$B$11+Assumptions!$B$12)*0.05,0)</f>
        <v>0</v>
      </c>
      <c r="BY30" s="19" t="n">
        <f aca="false">IF(AND(Projects!$G$21="Yes",BY$3&gt;=Projects!$C$21,BY$3&lt;Projects!$C$21+Projects!$D$21),Projects!$B$21*INDEX(Curves!$B$4:$AR$4,1,BY$3-Projects!$C$21+1),0)-IF(AND(Projects!$G$21="Yes",BY$3&gt;=Projects!$C$21,BY$3&lt;Projects!$C$21+Projects!$D$21),Projects!$B$21*(Assumptions!$B$10+Assumptions!$B$11+Assumptions!$B$12)/Projects!$D$21*0.95,0)-IF(AND(Projects!$G$21="Yes",BY$3=Projects!$C$21+Projects!$D$21-1),Projects!$B$21*(Assumptions!$B$10+Assumptions!$B$11+Assumptions!$B$12)*0.05,0)</f>
        <v>0</v>
      </c>
      <c r="BZ30" s="19" t="n">
        <f aca="false">IF(AND(Projects!$G$21="Yes",BZ$3&gt;=Projects!$C$21,BZ$3&lt;Projects!$C$21+Projects!$D$21),Projects!$B$21*INDEX(Curves!$B$4:$AR$4,1,BZ$3-Projects!$C$21+1),0)-IF(AND(Projects!$G$21="Yes",BZ$3&gt;=Projects!$C$21,BZ$3&lt;Projects!$C$21+Projects!$D$21),Projects!$B$21*(Assumptions!$B$10+Assumptions!$B$11+Assumptions!$B$12)/Projects!$D$21*0.95,0)-IF(AND(Projects!$G$21="Yes",BZ$3=Projects!$C$21+Projects!$D$21-1),Projects!$B$21*(Assumptions!$B$10+Assumptions!$B$11+Assumptions!$B$12)*0.05,0)</f>
        <v>0</v>
      </c>
      <c r="CA30" s="19" t="n">
        <f aca="false">IF(AND(Projects!$G$21="Yes",CA$3&gt;=Projects!$C$21,CA$3&lt;Projects!$C$21+Projects!$D$21),Projects!$B$21*INDEX(Curves!$B$4:$AR$4,1,CA$3-Projects!$C$21+1),0)-IF(AND(Projects!$G$21="Yes",CA$3&gt;=Projects!$C$21,CA$3&lt;Projects!$C$21+Projects!$D$21),Projects!$B$21*(Assumptions!$B$10+Assumptions!$B$11+Assumptions!$B$12)/Projects!$D$21*0.95,0)-IF(AND(Projects!$G$21="Yes",CA$3=Projects!$C$21+Projects!$D$21-1),Projects!$B$21*(Assumptions!$B$10+Assumptions!$B$11+Assumptions!$B$12)*0.05,0)</f>
        <v>0</v>
      </c>
      <c r="CB30" s="19" t="n">
        <f aca="false">IF(AND(Projects!$G$21="Yes",CB$3&gt;=Projects!$C$21,CB$3&lt;Projects!$C$21+Projects!$D$21),Projects!$B$21*INDEX(Curves!$B$4:$AR$4,1,CB$3-Projects!$C$21+1),0)-IF(AND(Projects!$G$21="Yes",CB$3&gt;=Projects!$C$21,CB$3&lt;Projects!$C$21+Projects!$D$21),Projects!$B$21*(Assumptions!$B$10+Assumptions!$B$11+Assumptions!$B$12)/Projects!$D$21*0.95,0)-IF(AND(Projects!$G$21="Yes",CB$3=Projects!$C$21+Projects!$D$21-1),Projects!$B$21*(Assumptions!$B$10+Assumptions!$B$11+Assumptions!$B$12)*0.05,0)</f>
        <v>0</v>
      </c>
      <c r="CC30" s="19" t="n">
        <f aca="false">IF(AND(Projects!$G$21="Yes",CC$3&gt;=Projects!$C$21,CC$3&lt;Projects!$C$21+Projects!$D$21),Projects!$B$21*INDEX(Curves!$B$4:$AR$4,1,CC$3-Projects!$C$21+1),0)-IF(AND(Projects!$G$21="Yes",CC$3&gt;=Projects!$C$21,CC$3&lt;Projects!$C$21+Projects!$D$21),Projects!$B$21*(Assumptions!$B$10+Assumptions!$B$11+Assumptions!$B$12)/Projects!$D$21*0.95,0)-IF(AND(Projects!$G$21="Yes",CC$3=Projects!$C$21+Projects!$D$21-1),Projects!$B$21*(Assumptions!$B$10+Assumptions!$B$11+Assumptions!$B$12)*0.05,0)</f>
        <v>0</v>
      </c>
      <c r="CD30" s="19" t="n">
        <f aca="false">IF(AND(Projects!$G$21="Yes",CD$3&gt;=Projects!$C$21,CD$3&lt;Projects!$C$21+Projects!$D$21),Projects!$B$21*INDEX(Curves!$B$4:$AR$4,1,CD$3-Projects!$C$21+1),0)-IF(AND(Projects!$G$21="Yes",CD$3&gt;=Projects!$C$21,CD$3&lt;Projects!$C$21+Projects!$D$21),Projects!$B$21*(Assumptions!$B$10+Assumptions!$B$11+Assumptions!$B$12)/Projects!$D$21*0.95,0)-IF(AND(Projects!$G$21="Yes",CD$3=Projects!$C$21+Projects!$D$21-1),Projects!$B$21*(Assumptions!$B$10+Assumptions!$B$11+Assumptions!$B$12)*0.05,0)</f>
        <v>0</v>
      </c>
      <c r="CE30" s="19" t="n">
        <f aca="false">IF(AND(Projects!$G$21="Yes",CE$3&gt;=Projects!$C$21,CE$3&lt;Projects!$C$21+Projects!$D$21),Projects!$B$21*INDEX(Curves!$B$4:$AR$4,1,CE$3-Projects!$C$21+1),0)-IF(AND(Projects!$G$21="Yes",CE$3&gt;=Projects!$C$21,CE$3&lt;Projects!$C$21+Projects!$D$21),Projects!$B$21*(Assumptions!$B$10+Assumptions!$B$11+Assumptions!$B$12)/Projects!$D$21*0.95,0)-IF(AND(Projects!$G$21="Yes",CE$3=Projects!$C$21+Projects!$D$21-1),Projects!$B$21*(Assumptions!$B$10+Assumptions!$B$11+Assumptions!$B$12)*0.05,0)</f>
        <v>0</v>
      </c>
      <c r="CF30" s="19" t="n">
        <f aca="false">IF(AND(Projects!$G$21="Yes",CF$3&gt;=Projects!$C$21,CF$3&lt;Projects!$C$21+Projects!$D$21),Projects!$B$21*INDEX(Curves!$B$4:$AR$4,1,CF$3-Projects!$C$21+1),0)-IF(AND(Projects!$G$21="Yes",CF$3&gt;=Projects!$C$21,CF$3&lt;Projects!$C$21+Projects!$D$21),Projects!$B$21*(Assumptions!$B$10+Assumptions!$B$11+Assumptions!$B$12)/Projects!$D$21*0.95,0)-IF(AND(Projects!$G$21="Yes",CF$3=Projects!$C$21+Projects!$D$21-1),Projects!$B$21*(Assumptions!$B$10+Assumptions!$B$11+Assumptions!$B$12)*0.05,0)</f>
        <v>0</v>
      </c>
      <c r="CG30" s="19" t="n">
        <f aca="false">IF(AND(Projects!$G$21="Yes",CG$3&gt;=Projects!$C$21,CG$3&lt;Projects!$C$21+Projects!$D$21),Projects!$B$21*INDEX(Curves!$B$4:$AR$4,1,CG$3-Projects!$C$21+1),0)-IF(AND(Projects!$G$21="Yes",CG$3&gt;=Projects!$C$21,CG$3&lt;Projects!$C$21+Projects!$D$21),Projects!$B$21*(Assumptions!$B$10+Assumptions!$B$11+Assumptions!$B$12)/Projects!$D$21*0.95,0)-IF(AND(Projects!$G$21="Yes",CG$3=Projects!$C$21+Projects!$D$21-1),Projects!$B$21*(Assumptions!$B$10+Assumptions!$B$11+Assumptions!$B$12)*0.05,0)</f>
        <v>0</v>
      </c>
      <c r="CH30" s="19" t="n">
        <f aca="false">IF(AND(Projects!$G$21="Yes",CH$3&gt;=Projects!$C$21,CH$3&lt;Projects!$C$21+Projects!$D$21),Projects!$B$21*INDEX(Curves!$B$4:$AR$4,1,CH$3-Projects!$C$21+1),0)-IF(AND(Projects!$G$21="Yes",CH$3&gt;=Projects!$C$21,CH$3&lt;Projects!$C$21+Projects!$D$21),Projects!$B$21*(Assumptions!$B$10+Assumptions!$B$11+Assumptions!$B$12)/Projects!$D$21*0.95,0)-IF(AND(Projects!$G$21="Yes",CH$3=Projects!$C$21+Projects!$D$21-1),Projects!$B$21*(Assumptions!$B$10+Assumptions!$B$11+Assumptions!$B$12)*0.05,0)</f>
        <v>0</v>
      </c>
      <c r="CI30" s="19" t="n">
        <f aca="false">IF(AND(Projects!$G$21="Yes",CI$3&gt;=Projects!$C$21,CI$3&lt;Projects!$C$21+Projects!$D$21),Projects!$B$21*INDEX(Curves!$B$4:$AR$4,1,CI$3-Projects!$C$21+1),0)-IF(AND(Projects!$G$21="Yes",CI$3&gt;=Projects!$C$21,CI$3&lt;Projects!$C$21+Projects!$D$21),Projects!$B$21*(Assumptions!$B$10+Assumptions!$B$11+Assumptions!$B$12)/Projects!$D$21*0.95,0)-IF(AND(Projects!$G$21="Yes",CI$3=Projects!$C$21+Projects!$D$21-1),Projects!$B$21*(Assumptions!$B$10+Assumptions!$B$11+Assumptions!$B$12)*0.05,0)</f>
        <v>0</v>
      </c>
      <c r="CJ30" s="19" t="n">
        <f aca="false">IF(AND(Projects!$G$21="Yes",CJ$3&gt;=Projects!$C$21,CJ$3&lt;Projects!$C$21+Projects!$D$21),Projects!$B$21*INDEX(Curves!$B$4:$AR$4,1,CJ$3-Projects!$C$21+1),0)-IF(AND(Projects!$G$21="Yes",CJ$3&gt;=Projects!$C$21,CJ$3&lt;Projects!$C$21+Projects!$D$21),Projects!$B$21*(Assumptions!$B$10+Assumptions!$B$11+Assumptions!$B$12)/Projects!$D$21*0.95,0)-IF(AND(Projects!$G$21="Yes",CJ$3=Projects!$C$21+Projects!$D$21-1),Projects!$B$21*(Assumptions!$B$10+Assumptions!$B$11+Assumptions!$B$12)*0.05,0)</f>
        <v>0</v>
      </c>
      <c r="CK30" s="19" t="n">
        <f aca="false">IF(AND(Projects!$G$21="Yes",CK$3&gt;=Projects!$C$21,CK$3&lt;Projects!$C$21+Projects!$D$21),Projects!$B$21*INDEX(Curves!$B$4:$AR$4,1,CK$3-Projects!$C$21+1),0)-IF(AND(Projects!$G$21="Yes",CK$3&gt;=Projects!$C$21,CK$3&lt;Projects!$C$21+Projects!$D$21),Projects!$B$21*(Assumptions!$B$10+Assumptions!$B$11+Assumptions!$B$12)/Projects!$D$21*0.95,0)-IF(AND(Projects!$G$21="Yes",CK$3=Projects!$C$21+Projects!$D$21-1),Projects!$B$21*(Assumptions!$B$10+Assumptions!$B$11+Assumptions!$B$12)*0.05,0)</f>
        <v>0</v>
      </c>
      <c r="CL30" s="19" t="n">
        <f aca="false">IF(AND(Projects!$G$21="Yes",CL$3&gt;=Projects!$C$21,CL$3&lt;Projects!$C$21+Projects!$D$21),Projects!$B$21*INDEX(Curves!$B$4:$AR$4,1,CL$3-Projects!$C$21+1),0)-IF(AND(Projects!$G$21="Yes",CL$3&gt;=Projects!$C$21,CL$3&lt;Projects!$C$21+Projects!$D$21),Projects!$B$21*(Assumptions!$B$10+Assumptions!$B$11+Assumptions!$B$12)/Projects!$D$21*0.95,0)-IF(AND(Projects!$G$21="Yes",CL$3=Projects!$C$21+Projects!$D$21-1),Projects!$B$21*(Assumptions!$B$10+Assumptions!$B$11+Assumptions!$B$12)*0.05,0)</f>
        <v>0</v>
      </c>
      <c r="CM30" s="19" t="n">
        <f aca="false">IF(AND(Projects!$G$21="Yes",CM$3&gt;=Projects!$C$21,CM$3&lt;Projects!$C$21+Projects!$D$21),Projects!$B$21*INDEX(Curves!$B$4:$AR$4,1,CM$3-Projects!$C$21+1),0)-IF(AND(Projects!$G$21="Yes",CM$3&gt;=Projects!$C$21,CM$3&lt;Projects!$C$21+Projects!$D$21),Projects!$B$21*(Assumptions!$B$10+Assumptions!$B$11+Assumptions!$B$12)/Projects!$D$21*0.95,0)-IF(AND(Projects!$G$21="Yes",CM$3=Projects!$C$21+Projects!$D$21-1),Projects!$B$21*(Assumptions!$B$10+Assumptions!$B$11+Assumptions!$B$12)*0.05,0)</f>
        <v>0</v>
      </c>
      <c r="CN30" s="19" t="n">
        <f aca="false">IF(AND(Projects!$G$21="Yes",CN$3&gt;=Projects!$C$21,CN$3&lt;Projects!$C$21+Projects!$D$21),Projects!$B$21*INDEX(Curves!$B$4:$AR$4,1,CN$3-Projects!$C$21+1),0)-IF(AND(Projects!$G$21="Yes",CN$3&gt;=Projects!$C$21,CN$3&lt;Projects!$C$21+Projects!$D$21),Projects!$B$21*(Assumptions!$B$10+Assumptions!$B$11+Assumptions!$B$12)/Projects!$D$21*0.95,0)-IF(AND(Projects!$G$21="Yes",CN$3=Projects!$C$21+Projects!$D$21-1),Projects!$B$21*(Assumptions!$B$10+Assumptions!$B$11+Assumptions!$B$12)*0.05,0)</f>
        <v>0</v>
      </c>
      <c r="CO30" s="19" t="n">
        <f aca="false">IF(AND(Projects!$G$21="Yes",CO$3&gt;=Projects!$C$21,CO$3&lt;Projects!$C$21+Projects!$D$21),Projects!$B$21*INDEX(Curves!$B$4:$AR$4,1,CO$3-Projects!$C$21+1),0)-IF(AND(Projects!$G$21="Yes",CO$3&gt;=Projects!$C$21,CO$3&lt;Projects!$C$21+Projects!$D$21),Projects!$B$21*(Assumptions!$B$10+Assumptions!$B$11+Assumptions!$B$12)/Projects!$D$21*0.95,0)-IF(AND(Projects!$G$21="Yes",CO$3=Projects!$C$21+Projects!$D$21-1),Projects!$B$21*(Assumptions!$B$10+Assumptions!$B$11+Assumptions!$B$12)*0.05,0)</f>
        <v>0</v>
      </c>
      <c r="CP30" s="19" t="n">
        <f aca="false">IF(AND(Projects!$G$21="Yes",CP$3&gt;=Projects!$C$21,CP$3&lt;Projects!$C$21+Projects!$D$21),Projects!$B$21*INDEX(Curves!$B$4:$AR$4,1,CP$3-Projects!$C$21+1),0)-IF(AND(Projects!$G$21="Yes",CP$3&gt;=Projects!$C$21,CP$3&lt;Projects!$C$21+Projects!$D$21),Projects!$B$21*(Assumptions!$B$10+Assumptions!$B$11+Assumptions!$B$12)/Projects!$D$21*0.95,0)-IF(AND(Projects!$G$21="Yes",CP$3=Projects!$C$21+Projects!$D$21-1),Projects!$B$21*(Assumptions!$B$10+Assumptions!$B$11+Assumptions!$B$12)*0.05,0)</f>
        <v>0</v>
      </c>
      <c r="CQ30" s="19" t="n">
        <f aca="false">IF(AND(Projects!$G$21="Yes",CQ$3&gt;=Projects!$C$21,CQ$3&lt;Projects!$C$21+Projects!$D$21),Projects!$B$21*INDEX(Curves!$B$4:$AR$4,1,CQ$3-Projects!$C$21+1),0)-IF(AND(Projects!$G$21="Yes",CQ$3&gt;=Projects!$C$21,CQ$3&lt;Projects!$C$21+Projects!$D$21),Projects!$B$21*(Assumptions!$B$10+Assumptions!$B$11+Assumptions!$B$12)/Projects!$D$21*0.95,0)-IF(AND(Projects!$G$21="Yes",CQ$3=Projects!$C$21+Projects!$D$21-1),Projects!$B$21*(Assumptions!$B$10+Assumptions!$B$11+Assumptions!$B$12)*0.05,0)</f>
        <v>0</v>
      </c>
      <c r="CR30" s="19" t="n">
        <f aca="false">IF(AND(Projects!$G$21="Yes",CR$3&gt;=Projects!$C$21,CR$3&lt;Projects!$C$21+Projects!$D$21),Projects!$B$21*INDEX(Curves!$B$4:$AR$4,1,CR$3-Projects!$C$21+1),0)-IF(AND(Projects!$G$21="Yes",CR$3&gt;=Projects!$C$21,CR$3&lt;Projects!$C$21+Projects!$D$21),Projects!$B$21*(Assumptions!$B$10+Assumptions!$B$11+Assumptions!$B$12)/Projects!$D$21*0.95,0)-IF(AND(Projects!$G$21="Yes",CR$3=Projects!$C$21+Projects!$D$21-1),Projects!$B$21*(Assumptions!$B$10+Assumptions!$B$11+Assumptions!$B$12)*0.05,0)</f>
        <v>0</v>
      </c>
      <c r="CS30" s="19" t="n">
        <f aca="false">IF(AND(Projects!$G$21="Yes",CS$3&gt;=Projects!$C$21,CS$3&lt;Projects!$C$21+Projects!$D$21),Projects!$B$21*INDEX(Curves!$B$4:$AR$4,1,CS$3-Projects!$C$21+1),0)-IF(AND(Projects!$G$21="Yes",CS$3&gt;=Projects!$C$21,CS$3&lt;Projects!$C$21+Projects!$D$21),Projects!$B$21*(Assumptions!$B$10+Assumptions!$B$11+Assumptions!$B$12)/Projects!$D$21*0.95,0)-IF(AND(Projects!$G$21="Yes",CS$3=Projects!$C$21+Projects!$D$21-1),Projects!$B$21*(Assumptions!$B$10+Assumptions!$B$11+Assumptions!$B$12)*0.05,0)</f>
        <v>0</v>
      </c>
      <c r="CT30" s="19" t="n">
        <f aca="false">IF(AND(Projects!$G$21="Yes",CT$3&gt;=Projects!$C$21,CT$3&lt;Projects!$C$21+Projects!$D$21),Projects!$B$21*INDEX(Curves!$B$4:$AR$4,1,CT$3-Projects!$C$21+1),0)-IF(AND(Projects!$G$21="Yes",CT$3&gt;=Projects!$C$21,CT$3&lt;Projects!$C$21+Projects!$D$21),Projects!$B$21*(Assumptions!$B$10+Assumptions!$B$11+Assumptions!$B$12)/Projects!$D$21*0.95,0)-IF(AND(Projects!$G$21="Yes",CT$3=Projects!$C$21+Projects!$D$21-1),Projects!$B$21*(Assumptions!$B$10+Assumptions!$B$11+Assumptions!$B$12)*0.05,0)</f>
        <v>0</v>
      </c>
      <c r="CU30" s="19" t="n">
        <f aca="false">IF(AND(Projects!$G$21="Yes",CU$3&gt;=Projects!$C$21,CU$3&lt;Projects!$C$21+Projects!$D$21),Projects!$B$21*INDEX(Curves!$B$4:$AR$4,1,CU$3-Projects!$C$21+1),0)-IF(AND(Projects!$G$21="Yes",CU$3&gt;=Projects!$C$21,CU$3&lt;Projects!$C$21+Projects!$D$21),Projects!$B$21*(Assumptions!$B$10+Assumptions!$B$11+Assumptions!$B$12)/Projects!$D$21*0.95,0)-IF(AND(Projects!$G$21="Yes",CU$3=Projects!$C$21+Projects!$D$21-1),Projects!$B$21*(Assumptions!$B$10+Assumptions!$B$11+Assumptions!$B$12)*0.05,0)</f>
        <v>0</v>
      </c>
      <c r="CV30" s="19" t="n">
        <f aca="false">IF(AND(Projects!$G$21="Yes",CV$3&gt;=Projects!$C$21,CV$3&lt;Projects!$C$21+Projects!$D$21),Projects!$B$21*INDEX(Curves!$B$4:$AR$4,1,CV$3-Projects!$C$21+1),0)-IF(AND(Projects!$G$21="Yes",CV$3&gt;=Projects!$C$21,CV$3&lt;Projects!$C$21+Projects!$D$21),Projects!$B$21*(Assumptions!$B$10+Assumptions!$B$11+Assumptions!$B$12)/Projects!$D$21*0.95,0)-IF(AND(Projects!$G$21="Yes",CV$3=Projects!$C$21+Projects!$D$21-1),Projects!$B$21*(Assumptions!$B$10+Assumptions!$B$11+Assumptions!$B$12)*0.05,0)</f>
        <v>0</v>
      </c>
      <c r="CW30" s="19" t="n">
        <f aca="false">IF(AND(Projects!$G$21="Yes",CW$3&gt;=Projects!$C$21,CW$3&lt;Projects!$C$21+Projects!$D$21),Projects!$B$21*INDEX(Curves!$B$4:$AR$4,1,CW$3-Projects!$C$21+1),0)-IF(AND(Projects!$G$21="Yes",CW$3&gt;=Projects!$C$21,CW$3&lt;Projects!$C$21+Projects!$D$21),Projects!$B$21*(Assumptions!$B$10+Assumptions!$B$11+Assumptions!$B$12)/Projects!$D$21*0.95,0)-IF(AND(Projects!$G$21="Yes",CW$3=Projects!$C$21+Projects!$D$21-1),Projects!$B$21*(Assumptions!$B$10+Assumptions!$B$11+Assumptions!$B$12)*0.05,0)</f>
        <v>0</v>
      </c>
      <c r="CX30" s="19" t="n">
        <f aca="false">IF(AND(Projects!$G$21="Yes",CX$3&gt;=Projects!$C$21,CX$3&lt;Projects!$C$21+Projects!$D$21),Projects!$B$21*INDEX(Curves!$B$4:$AR$4,1,CX$3-Projects!$C$21+1),0)-IF(AND(Projects!$G$21="Yes",CX$3&gt;=Projects!$C$21,CX$3&lt;Projects!$C$21+Projects!$D$21),Projects!$B$21*(Assumptions!$B$10+Assumptions!$B$11+Assumptions!$B$12)/Projects!$D$21*0.95,0)-IF(AND(Projects!$G$21="Yes",CX$3=Projects!$C$21+Projects!$D$21-1),Projects!$B$21*(Assumptions!$B$10+Assumptions!$B$11+Assumptions!$B$12)*0.05,0)</f>
        <v>0</v>
      </c>
      <c r="CY30" s="19" t="n">
        <f aca="false">IF(AND(Projects!$G$21="Yes",CY$3&gt;=Projects!$C$21,CY$3&lt;Projects!$C$21+Projects!$D$21),Projects!$B$21*INDEX(Curves!$B$4:$AR$4,1,CY$3-Projects!$C$21+1),0)-IF(AND(Projects!$G$21="Yes",CY$3&gt;=Projects!$C$21,CY$3&lt;Projects!$C$21+Projects!$D$21),Projects!$B$21*(Assumptions!$B$10+Assumptions!$B$11+Assumptions!$B$12)/Projects!$D$21*0.95,0)-IF(AND(Projects!$G$21="Yes",CY$3=Projects!$C$21+Projects!$D$21-1),Projects!$B$21*(Assumptions!$B$10+Assumptions!$B$11+Assumptions!$B$12)*0.05,0)</f>
        <v>0</v>
      </c>
      <c r="CZ30" s="19" t="n">
        <f aca="false">IF(AND(Projects!$G$21="Yes",CZ$3&gt;=Projects!$C$21,CZ$3&lt;Projects!$C$21+Projects!$D$21),Projects!$B$21*INDEX(Curves!$B$4:$AR$4,1,CZ$3-Projects!$C$21+1),0)-IF(AND(Projects!$G$21="Yes",CZ$3&gt;=Projects!$C$21,CZ$3&lt;Projects!$C$21+Projects!$D$21),Projects!$B$21*(Assumptions!$B$10+Assumptions!$B$11+Assumptions!$B$12)/Projects!$D$21*0.95,0)-IF(AND(Projects!$G$21="Yes",CZ$3=Projects!$C$21+Projects!$D$21-1),Projects!$B$21*(Assumptions!$B$10+Assumptions!$B$11+Assumptions!$B$12)*0.05,0)</f>
        <v>0</v>
      </c>
      <c r="DA30" s="19" t="n">
        <f aca="false">IF(AND(Projects!$G$21="Yes",DA$3&gt;=Projects!$C$21,DA$3&lt;Projects!$C$21+Projects!$D$21),Projects!$B$21*INDEX(Curves!$B$4:$AR$4,1,DA$3-Projects!$C$21+1),0)-IF(AND(Projects!$G$21="Yes",DA$3&gt;=Projects!$C$21,DA$3&lt;Projects!$C$21+Projects!$D$21),Projects!$B$21*(Assumptions!$B$10+Assumptions!$B$11+Assumptions!$B$12)/Projects!$D$21*0.95,0)-IF(AND(Projects!$G$21="Yes",DA$3=Projects!$C$21+Projects!$D$21-1),Projects!$B$21*(Assumptions!$B$10+Assumptions!$B$11+Assumptions!$B$12)*0.05,0)</f>
        <v>0</v>
      </c>
      <c r="DB30" s="19" t="n">
        <f aca="false">IF(AND(Projects!$G$21="Yes",DB$3&gt;=Projects!$C$21,DB$3&lt;Projects!$C$21+Projects!$D$21),Projects!$B$21*INDEX(Curves!$B$4:$AR$4,1,DB$3-Projects!$C$21+1),0)-IF(AND(Projects!$G$21="Yes",DB$3&gt;=Projects!$C$21,DB$3&lt;Projects!$C$21+Projects!$D$21),Projects!$B$21*(Assumptions!$B$10+Assumptions!$B$11+Assumptions!$B$12)/Projects!$D$21*0.95,0)-IF(AND(Projects!$G$21="Yes",DB$3=Projects!$C$21+Projects!$D$21-1),Projects!$B$21*(Assumptions!$B$10+Assumptions!$B$11+Assumptions!$B$12)*0.05,0)</f>
        <v>0</v>
      </c>
      <c r="DC30" s="19" t="n">
        <f aca="false">IF(AND(Projects!$G$21="Yes",DC$3&gt;=Projects!$C$21,DC$3&lt;Projects!$C$21+Projects!$D$21),Projects!$B$21*INDEX(Curves!$B$4:$AR$4,1,DC$3-Projects!$C$21+1),0)-IF(AND(Projects!$G$21="Yes",DC$3&gt;=Projects!$C$21,DC$3&lt;Projects!$C$21+Projects!$D$21),Projects!$B$21*(Assumptions!$B$10+Assumptions!$B$11+Assumptions!$B$12)/Projects!$D$21*0.95,0)-IF(AND(Projects!$G$21="Yes",DC$3=Projects!$C$21+Projects!$D$21-1),Projects!$B$21*(Assumptions!$B$10+Assumptions!$B$11+Assumptions!$B$12)*0.05,0)</f>
        <v>0</v>
      </c>
      <c r="DD30" s="19" t="n">
        <f aca="false">IF(AND(Projects!$G$21="Yes",DD$3&gt;=Projects!$C$21,DD$3&lt;Projects!$C$21+Projects!$D$21),Projects!$B$21*INDEX(Curves!$B$4:$AR$4,1,DD$3-Projects!$C$21+1),0)-IF(AND(Projects!$G$21="Yes",DD$3&gt;=Projects!$C$21,DD$3&lt;Projects!$C$21+Projects!$D$21),Projects!$B$21*(Assumptions!$B$10+Assumptions!$B$11+Assumptions!$B$12)/Projects!$D$21*0.95,0)-IF(AND(Projects!$G$21="Yes",DD$3=Projects!$C$21+Projects!$D$21-1),Projects!$B$21*(Assumptions!$B$10+Assumptions!$B$11+Assumptions!$B$12)*0.05,0)</f>
        <v>0</v>
      </c>
      <c r="DE30" s="19" t="n">
        <f aca="false">IF(AND(Projects!$G$21="Yes",DE$3&gt;=Projects!$C$21,DE$3&lt;Projects!$C$21+Projects!$D$21),Projects!$B$21*INDEX(Curves!$B$4:$AR$4,1,DE$3-Projects!$C$21+1),0)-IF(AND(Projects!$G$21="Yes",DE$3&gt;=Projects!$C$21,DE$3&lt;Projects!$C$21+Projects!$D$21),Projects!$B$21*(Assumptions!$B$10+Assumptions!$B$11+Assumptions!$B$12)/Projects!$D$21*0.95,0)-IF(AND(Projects!$G$21="Yes",DE$3=Projects!$C$21+Projects!$D$21-1),Projects!$B$21*(Assumptions!$B$10+Assumptions!$B$11+Assumptions!$B$12)*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4551163.93984795</v>
      </c>
      <c r="N57" s="30" t="n">
        <f aca="false">SUM(N13:N56)</f>
        <v>5652213.83488249</v>
      </c>
      <c r="O57" s="30" t="n">
        <f aca="false">SUM(O13:O56)</f>
        <v>5678924.56676773</v>
      </c>
      <c r="P57" s="30" t="n">
        <f aca="false">SUM(P13:P56)</f>
        <v>6369213.91179984</v>
      </c>
      <c r="Q57" s="30" t="n">
        <f aca="false">SUM(Q13:Q56)</f>
        <v>6926644.90127187</v>
      </c>
      <c r="R57" s="30" t="n">
        <f aca="false">SUM(R13:R56)</f>
        <v>7328656.83552692</v>
      </c>
      <c r="S57" s="30" t="n">
        <f aca="false">SUM(S13:S56)</f>
        <v>8086686.66470567</v>
      </c>
      <c r="T57" s="30" t="n">
        <f aca="false">SUM(T13:T56)</f>
        <v>9702571.30793667</v>
      </c>
      <c r="U57" s="30" t="n">
        <f aca="false">SUM(U13:U56)</f>
        <v>9488891.93990192</v>
      </c>
      <c r="V57" s="30" t="n">
        <f aca="false">SUM(V13:V56)</f>
        <v>10375072.7581756</v>
      </c>
      <c r="W57" s="30" t="n">
        <f aca="false">SUM(W13:W56)</f>
        <v>9469764.02134012</v>
      </c>
      <c r="X57" s="30" t="n">
        <f aca="false">SUM(X13:X56)</f>
        <v>11471758.8425016</v>
      </c>
      <c r="Y57" s="30" t="n">
        <f aca="false">SUM(Y13:Y56)</f>
        <v>10579776.7097878</v>
      </c>
      <c r="Z57" s="30" t="n">
        <f aca="false">SUM(Z13:Z56)</f>
        <v>11610500.2428034</v>
      </c>
      <c r="AA57" s="30" t="n">
        <f aca="false">SUM(AA13:AA56)</f>
        <v>11128162.3447432</v>
      </c>
      <c r="AB57" s="30" t="n">
        <f aca="false">SUM(AB13:AB56)</f>
        <v>10152595.0312114</v>
      </c>
      <c r="AC57" s="30" t="n">
        <f aca="false">SUM(AC13:AC56)</f>
        <v>9352876.60245888</v>
      </c>
      <c r="AD57" s="30" t="n">
        <f aca="false">SUM(AD13:AD56)</f>
        <v>9280688.47959108</v>
      </c>
      <c r="AE57" s="30" t="n">
        <f aca="false">SUM(AE13:AE56)</f>
        <v>9365467.54317764</v>
      </c>
      <c r="AF57" s="30" t="n">
        <f aca="false">SUM(AF13:AF56)</f>
        <v>9094725.21805217</v>
      </c>
      <c r="AG57" s="30" t="n">
        <f aca="false">SUM(AG13:AG56)</f>
        <v>9282995.43448374</v>
      </c>
      <c r="AH57" s="30" t="n">
        <f aca="false">SUM(AH13:AH56)</f>
        <v>8649804.1922978</v>
      </c>
      <c r="AI57" s="30" t="n">
        <f aca="false">SUM(AI13:AI56)</f>
        <v>8200590.38443356</v>
      </c>
      <c r="AJ57" s="30" t="n">
        <f aca="false">SUM(AJ13:AJ56)</f>
        <v>6663689.6061317</v>
      </c>
      <c r="AK57" s="30" t="n">
        <f aca="false">SUM(AK13:AK56)</f>
        <v>5682126.57862863</v>
      </c>
      <c r="AL57" s="30" t="n">
        <f aca="false">SUM(AL13:AL56)</f>
        <v>5242007.50872086</v>
      </c>
      <c r="AM57" s="30" t="n">
        <f aca="false">SUM(AM13:AM56)</f>
        <v>4879099.59614228</v>
      </c>
      <c r="AN57" s="30" t="n">
        <f aca="false">SUM(AN13:AN56)</f>
        <v>3910551.81681888</v>
      </c>
      <c r="AO57" s="30" t="n">
        <f aca="false">SUM(AO13:AO56)</f>
        <v>3418060.1996247</v>
      </c>
      <c r="AP57" s="30" t="n">
        <f aca="false">SUM(AP13:AP56)</f>
        <v>3205729.49259518</v>
      </c>
      <c r="AQ57" s="30" t="n">
        <f aca="false">SUM(AQ13:AQ56)</f>
        <v>2471584.87084132</v>
      </c>
      <c r="AR57" s="30" t="n">
        <f aca="false">SUM(AR13:AR56)</f>
        <v>2387217.49542132</v>
      </c>
      <c r="AS57" s="30" t="n">
        <f aca="false">SUM(AS13:AS56)</f>
        <v>2289826.23011532</v>
      </c>
      <c r="AT57" s="30" t="n">
        <f aca="false">SUM(AT13:AT56)</f>
        <v>1907930.86167182</v>
      </c>
      <c r="AU57" s="30" t="n">
        <f aca="false">SUM(AU13:AU56)</f>
        <v>1454604.0722457</v>
      </c>
      <c r="AV57" s="30" t="n">
        <f aca="false">SUM(AV13:AV56)</f>
        <v>1687294.55654745</v>
      </c>
      <c r="AW57" s="30" t="n">
        <f aca="false">SUM(AW13:AW56)</f>
        <v>1632789.15157145</v>
      </c>
      <c r="AX57" s="30" t="n">
        <f aca="false">SUM(AX13:AX56)</f>
        <v>1562651.69569945</v>
      </c>
      <c r="AY57" s="30" t="n">
        <f aca="false">SUM(AY13:AY56)</f>
        <v>1478825.85663545</v>
      </c>
      <c r="AZ57" s="30" t="n">
        <f aca="false">SUM(AZ13:AZ56)</f>
        <v>1383586.13913945</v>
      </c>
      <c r="BA57" s="30" t="n">
        <f aca="false">SUM(BA13:BA56)</f>
        <v>1279496.53039545</v>
      </c>
      <c r="BB57" s="30" t="n">
        <f aca="false">SUM(BB13:BB56)</f>
        <v>1169079.66295545</v>
      </c>
      <c r="BC57" s="30" t="n">
        <f aca="false">SUM(BC13:BC56)</f>
        <v>1054982.23326745</v>
      </c>
      <c r="BD57" s="30" t="n">
        <f aca="false">SUM(BD13:BD56)</f>
        <v>939685.519251453</v>
      </c>
      <c r="BE57" s="30" t="n">
        <f aca="false">SUM(BE13:BE56)</f>
        <v>825464.025667453</v>
      </c>
      <c r="BF57" s="30" t="n">
        <f aca="false">SUM(BF13:BF56)</f>
        <v>714385.484115453</v>
      </c>
      <c r="BG57" s="30" t="n">
        <f aca="false">SUM(BG13:BG56)</f>
        <v>608145.434507453</v>
      </c>
      <c r="BH57" s="30" t="n">
        <f aca="false">SUM(BH13:BH56)</f>
        <v>259255.013907853</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5225267.037072</v>
      </c>
      <c r="N58" s="30" t="n">
        <f aca="false">N10+N11+N57</f>
        <v>6498594.46622125</v>
      </c>
      <c r="O58" s="30" t="n">
        <f aca="false">O10+O11+O57</f>
        <v>6520121.54458745</v>
      </c>
      <c r="P58" s="30" t="n">
        <f aca="false">P10+P11+P57</f>
        <v>7237808.46961955</v>
      </c>
      <c r="Q58" s="30" t="n">
        <f aca="false">Q10+Q11+Q57</f>
        <v>7916353.2931488</v>
      </c>
      <c r="R58" s="30" t="n">
        <f aca="false">R10+R11+R57</f>
        <v>8367241.4754971</v>
      </c>
      <c r="S58" s="30" t="n">
        <f aca="false">S10+S11+S57</f>
        <v>9205779.4595526</v>
      </c>
      <c r="T58" s="30" t="n">
        <f aca="false">T10+T11+T57</f>
        <v>11026756.0729175</v>
      </c>
      <c r="U58" s="30" t="n">
        <f aca="false">U10+U11+U57</f>
        <v>10704635.7348828</v>
      </c>
      <c r="V58" s="30" t="n">
        <f aca="false">V10+V11+V57</f>
        <v>11665103.9231565</v>
      </c>
      <c r="W58" s="30" t="n">
        <f aca="false">W10+W11+W57</f>
        <v>10580737.616321</v>
      </c>
      <c r="X58" s="30" t="n">
        <f aca="false">X10+X11+X57</f>
        <v>12876610.3823414</v>
      </c>
      <c r="Y58" s="30" t="n">
        <f aca="false">Y10+Y11+Y57</f>
        <v>11822867.4296276</v>
      </c>
      <c r="Z58" s="30" t="n">
        <f aca="false">Z10+Z11+Z57</f>
        <v>12979937.1426432</v>
      </c>
      <c r="AA58" s="30" t="n">
        <f aca="false">AA10+AA11+AA57</f>
        <v>12526837.8979441</v>
      </c>
      <c r="AB58" s="30" t="n">
        <f aca="false">AB10+AB11+AB57</f>
        <v>11364938.8623118</v>
      </c>
      <c r="AC58" s="30" t="n">
        <f aca="false">AC10+AC11+AC57</f>
        <v>10336494.9643158</v>
      </c>
      <c r="AD58" s="30" t="n">
        <f aca="false">AD10+AD11+AD57</f>
        <v>10287256.751448</v>
      </c>
      <c r="AE58" s="30" t="n">
        <f aca="false">AE10+AE11+AE57</f>
        <v>10520627.4659031</v>
      </c>
      <c r="AF58" s="30" t="n">
        <f aca="false">AF10+AF11+AF57</f>
        <v>10419504.9548923</v>
      </c>
      <c r="AG58" s="30" t="n">
        <f aca="false">AG10+AG11+AG57</f>
        <v>10517872.2595754</v>
      </c>
      <c r="AH58" s="30" t="n">
        <f aca="false">AH10+AH11+AH57</f>
        <v>9747987.69442756</v>
      </c>
      <c r="AI58" s="30" t="n">
        <f aca="false">AI10+AI11+AI57</f>
        <v>9292607.01656332</v>
      </c>
      <c r="AJ58" s="30" t="n">
        <f aca="false">AJ10+AJ11+AJ57</f>
        <v>7853272.85592246</v>
      </c>
      <c r="AK58" s="30" t="n">
        <f aca="false">AK10+AK11+AK57</f>
        <v>6501109.93830076</v>
      </c>
      <c r="AL58" s="30" t="n">
        <f aca="false">AL10+AL11+AL57</f>
        <v>6050066.97877344</v>
      </c>
      <c r="AM58" s="30" t="n">
        <f aca="false">AM10+AM11+AM57</f>
        <v>5477006.50592696</v>
      </c>
      <c r="AN58" s="30" t="n">
        <f aca="false">AN10+AN11+AN57</f>
        <v>4399976.67660356</v>
      </c>
      <c r="AO58" s="30" t="n">
        <f aca="false">AO10+AO11+AO57</f>
        <v>3867556.44940938</v>
      </c>
      <c r="AP58" s="30" t="n">
        <f aca="false">AP10+AP11+AP57</f>
        <v>3655225.74237986</v>
      </c>
      <c r="AQ58" s="30" t="n">
        <f aca="false">AQ10+AQ11+AQ57</f>
        <v>2921081.120626</v>
      </c>
      <c r="AR58" s="30" t="n">
        <f aca="false">AR10+AR11+AR57</f>
        <v>2836713.745206</v>
      </c>
      <c r="AS58" s="30" t="n">
        <f aca="false">AS10+AS11+AS57</f>
        <v>2739322.4799</v>
      </c>
      <c r="AT58" s="30" t="n">
        <f aca="false">AT10+AT11+AT57</f>
        <v>2629912.69681</v>
      </c>
      <c r="AU58" s="30" t="n">
        <f aca="false">AU10+AU11+AU57</f>
        <v>1882173.366216</v>
      </c>
      <c r="AV58" s="30" t="n">
        <f aca="false">AV10+AV11+AV57</f>
        <v>1844954.197416</v>
      </c>
      <c r="AW58" s="30" t="n">
        <f aca="false">AW10+AW11+AW57</f>
        <v>1790448.79244</v>
      </c>
      <c r="AX58" s="30" t="n">
        <f aca="false">AX10+AX11+AX57</f>
        <v>1720311.336568</v>
      </c>
      <c r="AY58" s="30" t="n">
        <f aca="false">AY10+AY11+AY57</f>
        <v>1636485.497504</v>
      </c>
      <c r="AZ58" s="30" t="n">
        <f aca="false">AZ10+AZ11+AZ57</f>
        <v>1541245.780008</v>
      </c>
      <c r="BA58" s="30" t="n">
        <f aca="false">BA10+BA11+BA57</f>
        <v>1437156.171264</v>
      </c>
      <c r="BB58" s="30" t="n">
        <f aca="false">BB10+BB11+BB57</f>
        <v>1326739.303824</v>
      </c>
      <c r="BC58" s="30" t="n">
        <f aca="false">BC10+BC11+BC57</f>
        <v>1212641.874136</v>
      </c>
      <c r="BD58" s="30" t="n">
        <f aca="false">BD10+BD11+BD57</f>
        <v>1097345.16012</v>
      </c>
      <c r="BE58" s="30" t="n">
        <f aca="false">BE10+BE11+BE57</f>
        <v>983123.666536</v>
      </c>
      <c r="BF58" s="30" t="n">
        <f aca="false">BF10+BF11+BF57</f>
        <v>872045.124984</v>
      </c>
      <c r="BG58" s="30" t="n">
        <f aca="false">BG10+BG11+BG57</f>
        <v>765805.075376</v>
      </c>
      <c r="BH58" s="30" t="n">
        <f aca="false">BH10+BH11+BH57</f>
        <v>665850.929832</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-556266.059712783</v>
      </c>
      <c r="R71" s="19" t="n">
        <f aca="false">-R24</f>
        <v>-665675.842802783</v>
      </c>
      <c r="S71" s="19" t="n">
        <f aca="false">-S24</f>
        <v>-781966.174932784</v>
      </c>
      <c r="T71" s="19" t="n">
        <f aca="false">-T24</f>
        <v>-903552.719152783</v>
      </c>
      <c r="U71" s="19" t="n">
        <f aca="false">-U24</f>
        <v>-1028579.53789278</v>
      </c>
      <c r="V71" s="19" t="n">
        <f aca="false">-V24</f>
        <v>-1154783.29265278</v>
      </c>
      <c r="W71" s="19" t="n">
        <f aca="false">-W24</f>
        <v>-1279674.31108278</v>
      </c>
      <c r="X71" s="19" t="n">
        <f aca="false">-X24</f>
        <v>-1400536.58698278</v>
      </c>
      <c r="Y71" s="19" t="n">
        <f aca="false">-Y24</f>
        <v>-1514473.04707278</v>
      </c>
      <c r="Z71" s="19" t="n">
        <f aca="false">-Z24</f>
        <v>-1618722.41838278</v>
      </c>
      <c r="AA71" s="19" t="n">
        <f aca="false">-AA24</f>
        <v>-1710478.16117278</v>
      </c>
      <c r="AB71" s="19" t="n">
        <f aca="false">-AB24</f>
        <v>-1787250.60309278</v>
      </c>
      <c r="AC71" s="19" t="n">
        <f aca="false">-AC24</f>
        <v>-1846912.20595278</v>
      </c>
      <c r="AD71" s="19" t="n">
        <f aca="false">-AD24</f>
        <v>-1887652.29895278</v>
      </c>
      <c r="AE71" s="19" t="n">
        <f aca="false">-AE24</f>
        <v>-1908339.21284278</v>
      </c>
      <c r="AF71" s="19" t="n">
        <f aca="false">-AF24</f>
        <v>-1908339.21284278</v>
      </c>
      <c r="AG71" s="19" t="n">
        <f aca="false">-AG24</f>
        <v>-1887652.29895278</v>
      </c>
      <c r="AH71" s="19" t="n">
        <f aca="false">-AH24</f>
        <v>-1846912.20595278</v>
      </c>
      <c r="AI71" s="19" t="n">
        <f aca="false">-AI24</f>
        <v>-1787250.60309278</v>
      </c>
      <c r="AJ71" s="19" t="n">
        <f aca="false">-AJ24</f>
        <v>-1710478.16117278</v>
      </c>
      <c r="AK71" s="19" t="n">
        <f aca="false">-AK24</f>
        <v>-1618722.41838278</v>
      </c>
      <c r="AL71" s="19" t="n">
        <f aca="false">-AL24</f>
        <v>-1514473.04707278</v>
      </c>
      <c r="AM71" s="19" t="n">
        <f aca="false">-AM24</f>
        <v>-1400536.58698278</v>
      </c>
      <c r="AN71" s="19" t="n">
        <f aca="false">-AN24</f>
        <v>-1279674.31108278</v>
      </c>
      <c r="AO71" s="19" t="n">
        <f aca="false">-AO24</f>
        <v>-1154783.29265278</v>
      </c>
      <c r="AP71" s="19" t="n">
        <f aca="false">-AP24</f>
        <v>-1028579.53789278</v>
      </c>
      <c r="AQ71" s="19" t="n">
        <f aca="false">-AQ24</f>
        <v>-903552.719152783</v>
      </c>
      <c r="AR71" s="19" t="n">
        <f aca="false">-AR24</f>
        <v>-781966.174932784</v>
      </c>
      <c r="AS71" s="19" t="n">
        <f aca="false">-AS24</f>
        <v>-665675.842802783</v>
      </c>
      <c r="AT71" s="19" t="n">
        <f aca="false">-AT24</f>
        <v>-283780.474359283</v>
      </c>
      <c r="AU71" s="19" t="n">
        <f aca="false">-AU24</f>
        <v>-0</v>
      </c>
      <c r="AV71" s="19" t="n">
        <f aca="false">-AV24</f>
        <v>-0</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-313939.25166175</v>
      </c>
      <c r="S73" s="19" t="n">
        <f aca="false">-S26</f>
        <v>-409572.44932175</v>
      </c>
      <c r="T73" s="19" t="n">
        <f aca="false">-T26</f>
        <v>-512511.38613675</v>
      </c>
      <c r="U73" s="19" t="n">
        <f aca="false">-U26</f>
        <v>-618651.37008675</v>
      </c>
      <c r="V73" s="19" t="n">
        <f aca="false">-V26</f>
        <v>-722892.16817675</v>
      </c>
      <c r="W73" s="19" t="n">
        <f aca="false">-W26</f>
        <v>-819444.32673675</v>
      </c>
      <c r="X73" s="19" t="n">
        <f aca="false">-X26</f>
        <v>-902380.54796175</v>
      </c>
      <c r="Y73" s="19" t="n">
        <f aca="false">-Y26</f>
        <v>-966202.38246675</v>
      </c>
      <c r="Z73" s="19" t="n">
        <f aca="false">-Z26</f>
        <v>-1006452.86988675</v>
      </c>
      <c r="AA73" s="19" t="n">
        <f aca="false">-AA26</f>
        <v>-1020206.65135675</v>
      </c>
      <c r="AB73" s="19" t="n">
        <f aca="false">-AB26</f>
        <v>-1006452.86988675</v>
      </c>
      <c r="AC73" s="19" t="n">
        <f aca="false">-AC26</f>
        <v>-966202.38246675</v>
      </c>
      <c r="AD73" s="19" t="n">
        <f aca="false">-AD26</f>
        <v>-902380.54796175</v>
      </c>
      <c r="AE73" s="19" t="n">
        <f aca="false">-AE26</f>
        <v>-819444.32673675</v>
      </c>
      <c r="AF73" s="19" t="n">
        <f aca="false">-AF26</f>
        <v>-722892.16817675</v>
      </c>
      <c r="AG73" s="19" t="n">
        <f aca="false">-AG26</f>
        <v>-618651.37008675</v>
      </c>
      <c r="AH73" s="19" t="n">
        <f aca="false">-AH26</f>
        <v>-512511.38613675</v>
      </c>
      <c r="AI73" s="19" t="n">
        <f aca="false">-AI26</f>
        <v>-409572.44932175</v>
      </c>
      <c r="AJ73" s="19" t="n">
        <f aca="false">-AJ26</f>
        <v>-221743.7335685</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-231977.53316825</v>
      </c>
      <c r="T74" s="19" t="n">
        <f aca="false">-T27</f>
        <v>-302643.28510825</v>
      </c>
      <c r="U74" s="19" t="n">
        <f aca="false">-U27</f>
        <v>-378707.42969325</v>
      </c>
      <c r="V74" s="19" t="n">
        <f aca="false">-V27</f>
        <v>-457136.90774325</v>
      </c>
      <c r="W74" s="19" t="n">
        <f aca="false">-W27</f>
        <v>-534163.03005325</v>
      </c>
      <c r="X74" s="19" t="n">
        <f aca="false">-X27</f>
        <v>-605507.82509325</v>
      </c>
      <c r="Y74" s="19" t="n">
        <f aca="false">-Y27</f>
        <v>-666791.46486825</v>
      </c>
      <c r="Z74" s="19" t="n">
        <f aca="false">-Z27</f>
        <v>-713951.00816325</v>
      </c>
      <c r="AA74" s="19" t="n">
        <f aca="false">-AA27</f>
        <v>-743693.09594325</v>
      </c>
      <c r="AB74" s="19" t="n">
        <f aca="false">-AB27</f>
        <v>-753856.10767325</v>
      </c>
      <c r="AC74" s="19" t="n">
        <f aca="false">-AC27</f>
        <v>-743693.09594325</v>
      </c>
      <c r="AD74" s="19" t="n">
        <f aca="false">-AD27</f>
        <v>-713951.00816325</v>
      </c>
      <c r="AE74" s="19" t="n">
        <f aca="false">-AE27</f>
        <v>-666791.46486825</v>
      </c>
      <c r="AF74" s="19" t="n">
        <f aca="false">-AF27</f>
        <v>-605507.82509325</v>
      </c>
      <c r="AG74" s="19" t="n">
        <f aca="false">-AG27</f>
        <v>-534163.03005325</v>
      </c>
      <c r="AH74" s="19" t="n">
        <f aca="false">-AH27</f>
        <v>-457136.90774325</v>
      </c>
      <c r="AI74" s="19" t="n">
        <f aca="false">-AI27</f>
        <v>-378707.42969325</v>
      </c>
      <c r="AJ74" s="19" t="n">
        <f aca="false">-AJ27</f>
        <v>-302643.28510825</v>
      </c>
      <c r="AK74" s="19" t="n">
        <f aca="false">-AK27</f>
        <v>-163851.9682915</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-378029.73543905</v>
      </c>
      <c r="U75" s="19" t="n">
        <f aca="false">-U28</f>
        <v>-493186.38507505</v>
      </c>
      <c r="V75" s="19" t="n">
        <f aca="false">-V28</f>
        <v>-617140.23552405</v>
      </c>
      <c r="W75" s="19" t="n">
        <f aca="false">-W28</f>
        <v>-744948.62469405</v>
      </c>
      <c r="X75" s="19" t="n">
        <f aca="false">-X28</f>
        <v>-870470.11050805</v>
      </c>
      <c r="Y75" s="19" t="n">
        <f aca="false">-Y28</f>
        <v>-986733.32628405</v>
      </c>
      <c r="Z75" s="19" t="n">
        <f aca="false">-Z28</f>
        <v>-1086600.92041905</v>
      </c>
      <c r="AA75" s="19" t="n">
        <f aca="false">-AA28</f>
        <v>-1163451.93884205</v>
      </c>
      <c r="AB75" s="19" t="n">
        <f aca="false">-AB28</f>
        <v>-1211919.53577405</v>
      </c>
      <c r="AC75" s="19" t="n">
        <f aca="false">-AC28</f>
        <v>-1228481.14233605</v>
      </c>
      <c r="AD75" s="19" t="n">
        <f aca="false">-AD28</f>
        <v>-1211919.53577405</v>
      </c>
      <c r="AE75" s="19" t="n">
        <f aca="false">-AE28</f>
        <v>-1163451.93884205</v>
      </c>
      <c r="AF75" s="19" t="n">
        <f aca="false">-AF28</f>
        <v>-1086600.92041905</v>
      </c>
      <c r="AG75" s="19" t="n">
        <f aca="false">-AG28</f>
        <v>-986733.32628405</v>
      </c>
      <c r="AH75" s="19" t="n">
        <f aca="false">-AH28</f>
        <v>-870470.11050805</v>
      </c>
      <c r="AI75" s="19" t="n">
        <f aca="false">-AI28</f>
        <v>-744948.62469405</v>
      </c>
      <c r="AJ75" s="19" t="n">
        <f aca="false">-AJ28</f>
        <v>-617140.23552405</v>
      </c>
      <c r="AK75" s="19" t="n">
        <f aca="false">-AK28</f>
        <v>-493186.38507505</v>
      </c>
      <c r="AL75" s="19" t="n">
        <f aca="false">-AL28</f>
        <v>-267012.5653051</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-544360.803130946</v>
      </c>
      <c r="Y76" s="19" t="n">
        <f aca="false">-Y29</f>
        <v>-700625.211272466</v>
      </c>
      <c r="Z76" s="19" t="n">
        <f aca="false">-Z29</f>
        <v>-868827.179100646</v>
      </c>
      <c r="AA76" s="19" t="n">
        <f aca="false">-AA29</f>
        <v>-1042259.65002005</v>
      </c>
      <c r="AB76" s="19" t="n">
        <f aca="false">-AB29</f>
        <v>-1212588.85594753</v>
      </c>
      <c r="AC76" s="19" t="n">
        <f aca="false">-AC29</f>
        <v>-1370354.84392385</v>
      </c>
      <c r="AD76" s="19" t="n">
        <f aca="false">-AD29</f>
        <v>-1505872.42401455</v>
      </c>
      <c r="AE76" s="19" t="n">
        <f aca="false">-AE29</f>
        <v>-1610157.14354141</v>
      </c>
      <c r="AF76" s="19" t="n">
        <f aca="false">-AF29</f>
        <v>-1675926.34030565</v>
      </c>
      <c r="AG76" s="19" t="n">
        <f aca="false">-AG29</f>
        <v>-1698399.98516649</v>
      </c>
      <c r="AH76" s="19" t="n">
        <f aca="false">-AH29</f>
        <v>-1675926.34030565</v>
      </c>
      <c r="AI76" s="19" t="n">
        <f aca="false">-AI29</f>
        <v>-1610157.14354141</v>
      </c>
      <c r="AJ76" s="19" t="n">
        <f aca="false">-AJ29</f>
        <v>-1505872.42401455</v>
      </c>
      <c r="AK76" s="19" t="n">
        <f aca="false">-AK29</f>
        <v>-1370354.84392385</v>
      </c>
      <c r="AL76" s="19" t="n">
        <f aca="false">-AL29</f>
        <v>-1212588.85594753</v>
      </c>
      <c r="AM76" s="19" t="n">
        <f aca="false">-AM29</f>
        <v>-1042259.65002005</v>
      </c>
      <c r="AN76" s="19" t="n">
        <f aca="false">-AN29</f>
        <v>-868827.179100646</v>
      </c>
      <c r="AO76" s="19" t="n">
        <f aca="false">-AO29</f>
        <v>-700625.211272466</v>
      </c>
      <c r="AP76" s="19" t="n">
        <f aca="false">-AP29</f>
        <v>-544360.803130946</v>
      </c>
      <c r="AQ76" s="19" t="n">
        <f aca="false">-AQ29</f>
        <v>119262.404858914</v>
      </c>
      <c r="AR76" s="19" t="n">
        <f aca="false">-AR29</f>
        <v>119262.404858914</v>
      </c>
      <c r="AS76" s="19" t="n">
        <f aca="false">-AS29</f>
        <v>119262.404858914</v>
      </c>
      <c r="AT76" s="19" t="n">
        <f aca="false">-AT29</f>
        <v>119262.404858914</v>
      </c>
      <c r="AU76" s="19" t="n">
        <f aca="false">-AU29</f>
        <v>269909.653101753</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-0</v>
      </c>
      <c r="N77" s="19" t="n">
        <f aca="false">-N30</f>
        <v>-311346.196127688</v>
      </c>
      <c r="O77" s="19" t="n">
        <f aca="false">-O30</f>
        <v>-406189.488762688</v>
      </c>
      <c r="P77" s="19" t="n">
        <f aca="false">-P30</f>
        <v>-508278.177071438</v>
      </c>
      <c r="Q77" s="19" t="n">
        <f aca="false">-Q30</f>
        <v>-613541.472708938</v>
      </c>
      <c r="R77" s="19" t="n">
        <f aca="false">-R30</f>
        <v>-716921.269261438</v>
      </c>
      <c r="S77" s="19" t="n">
        <f aca="false">-S30</f>
        <v>-812675.932421438</v>
      </c>
      <c r="T77" s="19" t="n">
        <f aca="false">-T30</f>
        <v>-894927.122302687</v>
      </c>
      <c r="U77" s="19" t="n">
        <f aca="false">-U30</f>
        <v>-958221.805263938</v>
      </c>
      <c r="V77" s="19" t="n">
        <f aca="false">-V30</f>
        <v>-998139.834258938</v>
      </c>
      <c r="W77" s="19" t="n">
        <f aca="false">-W30</f>
        <v>-1011780.01311644</v>
      </c>
      <c r="X77" s="19" t="n">
        <f aca="false">-X30</f>
        <v>-998139.834258938</v>
      </c>
      <c r="Y77" s="19" t="n">
        <f aca="false">-Y30</f>
        <v>-958221.805263938</v>
      </c>
      <c r="Z77" s="19" t="n">
        <f aca="false">-Z30</f>
        <v>-894927.122302687</v>
      </c>
      <c r="AA77" s="19" t="n">
        <f aca="false">-AA30</f>
        <v>-812675.932421438</v>
      </c>
      <c r="AB77" s="19" t="n">
        <f aca="false">-AB30</f>
        <v>-716921.269261438</v>
      </c>
      <c r="AC77" s="19" t="n">
        <f aca="false">-AC30</f>
        <v>-613541.472708938</v>
      </c>
      <c r="AD77" s="19" t="n">
        <f aca="false">-AD30</f>
        <v>-508278.177071438</v>
      </c>
      <c r="AE77" s="19" t="n">
        <f aca="false">-AE30</f>
        <v>-406189.488762688</v>
      </c>
      <c r="AF77" s="19" t="n">
        <f aca="false">-AF30</f>
        <v>-219912.188731625</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-4570918.97984795</v>
      </c>
      <c r="N104" s="30" t="n">
        <f aca="false">SUM(N60:N103)</f>
        <v>-5568774.00488249</v>
      </c>
      <c r="O104" s="30" t="n">
        <f aca="false">SUM(O60:O103)</f>
        <v>-5673812.27676773</v>
      </c>
      <c r="P104" s="30" t="n">
        <f aca="false">SUM(P60:P103)</f>
        <v>-6377224.18179984</v>
      </c>
      <c r="Q104" s="30" t="n">
        <f aca="false">SUM(Q60:Q103)</f>
        <v>-6931280.91127187</v>
      </c>
      <c r="R104" s="30" t="n">
        <f aca="false">SUM(R60:R103)</f>
        <v>-7376169.84552692</v>
      </c>
      <c r="S104" s="30" t="n">
        <f aca="false">SUM(S60:S103)</f>
        <v>-8203730.12470567</v>
      </c>
      <c r="T104" s="30" t="n">
        <f aca="false">SUM(T60:T103)</f>
        <v>-9797818.59793667</v>
      </c>
      <c r="U104" s="30" t="n">
        <f aca="false">SUM(U60:U103)</f>
        <v>-9563856.89990192</v>
      </c>
      <c r="V104" s="30" t="n">
        <f aca="false">SUM(V60:V103)</f>
        <v>-10439011.0581756</v>
      </c>
      <c r="W104" s="30" t="n">
        <f aca="false">SUM(W60:W103)</f>
        <v>-9463978.70134012</v>
      </c>
      <c r="X104" s="30" t="n">
        <f aca="false">SUM(X60:X103)</f>
        <v>-11471758.8425016</v>
      </c>
      <c r="Y104" s="30" t="n">
        <f aca="false">SUM(Y60:Y103)</f>
        <v>-10579776.7097878</v>
      </c>
      <c r="Z104" s="30" t="n">
        <f aca="false">SUM(Z60:Z103)</f>
        <v>-11610500.2428034</v>
      </c>
      <c r="AA104" s="30" t="n">
        <f aca="false">SUM(AA60:AA103)</f>
        <v>-11128162.3447432</v>
      </c>
      <c r="AB104" s="30" t="n">
        <f aca="false">SUM(AB60:AB103)</f>
        <v>-10152595.0312114</v>
      </c>
      <c r="AC104" s="30" t="n">
        <f aca="false">SUM(AC60:AC103)</f>
        <v>-9352876.60245888</v>
      </c>
      <c r="AD104" s="30" t="n">
        <f aca="false">SUM(AD60:AD103)</f>
        <v>-9280688.47959108</v>
      </c>
      <c r="AE104" s="30" t="n">
        <f aca="false">SUM(AE60:AE103)</f>
        <v>-9365467.54317764</v>
      </c>
      <c r="AF104" s="30" t="n">
        <f aca="false">SUM(AF60:AF103)</f>
        <v>-9094725.21805217</v>
      </c>
      <c r="AG104" s="30" t="n">
        <f aca="false">SUM(AG60:AG103)</f>
        <v>-9282995.43448374</v>
      </c>
      <c r="AH104" s="30" t="n">
        <f aca="false">SUM(AH60:AH103)</f>
        <v>-8649804.1922978</v>
      </c>
      <c r="AI104" s="30" t="n">
        <f aca="false">SUM(AI60:AI103)</f>
        <v>-8200590.38443356</v>
      </c>
      <c r="AJ104" s="30" t="n">
        <f aca="false">SUM(AJ60:AJ103)</f>
        <v>-6663689.6061317</v>
      </c>
      <c r="AK104" s="30" t="n">
        <f aca="false">SUM(AK60:AK103)</f>
        <v>-5682126.57862863</v>
      </c>
      <c r="AL104" s="30" t="n">
        <f aca="false">SUM(AL60:AL103)</f>
        <v>-5242007.50872086</v>
      </c>
      <c r="AM104" s="30" t="n">
        <f aca="false">SUM(AM60:AM103)</f>
        <v>-4879099.59614228</v>
      </c>
      <c r="AN104" s="30" t="n">
        <f aca="false">SUM(AN60:AN103)</f>
        <v>-3910551.81681888</v>
      </c>
      <c r="AO104" s="30" t="n">
        <f aca="false">SUM(AO60:AO103)</f>
        <v>-3418060.1996247</v>
      </c>
      <c r="AP104" s="30" t="n">
        <f aca="false">SUM(AP60:AP103)</f>
        <v>-3205729.49259518</v>
      </c>
      <c r="AQ104" s="30" t="n">
        <f aca="false">SUM(AQ60:AQ103)</f>
        <v>-2471584.87084132</v>
      </c>
      <c r="AR104" s="30" t="n">
        <f aca="false">SUM(AR60:AR103)</f>
        <v>-2387217.49542132</v>
      </c>
      <c r="AS104" s="30" t="n">
        <f aca="false">SUM(AS60:AS103)</f>
        <v>-2289826.23011532</v>
      </c>
      <c r="AT104" s="30" t="n">
        <f aca="false">SUM(AT60:AT103)</f>
        <v>-1907930.86167182</v>
      </c>
      <c r="AU104" s="30" t="n">
        <f aca="false">SUM(AU60:AU103)</f>
        <v>-1454604.0722457</v>
      </c>
      <c r="AV104" s="30" t="n">
        <f aca="false">SUM(AV60:AV103)</f>
        <v>-1687294.55654745</v>
      </c>
      <c r="AW104" s="30" t="n">
        <f aca="false">SUM(AW60:AW103)</f>
        <v>-1632789.15157145</v>
      </c>
      <c r="AX104" s="30" t="n">
        <f aca="false">SUM(AX60:AX103)</f>
        <v>-1562651.69569945</v>
      </c>
      <c r="AY104" s="30" t="n">
        <f aca="false">SUM(AY60:AY103)</f>
        <v>-1478825.85663545</v>
      </c>
      <c r="AZ104" s="30" t="n">
        <f aca="false">SUM(AZ60:AZ103)</f>
        <v>-1383586.13913945</v>
      </c>
      <c r="BA104" s="30" t="n">
        <f aca="false">SUM(BA60:BA103)</f>
        <v>-1279496.53039545</v>
      </c>
      <c r="BB104" s="30" t="n">
        <f aca="false">SUM(BB60:BB103)</f>
        <v>-1169079.66295545</v>
      </c>
      <c r="BC104" s="30" t="n">
        <f aca="false">SUM(BC60:BC103)</f>
        <v>-1054982.23326745</v>
      </c>
      <c r="BD104" s="30" t="n">
        <f aca="false">SUM(BD60:BD103)</f>
        <v>-939685.519251453</v>
      </c>
      <c r="BE104" s="30" t="n">
        <f aca="false">SUM(BE60:BE103)</f>
        <v>-825464.025667453</v>
      </c>
      <c r="BF104" s="30" t="n">
        <f aca="false">SUM(BF60:BF103)</f>
        <v>-714385.484115453</v>
      </c>
      <c r="BG104" s="30" t="n">
        <f aca="false">SUM(BG60:BG103)</f>
        <v>-608145.434507453</v>
      </c>
      <c r="BH104" s="30" t="n">
        <f aca="false">SUM(BH60:BH103)</f>
        <v>-259255.013907853</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668967.044334975</v>
      </c>
      <c r="R117" s="19" t="n">
        <f aca="false">IF(AND('Bonding Program'!$S$22=1,R$3='Bonding Program'!$H$22),'Bonding Program'!$T$22,0)</f>
        <v>0</v>
      </c>
      <c r="S117" s="19" t="n">
        <f aca="false">IF(AND('Bonding Program'!$S$22=1,S$3='Bonding Program'!$H$22),'Bonding Program'!$T$22,0)</f>
        <v>0</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226345.049261084</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167251.995073892</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272553.236453202</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668967.044334975</v>
      </c>
      <c r="R150" s="30" t="n">
        <f aca="false">SUM(R106:R149)</f>
        <v>226345.049261084</v>
      </c>
      <c r="S150" s="30" t="n">
        <f aca="false">SUM(S106:S149)</f>
        <v>167251.995073892</v>
      </c>
      <c r="T150" s="30" t="n">
        <f aca="false">SUM(T106:T149)</f>
        <v>272553.236453202</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-802202.980665025</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0</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-271425.438238916</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0</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0</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-200563.017426108</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0</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-326836.756046798</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0</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-802202.980665025</v>
      </c>
      <c r="R196" s="30" t="n">
        <f aca="false">SUM(R152:R195)</f>
        <v>-271425.438238916</v>
      </c>
      <c r="S196" s="30" t="n">
        <f aca="false">SUM(S152:S195)</f>
        <v>-200563.017426108</v>
      </c>
      <c r="T196" s="30" t="n">
        <f aca="false">SUM(T152:T195)</f>
        <v>-326836.756046798</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202550.231435551</v>
      </c>
      <c r="N199" s="32" t="n">
        <f aca="false">N197+N198+N10+N11+N57+N104+N196</f>
        <v>921198.021338766</v>
      </c>
      <c r="O199" s="32" t="n">
        <f aca="false">O197+O198+O10+O11+O57+O104+O196</f>
        <v>831983.497819715</v>
      </c>
      <c r="P199" s="32" t="n">
        <f aca="false">P197+P198+P10+P11+P57+P104+P196</f>
        <v>852806.987819716</v>
      </c>
      <c r="Q199" s="32" t="n">
        <f aca="false">Q197+Q198+Q10+Q11+Q57+Q104+Q196</f>
        <v>169427.681211907</v>
      </c>
      <c r="R199" s="32" t="n">
        <f aca="false">R197+R198+R10+R11+R57+R104+R196</f>
        <v>736482.701731266</v>
      </c>
      <c r="S199" s="32" t="n">
        <f aca="false">S197+S198+S10+S11+S57+S104+S196</f>
        <v>861251.627420825</v>
      </c>
      <c r="T199" s="32" t="n">
        <f aca="false">T197+T198+T10+T11+T57+T104+T196</f>
        <v>922973.338934083</v>
      </c>
      <c r="U199" s="32" t="n">
        <f aca="false">U197+U198+U10+U11+U57+U104+U196</f>
        <v>1144080.80498088</v>
      </c>
      <c r="V199" s="32" t="n">
        <f aca="false">V197+V198+V10+V11+V57+V104+V196</f>
        <v>1222659.89498088</v>
      </c>
      <c r="W199" s="32" t="n">
        <f aca="false">W197+W198+W10+W11+W57+W104+W196</f>
        <v>1110973.59498088</v>
      </c>
      <c r="X199" s="32" t="n">
        <f aca="false">X197+X198+X10+X11+X57+X104+X196</f>
        <v>1404851.5398398</v>
      </c>
      <c r="Y199" s="32" t="n">
        <f aca="false">Y197+Y198+Y10+Y11+Y57+Y104+Y196</f>
        <v>1243090.7198398</v>
      </c>
      <c r="Z199" s="32" t="n">
        <f aca="false">Z197+Z198+Z10+Z11+Z57+Z104+Z196</f>
        <v>1369436.8998398</v>
      </c>
      <c r="AA199" s="32" t="n">
        <f aca="false">AA197+AA198+AA10+AA11+AA57+AA104+AA196</f>
        <v>1398675.55320094</v>
      </c>
      <c r="AB199" s="32" t="n">
        <f aca="false">AB197+AB198+AB10+AB11+AB57+AB104+AB196</f>
        <v>1212343.83110043</v>
      </c>
      <c r="AC199" s="32" t="n">
        <f aca="false">AC197+AC198+AC10+AC11+AC57+AC104+AC196</f>
        <v>983618.361856878</v>
      </c>
      <c r="AD199" s="32" t="n">
        <f aca="false">AD197+AD198+AD10+AD11+AD57+AD104+AD196</f>
        <v>1006568.27185688</v>
      </c>
      <c r="AE199" s="32" t="n">
        <f aca="false">AE197+AE198+AE10+AE11+AE57+AE104+AE196</f>
        <v>422286.579769761</v>
      </c>
      <c r="AF199" s="32" t="n">
        <f aca="false">AF197+AF198+AF10+AF11+AF57+AF104+AF196</f>
        <v>1324779.73684014</v>
      </c>
      <c r="AG199" s="32" t="n">
        <f aca="false">AG197+AG198+AG10+AG11+AG57+AG104+AG196</f>
        <v>1234876.82509166</v>
      </c>
      <c r="AH199" s="32" t="n">
        <f aca="false">AH197+AH198+AH10+AH11+AH57+AH104+AH196</f>
        <v>1098183.50212976</v>
      </c>
      <c r="AI199" s="32" t="n">
        <f aca="false">AI197+AI198+AI10+AI11+AI57+AI104+AI196</f>
        <v>1092016.63212976</v>
      </c>
      <c r="AJ199" s="32" t="n">
        <f aca="false">AJ197+AJ198+AJ10+AJ11+AJ57+AJ104+AJ196</f>
        <v>1189583.24979076</v>
      </c>
      <c r="AK199" s="32" t="n">
        <f aca="false">AK197+AK198+AK10+AK11+AK57+AK104+AK196</f>
        <v>818983.359672127</v>
      </c>
      <c r="AL199" s="32" t="n">
        <f aca="false">AL197+AL198+AL10+AL11+AL57+AL104+AL196</f>
        <v>808059.470052578</v>
      </c>
      <c r="AM199" s="32" t="n">
        <f aca="false">AM197+AM198+AM10+AM11+AM57+AM104+AM196</f>
        <v>597906.909784677</v>
      </c>
      <c r="AN199" s="32" t="n">
        <f aca="false">AN197+AN198+AN10+AN11+AN57+AN104+AN196</f>
        <v>489424.859784678</v>
      </c>
      <c r="AO199" s="32" t="n">
        <f aca="false">AO197+AO198+AO10+AO11+AO57+AO104+AO196</f>
        <v>449496.249784678</v>
      </c>
      <c r="AP199" s="32" t="n">
        <f aca="false">AP197+AP198+AP10+AP11+AP57+AP104+AP196</f>
        <v>449496.249784678</v>
      </c>
      <c r="AQ199" s="32" t="n">
        <f aca="false">AQ197+AQ198+AQ10+AQ11+AQ57+AQ104+AQ196</f>
        <v>449496.249784677</v>
      </c>
      <c r="AR199" s="32" t="n">
        <f aca="false">AR197+AR198+AR10+AR11+AR57+AR104+AR196</f>
        <v>449496.249784678</v>
      </c>
      <c r="AS199" s="32" t="n">
        <f aca="false">AS197+AS198+AS10+AS11+AS57+AS104+AS196</f>
        <v>449496.249784677</v>
      </c>
      <c r="AT199" s="32" t="n">
        <f aca="false">AT197+AT198+AT10+AT11+AT57+AT104+AT196</f>
        <v>721981.835138177</v>
      </c>
      <c r="AU199" s="32" t="n">
        <f aca="false">AU197+AU198+AU10+AU11+AU57+AU104+AU196</f>
        <v>427569.2939703</v>
      </c>
      <c r="AV199" s="32" t="n">
        <f aca="false">AV197+AV198+AV10+AV11+AV57+AV104+AV196</f>
        <v>157659.640868547</v>
      </c>
      <c r="AW199" s="32" t="n">
        <f aca="false">AW197+AW198+AW10+AW11+AW57+AW104+AW196</f>
        <v>157659.640868547</v>
      </c>
      <c r="AX199" s="32" t="n">
        <f aca="false">AX197+AX198+AX10+AX11+AX57+AX104+AX196</f>
        <v>157659.640868547</v>
      </c>
      <c r="AY199" s="32" t="n">
        <f aca="false">AY197+AY198+AY10+AY11+AY57+AY104+AY196</f>
        <v>157659.640868547</v>
      </c>
      <c r="AZ199" s="32" t="n">
        <f aca="false">AZ197+AZ198+AZ10+AZ11+AZ57+AZ104+AZ196</f>
        <v>157659.640868547</v>
      </c>
      <c r="BA199" s="32" t="n">
        <f aca="false">BA197+BA198+BA10+BA11+BA57+BA104+BA196</f>
        <v>157659.640868547</v>
      </c>
      <c r="BB199" s="32" t="n">
        <f aca="false">BB197+BB198+BB10+BB11+BB57+BB104+BB196</f>
        <v>157659.640868547</v>
      </c>
      <c r="BC199" s="32" t="n">
        <f aca="false">BC197+BC198+BC10+BC11+BC57+BC104+BC196</f>
        <v>157659.640868547</v>
      </c>
      <c r="BD199" s="32" t="n">
        <f aca="false">BD197+BD198+BD10+BD11+BD57+BD104+BD196</f>
        <v>157659.640868547</v>
      </c>
      <c r="BE199" s="32" t="n">
        <f aca="false">BE197+BE198+BE10+BE11+BE57+BE104+BE196</f>
        <v>157659.640868547</v>
      </c>
      <c r="BF199" s="32" t="n">
        <f aca="false">BF197+BF198+BF10+BF11+BF57+BF104+BF196</f>
        <v>157659.640868547</v>
      </c>
      <c r="BG199" s="32" t="n">
        <f aca="false">BG197+BG198+BG10+BG11+BG57+BG104+BG196</f>
        <v>157659.640868547</v>
      </c>
      <c r="BH199" s="32" t="n">
        <f aca="false">BH197+BH198+BH10+BH11+BH57+BH104+BH196</f>
        <v>406595.915924147</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0.0387636134188943</v>
      </c>
      <c r="N200" s="33" t="n">
        <f aca="false">IFERROR(N199/N58,0)</f>
        <v>0.141753424702375</v>
      </c>
      <c r="O200" s="33" t="n">
        <f aca="false">IFERROR(O199/O58,0)</f>
        <v>0.127602452213543</v>
      </c>
      <c r="P200" s="33" t="n">
        <f aca="false">IFERROR(P199/P58,0)</f>
        <v>0.117826686268274</v>
      </c>
      <c r="Q200" s="33" t="n">
        <f aca="false">IFERROR(Q199/Q58,0)</f>
        <v>0.0214022384976853</v>
      </c>
      <c r="R200" s="33" t="n">
        <f aca="false">IFERROR(R199/R58,0)</f>
        <v>0.0880197737674962</v>
      </c>
      <c r="S200" s="33" t="n">
        <f aca="false">IFERROR(S199/S58,0)</f>
        <v>0.093555535542091</v>
      </c>
      <c r="T200" s="33" t="n">
        <f aca="false">IFERROR(T199/T58,0)</f>
        <v>0.0837030703164793</v>
      </c>
      <c r="U200" s="33" t="n">
        <f aca="false">IFERROR(U199/U58,0)</f>
        <v>0.106877135599552</v>
      </c>
      <c r="V200" s="33" t="n">
        <f aca="false">IFERROR(V199/V58,0)</f>
        <v>0.104813459274355</v>
      </c>
      <c r="W200" s="33" t="n">
        <f aca="false">IFERROR(W199/W58,0)</f>
        <v>0.104999635683923</v>
      </c>
      <c r="X200" s="33" t="n">
        <f aca="false">IFERROR(X199/X58,0)</f>
        <v>0.109101036540359</v>
      </c>
      <c r="Y200" s="33" t="n">
        <f aca="false">IFERROR(Y199/Y58,0)</f>
        <v>0.105142912854175</v>
      </c>
      <c r="Z200" s="33" t="n">
        <f aca="false">IFERROR(Z199/Z58,0)</f>
        <v>0.105504124156408</v>
      </c>
      <c r="AA200" s="33" t="n">
        <f aca="false">IFERROR(AA199/AA58,0)</f>
        <v>0.111654318878868</v>
      </c>
      <c r="AB200" s="33" t="n">
        <f aca="false">IFERROR(AB199/AB58,0)</f>
        <v>0.106674030171934</v>
      </c>
      <c r="AC200" s="33" t="n">
        <f aca="false">IFERROR(AC199/AC58,0)</f>
        <v>0.0951597582403495</v>
      </c>
      <c r="AD200" s="33" t="n">
        <f aca="false">IFERROR(AD199/AD58,0)</f>
        <v>0.0978461310120602</v>
      </c>
      <c r="AE200" s="33" t="n">
        <f aca="false">IFERROR(AE199/AE58,0)</f>
        <v>0.0401389157764948</v>
      </c>
      <c r="AF200" s="33" t="n">
        <f aca="false">IFERROR(AF199/AF58,0)</f>
        <v>0.127144211032609</v>
      </c>
      <c r="AG200" s="33" t="n">
        <f aca="false">IFERROR(AG199/AG58,0)</f>
        <v>0.11740747506868</v>
      </c>
      <c r="AH200" s="33" t="n">
        <f aca="false">IFERROR(AH199/AH58,0)</f>
        <v>0.112657456754643</v>
      </c>
      <c r="AI200" s="33" t="n">
        <f aca="false">IFERROR(AI199/AI58,0)</f>
        <v>0.117514560788305</v>
      </c>
      <c r="AJ200" s="33" t="n">
        <f aca="false">IFERROR(AJ199/AJ58,0)</f>
        <v>0.151476113413486</v>
      </c>
      <c r="AK200" s="33" t="n">
        <f aca="false">IFERROR(AK199/AK58,0)</f>
        <v>0.125975928332969</v>
      </c>
      <c r="AL200" s="33" t="n">
        <f aca="false">IFERROR(AL199/AL58,0)</f>
        <v>0.133562070120486</v>
      </c>
      <c r="AM200" s="33" t="n">
        <f aca="false">IFERROR(AM199/AM58,0)</f>
        <v>0.109166733531839</v>
      </c>
      <c r="AN200" s="33" t="n">
        <f aca="false">IFERROR(AN199/AN58,0)</f>
        <v>0.111233512301814</v>
      </c>
      <c r="AO200" s="33" t="n">
        <f aca="false">IFERROR(AO199/AO58,0)</f>
        <v>0.116222285482949</v>
      </c>
      <c r="AP200" s="33" t="n">
        <f aca="false">IFERROR(AP199/AP58,0)</f>
        <v>0.122973594920028</v>
      </c>
      <c r="AQ200" s="33" t="n">
        <f aca="false">IFERROR(AQ199/AQ58,0)</f>
        <v>0.153880098231695</v>
      </c>
      <c r="AR200" s="33" t="n">
        <f aca="false">IFERROR(AR199/AR58,0)</f>
        <v>0.158456682682318</v>
      </c>
      <c r="AS200" s="33" t="n">
        <f aca="false">IFERROR(AS199/AS58,0)</f>
        <v>0.164090300825439</v>
      </c>
      <c r="AT200" s="33" t="n">
        <f aca="false">IFERROR(AT199/AT58,0)</f>
        <v>0.274526920993962</v>
      </c>
      <c r="AU200" s="33" t="n">
        <f aca="false">IFERROR(AU199/AU58,0)</f>
        <v>0.22716785905323</v>
      </c>
      <c r="AV200" s="33" t="n">
        <f aca="false">IFERROR(AV199/AV58,0)</f>
        <v>0.0854545013038053</v>
      </c>
      <c r="AW200" s="33" t="n">
        <f aca="false">IFERROR(AW199/AW58,0)</f>
        <v>0.0880559340955461</v>
      </c>
      <c r="AX200" s="33" t="n">
        <f aca="false">IFERROR(AX199/AX58,0)</f>
        <v>0.0916459930927827</v>
      </c>
      <c r="AY200" s="33" t="n">
        <f aca="false">IFERROR(AY199/AY58,0)</f>
        <v>0.0963403837730382</v>
      </c>
      <c r="AZ200" s="33" t="n">
        <f aca="false">IFERROR(AZ199/AZ58,0)</f>
        <v>0.102293639933099</v>
      </c>
      <c r="BA200" s="33" t="n">
        <f aca="false">IFERROR(BA199/BA58,0)</f>
        <v>0.109702511126458</v>
      </c>
      <c r="BB200" s="33" t="n">
        <f aca="false">IFERROR(BB199/BB58,0)</f>
        <v>0.118832419009621</v>
      </c>
      <c r="BC200" s="33" t="n">
        <f aca="false">IFERROR(BC199/BC58,0)</f>
        <v>0.130013356978026</v>
      </c>
      <c r="BD200" s="33" t="n">
        <f aca="false">IFERROR(BD199/BD58,0)</f>
        <v>0.143673701400666</v>
      </c>
      <c r="BE200" s="33" t="n">
        <f aca="false">IFERROR(BE199/BE58,0)</f>
        <v>0.160366031492309</v>
      </c>
      <c r="BF200" s="33" t="n">
        <f aca="false">IFERROR(BF199/BF58,0)</f>
        <v>0.180792984619276</v>
      </c>
      <c r="BG200" s="33" t="n">
        <f aca="false">IFERROR(BG199/BG58,0)</f>
        <v>0.205874374482486</v>
      </c>
      <c r="BH200" s="33" t="n">
        <f aca="false">IFERROR(BH199/BH58,0)</f>
        <v>0.610641057491253</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-283381</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-381273.62</v>
      </c>
      <c r="R203" s="13" t="n">
        <f aca="false">IF(ISBLANK(Actuals!S21),(-(SUMPRODUCT((Personnel!$O$9:$O$100="GC")*(Personnel!$G$9:$G$100="Yes")*(14&gt;=Personnel!$E$9:$E$100)*((Personnel!$K$9:$K$100="")+(14&lt;=Personnel!$K$9:$K$100)&gt;0)*Personnel!$D$9:$D$100*(1-Personnel!$H$9:$H$100))+Staffing!R81))*Escalation!$B$15,Actuals!S21)</f>
        <v>-412723.62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-433973.62</v>
      </c>
      <c r="U203" s="13" t="n">
        <f aca="false">IF(ISBLANK(Actuals!V21),(-(SUMPRODUCT((Personnel!$O$9:$O$100="GC")*(Personnel!$G$9:$G$100="Yes")*(17&gt;=Personnel!$E$9:$E$100)*((Personnel!$K$9:$K$100="")+(17&lt;=Personnel!$K$9:$K$100)&gt;0)*Personnel!$D$9:$D$100*(1-Personnel!$H$9:$H$100))+Staffing!U81))*Escalation!$B$18,Actuals!V21)</f>
        <v>-433973.62</v>
      </c>
      <c r="V203" s="13" t="n">
        <f aca="false">IF(ISBLANK(Actuals!W21),(-(SUMPRODUCT((Personnel!$O$9:$O$100="GC")*(Personnel!$G$9:$G$100="Yes")*(18&gt;=Personnel!$E$9:$E$100)*((Personnel!$K$9:$K$100="")+(18&lt;=Personnel!$K$9:$K$100)&gt;0)*Personnel!$D$9:$D$100*(1-Personnel!$H$9:$H$100))+Staffing!V81))*Escalation!$B$19,Actuals!W21)</f>
        <v>-433973.62</v>
      </c>
      <c r="W203" s="13" t="n">
        <f aca="false">IF(ISBLANK(Actuals!X21),(-(SUMPRODUCT((Personnel!$O$9:$O$100="GC")*(Personnel!$G$9:$G$100="Yes")*(19&gt;=Personnel!$E$9:$E$100)*((Personnel!$K$9:$K$100="")+(19&lt;=Personnel!$K$9:$K$100)&gt;0)*Personnel!$D$9:$D$100*(1-Personnel!$H$9:$H$100))+Staffing!W81))*Escalation!$B$20,Actuals!X21)</f>
        <v>-433973.62</v>
      </c>
      <c r="X203" s="13" t="n">
        <f aca="false">IF(ISBLANK(Actuals!Y21),(-(SUMPRODUCT((Personnel!$O$9:$O$100="GC")*(Personnel!$G$9:$G$100="Yes")*(20&gt;=Personnel!$E$9:$E$100)*((Personnel!$K$9:$K$100="")+(20&lt;=Personnel!$K$9:$K$100)&gt;0)*Personnel!$D$9:$D$100*(1-Personnel!$H$9:$H$100))+Staffing!X81))*Escalation!$B$21,Actuals!Y21)</f>
        <v>-433973.62</v>
      </c>
      <c r="Y203" s="13" t="n">
        <f aca="false">IF(ISBLANK(Actuals!Z21),(-(SUMPRODUCT((Personnel!$O$9:$O$100="GC")*(Personnel!$G$9:$G$100="Yes")*(21&gt;=Personnel!$E$9:$E$100)*((Personnel!$K$9:$K$100="")+(21&lt;=Personnel!$K$9:$K$100)&gt;0)*Personnel!$D$9:$D$100*(1-Personnel!$H$9:$H$100))+Staffing!Y81))*Escalation!$B$22,Actuals!Z21)</f>
        <v>-433973.62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-416548.62</v>
      </c>
      <c r="AC203" s="13" t="n">
        <f aca="false">IF(ISBLANK(Actuals!AD21),(-(SUMPRODUCT((Personnel!$O$9:$O$100="GC")*(Personnel!$G$9:$G$100="Yes")*(25&gt;=Personnel!$E$9:$E$100)*((Personnel!$K$9:$K$100="")+(25&lt;=Personnel!$K$9:$K$100)&gt;0)*Personnel!$D$9:$D$100*(1-Personnel!$H$9:$H$100))+Staffing!AC81))*Escalation!$B$26,Actuals!AD21)</f>
        <v>-424879.5924</v>
      </c>
      <c r="AD203" s="13" t="n">
        <f aca="false">IF(ISBLANK(Actuals!AE21),(-(SUMPRODUCT((Personnel!$O$9:$O$100="GC")*(Personnel!$G$9:$G$100="Yes")*(26&gt;=Personnel!$E$9:$E$100)*((Personnel!$K$9:$K$100="")+(26&lt;=Personnel!$K$9:$K$100)&gt;0)*Personnel!$D$9:$D$100*(1-Personnel!$H$9:$H$100))+Staffing!AD81))*Escalation!$B$27,Actuals!AE21)</f>
        <v>-400170.0924</v>
      </c>
      <c r="AE203" s="13" t="n">
        <f aca="false">IF(ISBLANK(Actuals!AF21),(-(SUMPRODUCT((Personnel!$O$9:$O$100="GC")*(Personnel!$G$9:$G$100="Yes")*(27&gt;=Personnel!$E$9:$E$100)*((Personnel!$K$9:$K$100="")+(27&lt;=Personnel!$K$9:$K$100)&gt;0)*Personnel!$D$9:$D$100*(1-Personnel!$H$9:$H$100))+Staffing!AE81))*Escalation!$B$28,Actuals!AF21)</f>
        <v>-400170.0924</v>
      </c>
      <c r="AF203" s="13" t="n">
        <f aca="false">IF(ISBLANK(Actuals!AG21),(-(SUMPRODUCT((Personnel!$O$9:$O$100="GC")*(Personnel!$G$9:$G$100="Yes")*(28&gt;=Personnel!$E$9:$E$100)*((Personnel!$K$9:$K$100="")+(28&lt;=Personnel!$K$9:$K$100)&gt;0)*Personnel!$D$9:$D$100*(1-Personnel!$H$9:$H$100))+Staffing!AF81))*Escalation!$B$29,Actuals!AG21)</f>
        <v>-400170.0924</v>
      </c>
      <c r="AG203" s="13" t="n">
        <f aca="false">IF(ISBLANK(Actuals!AH21),(-(SUMPRODUCT((Personnel!$O$9:$O$100="GC")*(Personnel!$G$9:$G$100="Yes")*(29&gt;=Personnel!$E$9:$E$100)*((Personnel!$K$9:$K$100="")+(29&lt;=Personnel!$K$9:$K$100)&gt;0)*Personnel!$D$9:$D$100*(1-Personnel!$H$9:$H$100))+Staffing!AG81))*Escalation!$B$30,Actuals!AH21)</f>
        <v>-400170.0924</v>
      </c>
      <c r="AH203" s="13" t="n">
        <f aca="false">IF(ISBLANK(Actuals!AI21),(-(SUMPRODUCT((Personnel!$O$9:$O$100="GC")*(Personnel!$G$9:$G$100="Yes")*(30&gt;=Personnel!$E$9:$E$100)*((Personnel!$K$9:$K$100="")+(30&lt;=Personnel!$K$9:$K$100)&gt;0)*Personnel!$D$9:$D$100*(1-Personnel!$H$9:$H$100))+Staffing!AH81))*Escalation!$B$31,Actuals!AI21)</f>
        <v>-386298.0924</v>
      </c>
      <c r="AI203" s="13" t="n">
        <f aca="false">IF(ISBLANK(Actuals!AJ21),(-(SUMPRODUCT((Personnel!$O$9:$O$100="GC")*(Personnel!$G$9:$G$100="Yes")*(31&gt;=Personnel!$E$9:$E$100)*((Personnel!$K$9:$K$100="")+(31&lt;=Personnel!$K$9:$K$100)&gt;0)*Personnel!$D$9:$D$100*(1-Personnel!$H$9:$H$100))+Staffing!AI81))*Escalation!$B$32,Actuals!AJ21)</f>
        <v>-386298.0924</v>
      </c>
      <c r="AJ203" s="13" t="n">
        <f aca="false">IF(ISBLANK(Actuals!AK21),(-(SUMPRODUCT((Personnel!$O$9:$O$100="GC")*(Personnel!$G$9:$G$100="Yes")*(32&gt;=Personnel!$E$9:$E$100)*((Personnel!$K$9:$K$100="")+(32&lt;=Personnel!$K$9:$K$100)&gt;0)*Personnel!$D$9:$D$100*(1-Personnel!$H$9:$H$100))+Staffing!AJ81))*Escalation!$B$33,Actuals!AK21)</f>
        <v>-386298.0924</v>
      </c>
      <c r="AK203" s="13" t="n">
        <f aca="false">IF(ISBLANK(Actuals!AL21),(-(SUMPRODUCT((Personnel!$O$9:$O$100="GC")*(Personnel!$G$9:$G$100="Yes")*(33&gt;=Personnel!$E$9:$E$100)*((Personnel!$K$9:$K$100="")+(33&lt;=Personnel!$K$9:$K$100)&gt;0)*Personnel!$D$9:$D$100*(1-Personnel!$H$9:$H$100))+Staffing!AK81))*Escalation!$B$34,Actuals!AL21)</f>
        <v>-386298.0924</v>
      </c>
      <c r="AL203" s="13" t="n">
        <f aca="false">IF(ISBLANK(Actuals!AM21),(-(SUMPRODUCT((Personnel!$O$9:$O$100="GC")*(Personnel!$G$9:$G$100="Yes")*(34&gt;=Personnel!$E$9:$E$100)*((Personnel!$K$9:$K$100="")+(34&lt;=Personnel!$K$9:$K$100)&gt;0)*Personnel!$D$9:$D$100*(1-Personnel!$H$9:$H$100))+Staffing!AL81))*Escalation!$B$35,Actuals!AM21)</f>
        <v>-379362.0924</v>
      </c>
      <c r="AM203" s="13" t="n">
        <f aca="false">IF(ISBLANK(Actuals!AN21),(-(SUMPRODUCT((Personnel!$O$9:$O$100="GC")*(Personnel!$G$9:$G$100="Yes")*(35&gt;=Personnel!$E$9:$E$100)*((Personnel!$K$9:$K$100="")+(35&lt;=Personnel!$K$9:$K$100)&gt;0)*Personnel!$D$9:$D$100*(1-Personnel!$H$9:$H$100))+Staffing!AM81))*Escalation!$B$36,Actuals!AN21)</f>
        <v>-324741.0924</v>
      </c>
      <c r="AN203" s="13" t="n">
        <f aca="false">IF(ISBLANK(Actuals!AO21),(-(SUMPRODUCT((Personnel!$O$9:$O$100="GC")*(Personnel!$G$9:$G$100="Yes")*(36&gt;=Personnel!$E$9:$E$100)*((Personnel!$K$9:$K$100="")+(36&lt;=Personnel!$K$9:$K$100)&gt;0)*Personnel!$D$9:$D$100*(1-Personnel!$H$9:$H$100))+Staffing!AN81))*Escalation!$B$37,Actuals!AO21)</f>
        <v>-300031.5924</v>
      </c>
      <c r="AO203" s="13" t="n">
        <f aca="false">IF(ISBLANK(Actuals!AP21),(-(SUMPRODUCT((Personnel!$O$9:$O$100="GC")*(Personnel!$G$9:$G$100="Yes")*(37&gt;=Personnel!$E$9:$E$100)*((Personnel!$K$9:$K$100="")+(37&lt;=Personnel!$K$9:$K$100)&gt;0)*Personnel!$D$9:$D$100*(1-Personnel!$H$9:$H$100))+Staffing!AO81))*Escalation!$B$38,Actuals!AP21)</f>
        <v>-306032.224248</v>
      </c>
      <c r="AP203" s="13" t="n">
        <f aca="false">IF(ISBLANK(Actuals!AQ21),(-(SUMPRODUCT((Personnel!$O$9:$O$100="GC")*(Personnel!$G$9:$G$100="Yes")*(38&gt;=Personnel!$E$9:$E$100)*((Personnel!$K$9:$K$100="")+(38&lt;=Personnel!$K$9:$K$100)&gt;0)*Personnel!$D$9:$D$100*(1-Personnel!$H$9:$H$100))+Staffing!AP81))*Escalation!$B$39,Actuals!AQ21)</f>
        <v>-306032.224248</v>
      </c>
      <c r="AQ203" s="13" t="n">
        <f aca="false">IF(ISBLANK(Actuals!AR21),(-(SUMPRODUCT((Personnel!$O$9:$O$100="GC")*(Personnel!$G$9:$G$100="Yes")*(39&gt;=Personnel!$E$9:$E$100)*((Personnel!$K$9:$K$100="")+(39&lt;=Personnel!$K$9:$K$100)&gt;0)*Personnel!$D$9:$D$100*(1-Personnel!$H$9:$H$100))+Staffing!AQ81))*Escalation!$B$40,Actuals!AR21)</f>
        <v>-283481.554248</v>
      </c>
      <c r="AR203" s="13" t="n">
        <f aca="false">IF(ISBLANK(Actuals!AS21),(-(SUMPRODUCT((Personnel!$O$9:$O$100="GC")*(Personnel!$G$9:$G$100="Yes")*(40&gt;=Personnel!$E$9:$E$100)*((Personnel!$K$9:$K$100="")+(40&lt;=Personnel!$K$9:$K$100)&gt;0)*Personnel!$D$9:$D$100*(1-Personnel!$H$9:$H$100))+Staffing!AR81))*Escalation!$B$41,Actuals!AS21)</f>
        <v>-283481.554248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-23628.3366666667</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-30556.6534</v>
      </c>
      <c r="R204" s="13" t="n">
        <f aca="false">IF(ISBLANK(Actuals!S22),-Helpers!P4*Assumptions!$B$20,Actuals!S22)</f>
        <v>-32758.1534</v>
      </c>
      <c r="S204" s="13" t="n">
        <f aca="false">IF(ISBLANK(Actuals!T22),-Helpers!Q4*Assumptions!$B$20,Actuals!T22)</f>
        <v>-33501.9034</v>
      </c>
      <c r="T204" s="13" t="n">
        <f aca="false">IF(ISBLANK(Actuals!U22),-Helpers!R4*Assumptions!$B$20,Actuals!U22)</f>
        <v>-34245.6534</v>
      </c>
      <c r="U204" s="13" t="n">
        <f aca="false">IF(ISBLANK(Actuals!V22),-Helpers!S4*Assumptions!$B$20,Actuals!V22)</f>
        <v>-34245.6534</v>
      </c>
      <c r="V204" s="13" t="n">
        <f aca="false">IF(ISBLANK(Actuals!W22),-Helpers!T4*Assumptions!$B$20,Actuals!W22)</f>
        <v>-34245.6534</v>
      </c>
      <c r="W204" s="13" t="n">
        <f aca="false">IF(ISBLANK(Actuals!X22),-Helpers!U4*Assumptions!$B$20,Actuals!X22)</f>
        <v>-34245.6534</v>
      </c>
      <c r="X204" s="13" t="n">
        <f aca="false">IF(ISBLANK(Actuals!Y22),-Helpers!V4*Assumptions!$B$20,Actuals!Y22)</f>
        <v>-34245.6534</v>
      </c>
      <c r="Y204" s="13" t="n">
        <f aca="false">IF(ISBLANK(Actuals!Z22),-Helpers!W4*Assumptions!$B$20,Actuals!Z22)</f>
        <v>-34245.6534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-33025.9034</v>
      </c>
      <c r="AC204" s="13" t="n">
        <f aca="false">IF(ISBLANK(Actuals!AD22),-Helpers!AA4*Assumptions!$B$20,Actuals!AD22)</f>
        <v>-33686.421468</v>
      </c>
      <c r="AD204" s="13" t="n">
        <f aca="false">IF(ISBLANK(Actuals!AE22),-Helpers!AB4*Assumptions!$B$20,Actuals!AE22)</f>
        <v>-31956.756468</v>
      </c>
      <c r="AE204" s="13" t="n">
        <f aca="false">IF(ISBLANK(Actuals!AF22),-Helpers!AC4*Assumptions!$B$20,Actuals!AF22)</f>
        <v>-31956.756468</v>
      </c>
      <c r="AF204" s="13" t="n">
        <f aca="false">IF(ISBLANK(Actuals!AG22),-Helpers!AD4*Assumptions!$B$20,Actuals!AG22)</f>
        <v>-31956.756468</v>
      </c>
      <c r="AG204" s="13" t="n">
        <f aca="false">IF(ISBLANK(Actuals!AH22),-Helpers!AE4*Assumptions!$B$20,Actuals!AH22)</f>
        <v>-31956.756468</v>
      </c>
      <c r="AH204" s="13" t="n">
        <f aca="false">IF(ISBLANK(Actuals!AI22),-Helpers!AF4*Assumptions!$B$20,Actuals!AI22)</f>
        <v>-30985.716468</v>
      </c>
      <c r="AI204" s="13" t="n">
        <f aca="false">IF(ISBLANK(Actuals!AJ22),-Helpers!AG4*Assumptions!$B$20,Actuals!AJ22)</f>
        <v>-30985.716468</v>
      </c>
      <c r="AJ204" s="13" t="n">
        <f aca="false">IF(ISBLANK(Actuals!AK22),-Helpers!AH4*Assumptions!$B$20,Actuals!AK22)</f>
        <v>-30985.716468</v>
      </c>
      <c r="AK204" s="13" t="n">
        <f aca="false">IF(ISBLANK(Actuals!AL22),-Helpers!AI4*Assumptions!$B$20,Actuals!AL22)</f>
        <v>-30985.716468</v>
      </c>
      <c r="AL204" s="13" t="n">
        <f aca="false">IF(ISBLANK(Actuals!AM22),-Helpers!AJ4*Assumptions!$B$20,Actuals!AM22)</f>
        <v>-30500.196468</v>
      </c>
      <c r="AM204" s="13" t="n">
        <f aca="false">IF(ISBLANK(Actuals!AN22),-Helpers!AK4*Assumptions!$B$20,Actuals!AN22)</f>
        <v>-26676.726468</v>
      </c>
      <c r="AN204" s="13" t="n">
        <f aca="false">IF(ISBLANK(Actuals!AO22),-Helpers!AL4*Assumptions!$B$20,Actuals!AO22)</f>
        <v>-24947.061468</v>
      </c>
      <c r="AO204" s="13" t="n">
        <f aca="false">IF(ISBLANK(Actuals!AP22),-Helpers!AM4*Assumptions!$B$20,Actuals!AP22)</f>
        <v>-25446.00269736</v>
      </c>
      <c r="AP204" s="13" t="n">
        <f aca="false">IF(ISBLANK(Actuals!AQ22),-Helpers!AN4*Assumptions!$B$20,Actuals!AQ22)</f>
        <v>-25446.00269736</v>
      </c>
      <c r="AQ204" s="13" t="n">
        <f aca="false">IF(ISBLANK(Actuals!AR22),-Helpers!AO4*Assumptions!$B$20,Actuals!AR22)</f>
        <v>-23867.45579736</v>
      </c>
      <c r="AR204" s="13" t="n">
        <f aca="false">IF(ISBLANK(Actuals!AS22),-Helpers!AP4*Assumptions!$B$20,Actuals!AS22)</f>
        <v>-23867.45579736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-16877.3833333333</v>
      </c>
      <c r="N206" s="13" t="n">
        <f aca="false">IF(ISBLANK(Actuals!O24),-Helpers!L4*Assumptions!$B$22,Actuals!O24)</f>
        <v>-17939.8833333333</v>
      </c>
      <c r="O206" s="13" t="n">
        <f aca="false">IF(ISBLANK(Actuals!P24),-Helpers!M4*Assumptions!$B$22,Actuals!P24)</f>
        <v>-20210.7166666667</v>
      </c>
      <c r="P206" s="13" t="n">
        <f aca="false">IF(ISBLANK(Actuals!Q24),-Helpers!N4*Assumptions!$B$22,Actuals!Q24)</f>
        <v>-20210.7166666667</v>
      </c>
      <c r="Q206" s="13" t="n">
        <f aca="false">IF(ISBLANK(Actuals!R24),-Helpers!O4*Assumptions!$B$22,Actuals!R24)</f>
        <v>-21826.181</v>
      </c>
      <c r="R206" s="13" t="n">
        <f aca="false">IF(ISBLANK(Actuals!S24),-Helpers!P4*Assumptions!$B$22,Actuals!S24)</f>
        <v>-23398.681</v>
      </c>
      <c r="S206" s="13" t="n">
        <f aca="false">IF(ISBLANK(Actuals!T24),-Helpers!Q4*Assumptions!$B$22,Actuals!T24)</f>
        <v>-23929.931</v>
      </c>
      <c r="T206" s="13" t="n">
        <f aca="false">IF(ISBLANK(Actuals!U24),-Helpers!R4*Assumptions!$B$22,Actuals!U24)</f>
        <v>-24461.181</v>
      </c>
      <c r="U206" s="13" t="n">
        <f aca="false">IF(ISBLANK(Actuals!V24),-Helpers!S4*Assumptions!$B$22,Actuals!V24)</f>
        <v>-24461.181</v>
      </c>
      <c r="V206" s="13" t="n">
        <f aca="false">IF(ISBLANK(Actuals!W24),-Helpers!T4*Assumptions!$B$22,Actuals!W24)</f>
        <v>-24461.181</v>
      </c>
      <c r="W206" s="13" t="n">
        <f aca="false">IF(ISBLANK(Actuals!X24),-Helpers!U4*Assumptions!$B$22,Actuals!X24)</f>
        <v>-24461.181</v>
      </c>
      <c r="X206" s="13" t="n">
        <f aca="false">IF(ISBLANK(Actuals!Y24),-Helpers!V4*Assumptions!$B$22,Actuals!Y24)</f>
        <v>-24461.181</v>
      </c>
      <c r="Y206" s="13" t="n">
        <f aca="false">IF(ISBLANK(Actuals!Z24),-Helpers!W4*Assumptions!$B$22,Actuals!Z24)</f>
        <v>-24461.181</v>
      </c>
      <c r="Z206" s="13" t="n">
        <f aca="false">IF(ISBLANK(Actuals!AA24),-Helpers!X4*Assumptions!$B$22,Actuals!AA24)</f>
        <v>-23929.931</v>
      </c>
      <c r="AA206" s="13" t="n">
        <f aca="false">IF(ISBLANK(Actuals!AB24),-Helpers!Y4*Assumptions!$B$22,Actuals!AB24)</f>
        <v>-23929.931</v>
      </c>
      <c r="AB206" s="13" t="n">
        <f aca="false">IF(ISBLANK(Actuals!AC24),-Helpers!Z4*Assumptions!$B$22,Actuals!AC24)</f>
        <v>-23589.931</v>
      </c>
      <c r="AC206" s="13" t="n">
        <f aca="false">IF(ISBLANK(Actuals!AD24),-Helpers!AA4*Assumptions!$B$22,Actuals!AD24)</f>
        <v>-24061.72962</v>
      </c>
      <c r="AD206" s="13" t="n">
        <f aca="false">IF(ISBLANK(Actuals!AE24),-Helpers!AB4*Assumptions!$B$22,Actuals!AE24)</f>
        <v>-22826.25462</v>
      </c>
      <c r="AE206" s="13" t="n">
        <f aca="false">IF(ISBLANK(Actuals!AF24),-Helpers!AC4*Assumptions!$B$22,Actuals!AF24)</f>
        <v>-22826.25462</v>
      </c>
      <c r="AF206" s="13" t="n">
        <f aca="false">IF(ISBLANK(Actuals!AG24),-Helpers!AD4*Assumptions!$B$22,Actuals!AG24)</f>
        <v>-22826.25462</v>
      </c>
      <c r="AG206" s="13" t="n">
        <f aca="false">IF(ISBLANK(Actuals!AH24),-Helpers!AE4*Assumptions!$B$22,Actuals!AH24)</f>
        <v>-22826.25462</v>
      </c>
      <c r="AH206" s="13" t="n">
        <f aca="false">IF(ISBLANK(Actuals!AI24),-Helpers!AF4*Assumptions!$B$22,Actuals!AI24)</f>
        <v>-22132.65462</v>
      </c>
      <c r="AI206" s="13" t="n">
        <f aca="false">IF(ISBLANK(Actuals!AJ24),-Helpers!AG4*Assumptions!$B$22,Actuals!AJ24)</f>
        <v>-22132.65462</v>
      </c>
      <c r="AJ206" s="13" t="n">
        <f aca="false">IF(ISBLANK(Actuals!AK24),-Helpers!AH4*Assumptions!$B$22,Actuals!AK24)</f>
        <v>-22132.65462</v>
      </c>
      <c r="AK206" s="13" t="n">
        <f aca="false">IF(ISBLANK(Actuals!AL24),-Helpers!AI4*Assumptions!$B$22,Actuals!AL24)</f>
        <v>-22132.65462</v>
      </c>
      <c r="AL206" s="13" t="n">
        <f aca="false">IF(ISBLANK(Actuals!AM24),-Helpers!AJ4*Assumptions!$B$22,Actuals!AM24)</f>
        <v>-21785.85462</v>
      </c>
      <c r="AM206" s="13" t="n">
        <f aca="false">IF(ISBLANK(Actuals!AN24),-Helpers!AK4*Assumptions!$B$22,Actuals!AN24)</f>
        <v>-19054.80462</v>
      </c>
      <c r="AN206" s="13" t="n">
        <f aca="false">IF(ISBLANK(Actuals!AO24),-Helpers!AL4*Assumptions!$B$22,Actuals!AO24)</f>
        <v>-17819.32962</v>
      </c>
      <c r="AO206" s="13" t="n">
        <f aca="false">IF(ISBLANK(Actuals!AP24),-Helpers!AM4*Assumptions!$B$22,Actuals!AP24)</f>
        <v>-18175.7162124</v>
      </c>
      <c r="AP206" s="13" t="n">
        <f aca="false">IF(ISBLANK(Actuals!AQ24),-Helpers!AN4*Assumptions!$B$22,Actuals!AQ24)</f>
        <v>-18175.7162124</v>
      </c>
      <c r="AQ206" s="13" t="n">
        <f aca="false">IF(ISBLANK(Actuals!AR24),-Helpers!AO4*Assumptions!$B$22,Actuals!AR24)</f>
        <v>-17048.1827124</v>
      </c>
      <c r="AR206" s="13" t="n">
        <f aca="false">IF(ISBLANK(Actuals!AS24),-Helpers!AP4*Assumptions!$B$22,Actuals!AS24)</f>
        <v>-17048.1827124</v>
      </c>
      <c r="AS206" s="13" t="n">
        <f aca="false">IF(ISBLANK(Actuals!AT24),-Helpers!AQ4*Assumptions!$B$22,Actuals!AT24)</f>
        <v>-16495.4702124</v>
      </c>
      <c r="AT206" s="13" t="n">
        <f aca="false">IF(ISBLANK(Actuals!AU24),-Helpers!AR4*Assumptions!$B$22,Actuals!AU24)</f>
        <v>-16495.4702124</v>
      </c>
      <c r="AU206" s="13" t="n">
        <f aca="false">IF(ISBLANK(Actuals!AV24),-Helpers!AS4*Assumptions!$B$22,Actuals!AV24)</f>
        <v>-16495.4702124</v>
      </c>
      <c r="AV206" s="13" t="n">
        <f aca="false">IF(ISBLANK(Actuals!AW24),-Helpers!AT4*Assumptions!$B$22,Actuals!AW24)</f>
        <v>-16495.4702124</v>
      </c>
      <c r="AW206" s="13" t="n">
        <f aca="false">IF(ISBLANK(Actuals!AX24),-Helpers!AU4*Assumptions!$B$22,Actuals!AX24)</f>
        <v>-16495.4702124</v>
      </c>
      <c r="AX206" s="13" t="n">
        <f aca="false">IF(ISBLANK(Actuals!AY24),-Helpers!AV4*Assumptions!$B$22,Actuals!AY24)</f>
        <v>-16495.4702124</v>
      </c>
      <c r="AY206" s="13" t="n">
        <f aca="false">IF(ISBLANK(Actuals!AZ24),-Helpers!AW4*Assumptions!$B$22,Actuals!AZ24)</f>
        <v>-16495.4702124</v>
      </c>
      <c r="AZ206" s="13" t="n">
        <f aca="false">IF(ISBLANK(Actuals!BA24),-Helpers!AX4*Assumptions!$B$22,Actuals!BA24)</f>
        <v>-16495.4702124</v>
      </c>
      <c r="BA206" s="13" t="n">
        <f aca="false">IF(ISBLANK(Actuals!BB24),-Helpers!AY4*Assumptions!$B$22,Actuals!BB24)</f>
        <v>-16825.379616648</v>
      </c>
      <c r="BB206" s="13" t="n">
        <f aca="false">IF(ISBLANK(Actuals!BC24),-Helpers!AZ4*Assumptions!$B$22,Actuals!BC24)</f>
        <v>-16825.379616648</v>
      </c>
      <c r="BC206" s="13" t="n">
        <f aca="false">IF(ISBLANK(Actuals!BD24),-Helpers!BA4*Assumptions!$B$22,Actuals!BD24)</f>
        <v>-16825.379616648</v>
      </c>
      <c r="BD206" s="13" t="n">
        <f aca="false">IF(ISBLANK(Actuals!BE24),-Helpers!BB4*Assumptions!$B$22,Actuals!BE24)</f>
        <v>-16825.379616648</v>
      </c>
      <c r="BE206" s="13" t="n">
        <f aca="false">IF(ISBLANK(Actuals!BF24),-Helpers!BC4*Assumptions!$B$22,Actuals!BF24)</f>
        <v>-16825.379616648</v>
      </c>
      <c r="BF206" s="13" t="n">
        <f aca="false">IF(ISBLANK(Actuals!BG24),-Helpers!BD4*Assumptions!$B$22,Actuals!BG24)</f>
        <v>-16825.379616648</v>
      </c>
      <c r="BG206" s="13" t="n">
        <f aca="false">IF(ISBLANK(Actuals!BH24),-Helpers!BE4*Assumptions!$B$22,Actuals!BH24)</f>
        <v>-16825.379616648</v>
      </c>
      <c r="BH206" s="13" t="n">
        <f aca="false">IF(ISBLANK(Actuals!BI24),-Helpers!BF4*Assumptions!$B$22,Actuals!BI24)</f>
        <v>-16825.379616648</v>
      </c>
      <c r="BI206" s="13" t="n">
        <f aca="false">IF(ISBLANK(Actuals!BJ24),-Helpers!BG4*Assumptions!$B$22,Actuals!BJ24)</f>
        <v>-16825.379616648</v>
      </c>
      <c r="BJ206" s="13" t="n">
        <f aca="false">IF(ISBLANK(Actuals!BK24),-Helpers!BH4*Assumptions!$B$22,Actuals!BK24)</f>
        <v>-16825.379616648</v>
      </c>
      <c r="BK206" s="13" t="n">
        <f aca="false">IF(ISBLANK(Actuals!BL24),-Helpers!BI4*Assumptions!$B$22,Actuals!BL24)</f>
        <v>-16825.379616648</v>
      </c>
      <c r="BL206" s="13" t="n">
        <f aca="false">IF(ISBLANK(Actuals!BM24),-Helpers!BJ4*Assumptions!$B$22,Actuals!BM24)</f>
        <v>-16825.379616648</v>
      </c>
      <c r="BM206" s="13" t="n">
        <f aca="false">IF(ISBLANK(Actuals!BN24),-Helpers!BK4*Assumptions!$B$22,Actuals!BN24)</f>
        <v>-17161.887208981</v>
      </c>
      <c r="BN206" s="13" t="n">
        <f aca="false">IF(ISBLANK(Actuals!BO24),-Helpers!BL4*Assumptions!$B$22,Actuals!BO24)</f>
        <v>-17161.887208981</v>
      </c>
      <c r="BO206" s="13" t="n">
        <f aca="false">IF(ISBLANK(Actuals!BP24),-Helpers!BM4*Assumptions!$B$22,Actuals!BP24)</f>
        <v>-17161.887208981</v>
      </c>
      <c r="BP206" s="13" t="n">
        <f aca="false">IF(ISBLANK(Actuals!BQ24),-Helpers!BN4*Assumptions!$B$22,Actuals!BQ24)</f>
        <v>-17161.887208981</v>
      </c>
      <c r="BQ206" s="13" t="n">
        <f aca="false">IF(ISBLANK(Actuals!BR24),-Helpers!BO4*Assumptions!$B$22,Actuals!BR24)</f>
        <v>-17161.887208981</v>
      </c>
      <c r="BR206" s="13" t="n">
        <f aca="false">IF(ISBLANK(Actuals!BS24),-Helpers!BP4*Assumptions!$B$22,Actuals!BS24)</f>
        <v>-17161.887208981</v>
      </c>
      <c r="BS206" s="13" t="n">
        <f aca="false">IF(ISBLANK(Actuals!BT24),-Helpers!BQ4*Assumptions!$B$22,Actuals!BT24)</f>
        <v>-17161.887208981</v>
      </c>
      <c r="BT206" s="13" t="n">
        <f aca="false">IF(ISBLANK(Actuals!BU24),-Helpers!BR4*Assumptions!$B$22,Actuals!BU24)</f>
        <v>-17161.887208981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-6750.95333333333</v>
      </c>
      <c r="N207" s="13" t="n">
        <f aca="false">IF(ISBLANK(Actuals!O25),-Helpers!L4*Assumptions!$B$23,Actuals!O25)</f>
        <v>-7175.95333333333</v>
      </c>
      <c r="O207" s="13" t="n">
        <f aca="false">IF(ISBLANK(Actuals!P25),-Helpers!M4*Assumptions!$B$23,Actuals!P25)</f>
        <v>-8084.28666666667</v>
      </c>
      <c r="P207" s="13" t="n">
        <f aca="false">IF(ISBLANK(Actuals!Q25),-Helpers!N4*Assumptions!$B$23,Actuals!Q25)</f>
        <v>-8084.28666666667</v>
      </c>
      <c r="Q207" s="13" t="n">
        <f aca="false">IF(ISBLANK(Actuals!R25),-Helpers!O4*Assumptions!$B$23,Actuals!R25)</f>
        <v>-8730.4724</v>
      </c>
      <c r="R207" s="13" t="n">
        <f aca="false">IF(ISBLANK(Actuals!S25),-Helpers!P4*Assumptions!$B$23,Actuals!S25)</f>
        <v>-9359.4724</v>
      </c>
      <c r="S207" s="13" t="n">
        <f aca="false">IF(ISBLANK(Actuals!T25),-Helpers!Q4*Assumptions!$B$23,Actuals!T25)</f>
        <v>-9571.9724</v>
      </c>
      <c r="T207" s="13" t="n">
        <f aca="false">IF(ISBLANK(Actuals!U25),-Helpers!R4*Assumptions!$B$23,Actuals!U25)</f>
        <v>-9784.4724</v>
      </c>
      <c r="U207" s="13" t="n">
        <f aca="false">IF(ISBLANK(Actuals!V25),-Helpers!S4*Assumptions!$B$23,Actuals!V25)</f>
        <v>-9784.4724</v>
      </c>
      <c r="V207" s="13" t="n">
        <f aca="false">IF(ISBLANK(Actuals!W25),-Helpers!T4*Assumptions!$B$23,Actuals!W25)</f>
        <v>-9784.4724</v>
      </c>
      <c r="W207" s="13" t="n">
        <f aca="false">IF(ISBLANK(Actuals!X25),-Helpers!U4*Assumptions!$B$23,Actuals!X25)</f>
        <v>-9784.4724</v>
      </c>
      <c r="X207" s="13" t="n">
        <f aca="false">IF(ISBLANK(Actuals!Y25),-Helpers!V4*Assumptions!$B$23,Actuals!Y25)</f>
        <v>-9784.4724</v>
      </c>
      <c r="Y207" s="13" t="n">
        <f aca="false">IF(ISBLANK(Actuals!Z25),-Helpers!W4*Assumptions!$B$23,Actuals!Z25)</f>
        <v>-9784.4724</v>
      </c>
      <c r="Z207" s="13" t="n">
        <f aca="false">IF(ISBLANK(Actuals!AA25),-Helpers!X4*Assumptions!$B$23,Actuals!AA25)</f>
        <v>-9571.9724</v>
      </c>
      <c r="AA207" s="13" t="n">
        <f aca="false">IF(ISBLANK(Actuals!AB25),-Helpers!Y4*Assumptions!$B$23,Actuals!AB25)</f>
        <v>-9571.9724</v>
      </c>
      <c r="AB207" s="13" t="n">
        <f aca="false">IF(ISBLANK(Actuals!AC25),-Helpers!Z4*Assumptions!$B$23,Actuals!AC25)</f>
        <v>-9435.9724</v>
      </c>
      <c r="AC207" s="13" t="n">
        <f aca="false">IF(ISBLANK(Actuals!AD25),-Helpers!AA4*Assumptions!$B$23,Actuals!AD25)</f>
        <v>-9624.691848</v>
      </c>
      <c r="AD207" s="13" t="n">
        <f aca="false">IF(ISBLANK(Actuals!AE25),-Helpers!AB4*Assumptions!$B$23,Actuals!AE25)</f>
        <v>-9130.501848</v>
      </c>
      <c r="AE207" s="13" t="n">
        <f aca="false">IF(ISBLANK(Actuals!AF25),-Helpers!AC4*Assumptions!$B$23,Actuals!AF25)</f>
        <v>-9130.501848</v>
      </c>
      <c r="AF207" s="13" t="n">
        <f aca="false">IF(ISBLANK(Actuals!AG25),-Helpers!AD4*Assumptions!$B$23,Actuals!AG25)</f>
        <v>-9130.501848</v>
      </c>
      <c r="AG207" s="13" t="n">
        <f aca="false">IF(ISBLANK(Actuals!AH25),-Helpers!AE4*Assumptions!$B$23,Actuals!AH25)</f>
        <v>-9130.501848</v>
      </c>
      <c r="AH207" s="13" t="n">
        <f aca="false">IF(ISBLANK(Actuals!AI25),-Helpers!AF4*Assumptions!$B$23,Actuals!AI25)</f>
        <v>-8853.061848</v>
      </c>
      <c r="AI207" s="13" t="n">
        <f aca="false">IF(ISBLANK(Actuals!AJ25),-Helpers!AG4*Assumptions!$B$23,Actuals!AJ25)</f>
        <v>-8853.061848</v>
      </c>
      <c r="AJ207" s="13" t="n">
        <f aca="false">IF(ISBLANK(Actuals!AK25),-Helpers!AH4*Assumptions!$B$23,Actuals!AK25)</f>
        <v>-8853.061848</v>
      </c>
      <c r="AK207" s="13" t="n">
        <f aca="false">IF(ISBLANK(Actuals!AL25),-Helpers!AI4*Assumptions!$B$23,Actuals!AL25)</f>
        <v>-8853.061848</v>
      </c>
      <c r="AL207" s="13" t="n">
        <f aca="false">IF(ISBLANK(Actuals!AM25),-Helpers!AJ4*Assumptions!$B$23,Actuals!AM25)</f>
        <v>-8714.341848</v>
      </c>
      <c r="AM207" s="13" t="n">
        <f aca="false">IF(ISBLANK(Actuals!AN25),-Helpers!AK4*Assumptions!$B$23,Actuals!AN25)</f>
        <v>-7621.921848</v>
      </c>
      <c r="AN207" s="13" t="n">
        <f aca="false">IF(ISBLANK(Actuals!AO25),-Helpers!AL4*Assumptions!$B$23,Actuals!AO25)</f>
        <v>-7127.731848</v>
      </c>
      <c r="AO207" s="13" t="n">
        <f aca="false">IF(ISBLANK(Actuals!AP25),-Helpers!AM4*Assumptions!$B$23,Actuals!AP25)</f>
        <v>-7270.28648496</v>
      </c>
      <c r="AP207" s="13" t="n">
        <f aca="false">IF(ISBLANK(Actuals!AQ25),-Helpers!AN4*Assumptions!$B$23,Actuals!AQ25)</f>
        <v>-7270.28648496</v>
      </c>
      <c r="AQ207" s="13" t="n">
        <f aca="false">IF(ISBLANK(Actuals!AR25),-Helpers!AO4*Assumptions!$B$23,Actuals!AR25)</f>
        <v>-6819.27308496</v>
      </c>
      <c r="AR207" s="13" t="n">
        <f aca="false">IF(ISBLANK(Actuals!AS25),-Helpers!AP4*Assumptions!$B$23,Actuals!AS25)</f>
        <v>-6819.27308496</v>
      </c>
      <c r="AS207" s="13" t="n">
        <f aca="false">IF(ISBLANK(Actuals!AT25),-Helpers!AQ4*Assumptions!$B$23,Actuals!AT25)</f>
        <v>-6598.18808496</v>
      </c>
      <c r="AT207" s="13" t="n">
        <f aca="false">IF(ISBLANK(Actuals!AU25),-Helpers!AR4*Assumptions!$B$23,Actuals!AU25)</f>
        <v>-6598.18808496</v>
      </c>
      <c r="AU207" s="13" t="n">
        <f aca="false">IF(ISBLANK(Actuals!AV25),-Helpers!AS4*Assumptions!$B$23,Actuals!AV25)</f>
        <v>-6598.18808496</v>
      </c>
      <c r="AV207" s="13" t="n">
        <f aca="false">IF(ISBLANK(Actuals!AW25),-Helpers!AT4*Assumptions!$B$23,Actuals!AW25)</f>
        <v>-6598.18808496</v>
      </c>
      <c r="AW207" s="13" t="n">
        <f aca="false">IF(ISBLANK(Actuals!AX25),-Helpers!AU4*Assumptions!$B$23,Actuals!AX25)</f>
        <v>-6598.18808496</v>
      </c>
      <c r="AX207" s="13" t="n">
        <f aca="false">IF(ISBLANK(Actuals!AY25),-Helpers!AV4*Assumptions!$B$23,Actuals!AY25)</f>
        <v>-6598.18808496</v>
      </c>
      <c r="AY207" s="13" t="n">
        <f aca="false">IF(ISBLANK(Actuals!AZ25),-Helpers!AW4*Assumptions!$B$23,Actuals!AZ25)</f>
        <v>-6598.18808496</v>
      </c>
      <c r="AZ207" s="13" t="n">
        <f aca="false">IF(ISBLANK(Actuals!BA25),-Helpers!AX4*Assumptions!$B$23,Actuals!BA25)</f>
        <v>-6598.18808496</v>
      </c>
      <c r="BA207" s="13" t="n">
        <f aca="false">IF(ISBLANK(Actuals!BB25),-Helpers!AY4*Assumptions!$B$23,Actuals!BB25)</f>
        <v>-6730.1518466592</v>
      </c>
      <c r="BB207" s="13" t="n">
        <f aca="false">IF(ISBLANK(Actuals!BC25),-Helpers!AZ4*Assumptions!$B$23,Actuals!BC25)</f>
        <v>-6730.1518466592</v>
      </c>
      <c r="BC207" s="13" t="n">
        <f aca="false">IF(ISBLANK(Actuals!BD25),-Helpers!BA4*Assumptions!$B$23,Actuals!BD25)</f>
        <v>-6730.1518466592</v>
      </c>
      <c r="BD207" s="13" t="n">
        <f aca="false">IF(ISBLANK(Actuals!BE25),-Helpers!BB4*Assumptions!$B$23,Actuals!BE25)</f>
        <v>-6730.1518466592</v>
      </c>
      <c r="BE207" s="13" t="n">
        <f aca="false">IF(ISBLANK(Actuals!BF25),-Helpers!BC4*Assumptions!$B$23,Actuals!BF25)</f>
        <v>-6730.1518466592</v>
      </c>
      <c r="BF207" s="13" t="n">
        <f aca="false">IF(ISBLANK(Actuals!BG25),-Helpers!BD4*Assumptions!$B$23,Actuals!BG25)</f>
        <v>-6730.1518466592</v>
      </c>
      <c r="BG207" s="13" t="n">
        <f aca="false">IF(ISBLANK(Actuals!BH25),-Helpers!BE4*Assumptions!$B$23,Actuals!BH25)</f>
        <v>-6730.1518466592</v>
      </c>
      <c r="BH207" s="13" t="n">
        <f aca="false">IF(ISBLANK(Actuals!BI25),-Helpers!BF4*Assumptions!$B$23,Actuals!BI25)</f>
        <v>-6730.1518466592</v>
      </c>
      <c r="BI207" s="13" t="n">
        <f aca="false">IF(ISBLANK(Actuals!BJ25),-Helpers!BG4*Assumptions!$B$23,Actuals!BJ25)</f>
        <v>-6730.1518466592</v>
      </c>
      <c r="BJ207" s="13" t="n">
        <f aca="false">IF(ISBLANK(Actuals!BK25),-Helpers!BH4*Assumptions!$B$23,Actuals!BK25)</f>
        <v>-6730.1518466592</v>
      </c>
      <c r="BK207" s="13" t="n">
        <f aca="false">IF(ISBLANK(Actuals!BL25),-Helpers!BI4*Assumptions!$B$23,Actuals!BL25)</f>
        <v>-6730.1518466592</v>
      </c>
      <c r="BL207" s="13" t="n">
        <f aca="false">IF(ISBLANK(Actuals!BM25),-Helpers!BJ4*Assumptions!$B$23,Actuals!BM25)</f>
        <v>-6730.1518466592</v>
      </c>
      <c r="BM207" s="13" t="n">
        <f aca="false">IF(ISBLANK(Actuals!BN25),-Helpers!BK4*Assumptions!$B$23,Actuals!BN25)</f>
        <v>-6864.75488359238</v>
      </c>
      <c r="BN207" s="13" t="n">
        <f aca="false">IF(ISBLANK(Actuals!BO25),-Helpers!BL4*Assumptions!$B$23,Actuals!BO25)</f>
        <v>-6864.75488359238</v>
      </c>
      <c r="BO207" s="13" t="n">
        <f aca="false">IF(ISBLANK(Actuals!BP25),-Helpers!BM4*Assumptions!$B$23,Actuals!BP25)</f>
        <v>-6864.75488359238</v>
      </c>
      <c r="BP207" s="13" t="n">
        <f aca="false">IF(ISBLANK(Actuals!BQ25),-Helpers!BN4*Assumptions!$B$23,Actuals!BQ25)</f>
        <v>-6864.75488359238</v>
      </c>
      <c r="BQ207" s="13" t="n">
        <f aca="false">IF(ISBLANK(Actuals!BR25),-Helpers!BO4*Assumptions!$B$23,Actuals!BR25)</f>
        <v>-6864.75488359238</v>
      </c>
      <c r="BR207" s="13" t="n">
        <f aca="false">IF(ISBLANK(Actuals!BS25),-Helpers!BP4*Assumptions!$B$23,Actuals!BS25)</f>
        <v>-6864.75488359238</v>
      </c>
      <c r="BS207" s="13" t="n">
        <f aca="false">IF(ISBLANK(Actuals!BT25),-Helpers!BQ4*Assumptions!$B$23,Actuals!BT25)</f>
        <v>-6864.75488359238</v>
      </c>
      <c r="BT207" s="13" t="n">
        <f aca="false">IF(ISBLANK(Actuals!BU25),-Helpers!BR4*Assumptions!$B$23,Actuals!BU25)</f>
        <v>-6864.75488359238</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-1687.73833333333</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-2182.6181</v>
      </c>
      <c r="R208" s="13" t="n">
        <f aca="false">IF(ISBLANK(Actuals!S26),-Helpers!P4*Assumptions!$B$21,Actuals!S26)</f>
        <v>-2339.8681</v>
      </c>
      <c r="S208" s="13" t="n">
        <f aca="false">IF(ISBLANK(Actuals!T26),-Helpers!Q4*Assumptions!$B$21,Actuals!T26)</f>
        <v>-2392.9931</v>
      </c>
      <c r="T208" s="13" t="n">
        <f aca="false">IF(ISBLANK(Actuals!U26),-Helpers!R4*Assumptions!$B$21,Actuals!U26)</f>
        <v>-2446.1181</v>
      </c>
      <c r="U208" s="13" t="n">
        <f aca="false">IF(ISBLANK(Actuals!V26),-Helpers!S4*Assumptions!$B$21,Actuals!V26)</f>
        <v>-2446.1181</v>
      </c>
      <c r="V208" s="13" t="n">
        <f aca="false">IF(ISBLANK(Actuals!W26),-Helpers!T4*Assumptions!$B$21,Actuals!W26)</f>
        <v>-2446.1181</v>
      </c>
      <c r="W208" s="13" t="n">
        <f aca="false">IF(ISBLANK(Actuals!X26),-Helpers!U4*Assumptions!$B$21,Actuals!X26)</f>
        <v>-2446.1181</v>
      </c>
      <c r="X208" s="13" t="n">
        <f aca="false">IF(ISBLANK(Actuals!Y26),-Helpers!V4*Assumptions!$B$21,Actuals!Y26)</f>
        <v>-2446.1181</v>
      </c>
      <c r="Y208" s="13" t="n">
        <f aca="false">IF(ISBLANK(Actuals!Z26),-Helpers!W4*Assumptions!$B$21,Actuals!Z26)</f>
        <v>-2446.1181</v>
      </c>
      <c r="Z208" s="13" t="n">
        <f aca="false">IF(ISBLANK(Actuals!AA26),-Helpers!X4*Assumptions!$B$21,Actuals!AA26)</f>
        <v>-2392.9931</v>
      </c>
      <c r="AA208" s="13" t="n">
        <f aca="false">IF(ISBLANK(Actuals!AB26),-Helpers!Y4*Assumptions!$B$21,Actuals!AB26)</f>
        <v>-2392.9931</v>
      </c>
      <c r="AB208" s="13" t="n">
        <f aca="false">IF(ISBLANK(Actuals!AC26),-Helpers!Z4*Assumptions!$B$21,Actuals!AC26)</f>
        <v>-2358.9931</v>
      </c>
      <c r="AC208" s="13" t="n">
        <f aca="false">IF(ISBLANK(Actuals!AD26),-Helpers!AA4*Assumptions!$B$21,Actuals!AD26)</f>
        <v>-2406.172962</v>
      </c>
      <c r="AD208" s="13" t="n">
        <f aca="false">IF(ISBLANK(Actuals!AE26),-Helpers!AB4*Assumptions!$B$21,Actuals!AE26)</f>
        <v>-2282.625462</v>
      </c>
      <c r="AE208" s="13" t="n">
        <f aca="false">IF(ISBLANK(Actuals!AF26),-Helpers!AC4*Assumptions!$B$21,Actuals!AF26)</f>
        <v>-2282.625462</v>
      </c>
      <c r="AF208" s="13" t="n">
        <f aca="false">IF(ISBLANK(Actuals!AG26),-Helpers!AD4*Assumptions!$B$21,Actuals!AG26)</f>
        <v>-2282.625462</v>
      </c>
      <c r="AG208" s="13" t="n">
        <f aca="false">IF(ISBLANK(Actuals!AH26),-Helpers!AE4*Assumptions!$B$21,Actuals!AH26)</f>
        <v>-2282.625462</v>
      </c>
      <c r="AH208" s="13" t="n">
        <f aca="false">IF(ISBLANK(Actuals!AI26),-Helpers!AF4*Assumptions!$B$21,Actuals!AI26)</f>
        <v>-2213.265462</v>
      </c>
      <c r="AI208" s="13" t="n">
        <f aca="false">IF(ISBLANK(Actuals!AJ26),-Helpers!AG4*Assumptions!$B$21,Actuals!AJ26)</f>
        <v>-2213.265462</v>
      </c>
      <c r="AJ208" s="13" t="n">
        <f aca="false">IF(ISBLANK(Actuals!AK26),-Helpers!AH4*Assumptions!$B$21,Actuals!AK26)</f>
        <v>-2213.265462</v>
      </c>
      <c r="AK208" s="13" t="n">
        <f aca="false">IF(ISBLANK(Actuals!AL26),-Helpers!AI4*Assumptions!$B$21,Actuals!AL26)</f>
        <v>-2213.265462</v>
      </c>
      <c r="AL208" s="13" t="n">
        <f aca="false">IF(ISBLANK(Actuals!AM26),-Helpers!AJ4*Assumptions!$B$21,Actuals!AM26)</f>
        <v>-2178.585462</v>
      </c>
      <c r="AM208" s="13" t="n">
        <f aca="false">IF(ISBLANK(Actuals!AN26),-Helpers!AK4*Assumptions!$B$21,Actuals!AN26)</f>
        <v>-1905.480462</v>
      </c>
      <c r="AN208" s="13" t="n">
        <f aca="false">IF(ISBLANK(Actuals!AO26),-Helpers!AL4*Assumptions!$B$21,Actuals!AO26)</f>
        <v>-1781.932962</v>
      </c>
      <c r="AO208" s="13" t="n">
        <f aca="false">IF(ISBLANK(Actuals!AP26),-Helpers!AM4*Assumptions!$B$21,Actuals!AP26)</f>
        <v>-1817.57162124</v>
      </c>
      <c r="AP208" s="13" t="n">
        <f aca="false">IF(ISBLANK(Actuals!AQ26),-Helpers!AN4*Assumptions!$B$21,Actuals!AQ26)</f>
        <v>-1817.57162124</v>
      </c>
      <c r="AQ208" s="13" t="n">
        <f aca="false">IF(ISBLANK(Actuals!AR26),-Helpers!AO4*Assumptions!$B$21,Actuals!AR26)</f>
        <v>-1704.81827124</v>
      </c>
      <c r="AR208" s="13" t="n">
        <f aca="false">IF(ISBLANK(Actuals!AS26),-Helpers!AP4*Assumptions!$B$21,Actuals!AS26)</f>
        <v>-1704.81827124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-42750</v>
      </c>
      <c r="N223" s="13" t="n">
        <f aca="false">IF(ISBLANK(Actuals!O41),-(SUMPRODUCT((Personnel!$O$9:$O$100="GC")*(Personnel!$G$9:$G$100="Yes")*(Personnel!$E$9:$E$100&gt;=2)*(Personnel!$Q$9:$Q$100&lt;&gt;"No")*(Personnel!$E$9:$E$100=10)*Personnel!$C$9:$C$100)*Staffing!$B$21+Staffing!N84),Actuals!O41)</f>
        <v>-57000</v>
      </c>
      <c r="O223" s="13" t="n">
        <f aca="false">IF(ISBLANK(Actuals!P41),-(SUMPRODUCT((Personnel!$O$9:$O$100="GC")*(Personnel!$G$9:$G$100="Yes")*(Personnel!$E$9:$E$100&gt;=2)*(Personnel!$Q$9:$Q$100&lt;&gt;"No")*(Personnel!$E$9:$E$100=11)*Personnel!$C$9:$C$100)*Staffing!$B$21+Staffing!O84),Actuals!P41)</f>
        <v>-81750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-42750</v>
      </c>
      <c r="R223" s="13" t="n">
        <f aca="false">IF(ISBLANK(Actuals!S41),-(SUMPRODUCT((Personnel!$O$9:$O$100="GC")*(Personnel!$G$9:$G$100="Yes")*(Personnel!$E$9:$E$100&gt;=2)*(Personnel!$Q$9:$Q$100&lt;&gt;"No")*(Personnel!$E$9:$E$100=14)*Personnel!$C$9:$C$100)*Staffing!$B$21+Staffing!R84),Actuals!S41)</f>
        <v>-55500</v>
      </c>
      <c r="S223" s="13" t="n">
        <f aca="false">IF(ISBLANK(Actuals!T41),-(SUMPRODUCT((Personnel!$O$9:$O$100="GC")*(Personnel!$G$9:$G$100="Yes")*(Personnel!$E$9:$E$100&gt;=2)*(Personnel!$Q$9:$Q$100&lt;&gt;"No")*(Personnel!$E$9:$E$100=15)*Personnel!$C$9:$C$100)*Staffing!$B$21+Staffing!S84),Actuals!T41)</f>
        <v>-18750</v>
      </c>
      <c r="T223" s="13" t="n">
        <f aca="false">IF(ISBLANK(Actuals!U41),-(SUMPRODUCT((Personnel!$O$9:$O$100="GC")*(Personnel!$G$9:$G$100="Yes")*(Personnel!$E$9:$E$100&gt;=2)*(Personnel!$Q$9:$Q$100&lt;&gt;"No")*(Personnel!$E$9:$E$100=16)*Personnel!$C$9:$C$100)*Staffing!$B$21+Staffing!T84),Actuals!U41)</f>
        <v>-18750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-9615.38461538462</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-6153.84615384615</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-21923.0769230769</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-12307.6923076923</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-6153.84615384615</v>
      </c>
      <c r="AM223" s="13" t="n">
        <f aca="false">IF(ISBLANK(Actuals!AN41),-(SUMPRODUCT((Personnel!$O$9:$O$100="GC")*(Personnel!$G$9:$G$100="Yes")*(Personnel!$E$9:$E$100&gt;=2)*(Personnel!$Q$9:$Q$100&lt;&gt;"No")*(Personnel!$E$9:$E$100=35)*Personnel!$C$9:$C$100)*Staffing!$B$21+Staffing!AM84),Actuals!AN41)</f>
        <v>-48461.5384615385</v>
      </c>
      <c r="AN223" s="13" t="n">
        <f aca="false">IF(ISBLANK(Actuals!AO41),-(SUMPRODUCT((Personnel!$O$9:$O$100="GC")*(Personnel!$G$9:$G$100="Yes")*(Personnel!$E$9:$E$100&gt;=2)*(Personnel!$Q$9:$Q$100&lt;&gt;"No")*(Personnel!$E$9:$E$100=36)*Personnel!$C$9:$C$100)*Staffing!$B$21+Staffing!AN84),Actuals!AO41)</f>
        <v>-21923.0769230769</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-19615.3846153846</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-9615.38461538462</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-37973.771875</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-38290.0375</v>
      </c>
      <c r="T234" s="21" t="n">
        <f aca="false">IF(ISBLANK(Actuals!U52),-MAX(0,'BD Commission Detail'!U53),Actuals!U52)</f>
        <v>-28293.4625</v>
      </c>
      <c r="U234" s="21" t="n">
        <f aca="false">IF(ISBLANK(Actuals!V52),-MAX(0,'BD Commission Detail'!V53),Actuals!V52)</f>
        <v>-46106.9225</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-62565.82645</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-464309.685</v>
      </c>
      <c r="N236" s="30" t="n">
        <f aca="false">SUM(N202:N235)+Actuals!O54</f>
        <v>-492474.268333333</v>
      </c>
      <c r="O236" s="30" t="n">
        <f aca="false">SUM(O202:O235)+Actuals!P54</f>
        <v>-607200.123541667</v>
      </c>
      <c r="P236" s="30" t="n">
        <f aca="false">SUM(P202:P235)+Actuals!Q54</f>
        <v>-487476.351666667</v>
      </c>
      <c r="Q236" s="30" t="n">
        <f aca="false">SUM(Q202:Q235)+Actuals!R54</f>
        <v>-567713.5037</v>
      </c>
      <c r="R236" s="30" t="n">
        <f aca="false">SUM(R202:R235)+Actuals!S54</f>
        <v>-616473.7537</v>
      </c>
      <c r="S236" s="30" t="n">
        <f aca="false">SUM(S202:S235)+Actuals!T54</f>
        <v>-630179.4162</v>
      </c>
      <c r="T236" s="30" t="n">
        <f aca="false">SUM(T202:T235)+Actuals!U54</f>
        <v>-632348.4662</v>
      </c>
      <c r="U236" s="30" t="n">
        <f aca="false">SUM(U202:U235)+Actuals!V54</f>
        <v>-631411.9262</v>
      </c>
      <c r="V236" s="30" t="n">
        <f aca="false">SUM(V202:V235)+Actuals!W54</f>
        <v>-585305.0037</v>
      </c>
      <c r="W236" s="30" t="n">
        <f aca="false">SUM(W202:W235)+Actuals!X54</f>
        <v>-585305.0037</v>
      </c>
      <c r="X236" s="30" t="n">
        <f aca="false">SUM(X202:X235)+Actuals!Y54</f>
        <v>-585305.0037</v>
      </c>
      <c r="Y236" s="30" t="n">
        <f aca="false">SUM(Y202:Y235)+Actuals!Z54</f>
        <v>-647870.83015</v>
      </c>
      <c r="Z236" s="30" t="n">
        <f aca="false">SUM(Z202:Z235)+Actuals!AA54</f>
        <v>-582754.763315385</v>
      </c>
      <c r="AA236" s="30" t="n">
        <f aca="false">SUM(AA202:AA235)+Actuals!AB54</f>
        <v>-573139.3787</v>
      </c>
      <c r="AB236" s="30" t="n">
        <f aca="false">SUM(AB202:AB235)+Actuals!AC54</f>
        <v>-571507.224853846</v>
      </c>
      <c r="AC236" s="30" t="n">
        <f aca="false">SUM(AC202:AC235)+Actuals!AD54</f>
        <v>-576660.446274</v>
      </c>
      <c r="AD236" s="30" t="n">
        <f aca="false">SUM(AD202:AD235)+Actuals!AE54</f>
        <v>-570291.145697077</v>
      </c>
      <c r="AE236" s="30" t="n">
        <f aca="false">SUM(AE202:AE235)+Actuals!AF54</f>
        <v>-548368.068774</v>
      </c>
      <c r="AF236" s="30" t="n">
        <f aca="false">SUM(AF202:AF235)+Actuals!AG54</f>
        <v>-548368.068774</v>
      </c>
      <c r="AG236" s="30" t="n">
        <f aca="false">SUM(AG202:AG235)+Actuals!AH54</f>
        <v>-548368.068774</v>
      </c>
      <c r="AH236" s="30" t="n">
        <f aca="false">SUM(AH202:AH235)+Actuals!AI54</f>
        <v>-544792.321081692</v>
      </c>
      <c r="AI236" s="30" t="n">
        <f aca="false">SUM(AI202:AI235)+Actuals!AJ54</f>
        <v>-532484.628774</v>
      </c>
      <c r="AJ236" s="30" t="n">
        <f aca="false">SUM(AJ202:AJ235)+Actuals!AK54</f>
        <v>-532484.628774</v>
      </c>
      <c r="AK236" s="30" t="n">
        <f aca="false">SUM(AK202:AK235)+Actuals!AL54</f>
        <v>-532484.628774</v>
      </c>
      <c r="AL236" s="30" t="n">
        <f aca="false">SUM(AL202:AL235)+Actuals!AM54</f>
        <v>-530696.754927846</v>
      </c>
      <c r="AM236" s="30" t="n">
        <f aca="false">SUM(AM202:AM235)+Actuals!AN54</f>
        <v>-510463.402235539</v>
      </c>
      <c r="AN236" s="30" t="n">
        <f aca="false">SUM(AN202:AN235)+Actuals!AO54</f>
        <v>-455632.563197077</v>
      </c>
      <c r="AO236" s="30" t="n">
        <f aca="false">SUM(AO202:AO235)+Actuals!AP54</f>
        <v>-442383.67599948</v>
      </c>
      <c r="AP236" s="30" t="n">
        <f aca="false">SUM(AP202:AP235)+Actuals!AQ54</f>
        <v>-442383.67599948</v>
      </c>
      <c r="AQ236" s="30" t="n">
        <f aca="false">SUM(AQ202:AQ235)+Actuals!AR54</f>
        <v>-436178.543464865</v>
      </c>
      <c r="AR236" s="30" t="n">
        <f aca="false">SUM(AR202:AR235)+Actuals!AS54</f>
        <v>-416563.15884948</v>
      </c>
      <c r="AS236" s="30" t="n">
        <f aca="false">SUM(AS202:AS235)+Actuals!AT54</f>
        <v>-413521.427214865</v>
      </c>
      <c r="AT236" s="30" t="n">
        <f aca="false">SUM(AT202:AT235)+Actuals!AU54</f>
        <v>-403906.04259948</v>
      </c>
      <c r="AU236" s="30" t="n">
        <f aca="false">SUM(AU202:AU235)+Actuals!AV54</f>
        <v>-403906.04259948</v>
      </c>
      <c r="AV236" s="30" t="n">
        <f aca="false">SUM(AV202:AV235)+Actuals!AW54</f>
        <v>-403906.04259948</v>
      </c>
      <c r="AW236" s="30" t="n">
        <f aca="false">SUM(AW202:AW235)+Actuals!AX54</f>
        <v>-403906.04259948</v>
      </c>
      <c r="AX236" s="30" t="n">
        <f aca="false">SUM(AX202:AX235)+Actuals!AY54</f>
        <v>-403906.04259948</v>
      </c>
      <c r="AY236" s="30" t="n">
        <f aca="false">SUM(AY202:AY235)+Actuals!AZ54</f>
        <v>-403906.04259948</v>
      </c>
      <c r="AZ236" s="30" t="n">
        <f aca="false">SUM(AZ202:AZ235)+Actuals!BA54</f>
        <v>-403906.04259948</v>
      </c>
      <c r="BA236" s="30" t="n">
        <f aca="false">SUM(BA202:BA235)+Actuals!BB54</f>
        <v>-411984.16345147</v>
      </c>
      <c r="BB236" s="30" t="n">
        <f aca="false">SUM(BB202:BB235)+Actuals!BC54</f>
        <v>-411984.16345147</v>
      </c>
      <c r="BC236" s="30" t="n">
        <f aca="false">SUM(BC202:BC235)+Actuals!BD54</f>
        <v>-411984.16345147</v>
      </c>
      <c r="BD236" s="30" t="n">
        <f aca="false">SUM(BD202:BD235)+Actuals!BE54</f>
        <v>-411984.16345147</v>
      </c>
      <c r="BE236" s="30" t="n">
        <f aca="false">SUM(BE202:BE235)+Actuals!BF54</f>
        <v>-411984.16345147</v>
      </c>
      <c r="BF236" s="30" t="n">
        <f aca="false">SUM(BF202:BF235)+Actuals!BG54</f>
        <v>-411984.16345147</v>
      </c>
      <c r="BG236" s="30" t="n">
        <f aca="false">SUM(BG202:BG235)+Actuals!BH54</f>
        <v>-411984.16345147</v>
      </c>
      <c r="BH236" s="30" t="n">
        <f aca="false">SUM(BH202:BH235)+Actuals!BI54</f>
        <v>-411984.16345147</v>
      </c>
      <c r="BI236" s="30" t="n">
        <f aca="false">SUM(BI202:BI235)+Actuals!BJ54</f>
        <v>-411984.16345147</v>
      </c>
      <c r="BJ236" s="30" t="n">
        <f aca="false">SUM(BJ202:BJ235)+Actuals!BK54</f>
        <v>-411984.16345147</v>
      </c>
      <c r="BK236" s="30" t="n">
        <f aca="false">SUM(BK202:BK235)+Actuals!BL54</f>
        <v>-411984.16345147</v>
      </c>
      <c r="BL236" s="30" t="n">
        <f aca="false">SUM(BL202:BL235)+Actuals!BM54</f>
        <v>-411984.16345147</v>
      </c>
      <c r="BM236" s="30" t="n">
        <f aca="false">SUM(BM202:BM235)+Actuals!BN54</f>
        <v>-420223.846720499</v>
      </c>
      <c r="BN236" s="30" t="n">
        <f aca="false">SUM(BN202:BN235)+Actuals!BO54</f>
        <v>-420223.846720499</v>
      </c>
      <c r="BO236" s="30" t="n">
        <f aca="false">SUM(BO202:BO235)+Actuals!BP54</f>
        <v>-420223.846720499</v>
      </c>
      <c r="BP236" s="30" t="n">
        <f aca="false">SUM(BP202:BP235)+Actuals!BQ54</f>
        <v>-420223.846720499</v>
      </c>
      <c r="BQ236" s="30" t="n">
        <f aca="false">SUM(BQ202:BQ235)+Actuals!BR54</f>
        <v>-420223.846720499</v>
      </c>
      <c r="BR236" s="30" t="n">
        <f aca="false">SUM(BR202:BR235)+Actuals!BS54</f>
        <v>-420223.846720499</v>
      </c>
      <c r="BS236" s="30" t="n">
        <f aca="false">SUM(BS202:BS235)+Actuals!BT54</f>
        <v>-420223.846720499</v>
      </c>
      <c r="BT236" s="30" t="n">
        <f aca="false">SUM(BT202:BT235)+Actuals!BU54</f>
        <v>-420223.846720499</v>
      </c>
      <c r="BU236" s="30" t="n">
        <f aca="false">SUM(BU202:BU235)+Actuals!BV54</f>
        <v>-420223.846720499</v>
      </c>
      <c r="BV236" s="30" t="n">
        <f aca="false">SUM(BV202:BV235)+Actuals!BW54</f>
        <v>-420223.846720499</v>
      </c>
      <c r="BW236" s="30" t="n">
        <f aca="false">SUM(BW202:BW235)+Actuals!BX54</f>
        <v>-420223.846720499</v>
      </c>
      <c r="BX236" s="30" t="n">
        <f aca="false">SUM(BX202:BX235)+Actuals!BY54</f>
        <v>-420223.846720499</v>
      </c>
      <c r="BY236" s="30" t="n">
        <f aca="false">SUM(BY202:BY235)+Actuals!BZ54</f>
        <v>-428628.323654909</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298241.093396964</v>
      </c>
      <c r="K237" s="37" t="n">
        <f aca="false">K199+K236</f>
        <v>376129.454718767</v>
      </c>
      <c r="L237" s="37" t="n">
        <f aca="false">L199+L236</f>
        <v>214936.69311604</v>
      </c>
      <c r="M237" s="37" t="n">
        <f aca="false">M199+M236</f>
        <v>-261759.45356445</v>
      </c>
      <c r="N237" s="37" t="n">
        <f aca="false">N199+N236</f>
        <v>428723.753005433</v>
      </c>
      <c r="O237" s="37" t="n">
        <f aca="false">O199+O236</f>
        <v>224783.374278049</v>
      </c>
      <c r="P237" s="37" t="n">
        <f aca="false">P199+P236</f>
        <v>365330.63615305</v>
      </c>
      <c r="Q237" s="37" t="n">
        <f aca="false">Q199+Q236</f>
        <v>-398285.822488093</v>
      </c>
      <c r="R237" s="37" t="n">
        <f aca="false">R199+R236</f>
        <v>120008.948031266</v>
      </c>
      <c r="S237" s="37" t="n">
        <f aca="false">S199+S236</f>
        <v>231072.211220825</v>
      </c>
      <c r="T237" s="37" t="n">
        <f aca="false">T199+T236</f>
        <v>290624.872734083</v>
      </c>
      <c r="U237" s="37" t="n">
        <f aca="false">U199+U236</f>
        <v>512668.878780882</v>
      </c>
      <c r="V237" s="37" t="n">
        <f aca="false">V199+V236</f>
        <v>637354.89128088</v>
      </c>
      <c r="W237" s="37" t="n">
        <f aca="false">W199+W236</f>
        <v>525668.591280883</v>
      </c>
      <c r="X237" s="37" t="n">
        <f aca="false">X199+X236</f>
        <v>819546.536139797</v>
      </c>
      <c r="Y237" s="37" t="n">
        <f aca="false">Y199+Y236</f>
        <v>595219.889689796</v>
      </c>
      <c r="Z237" s="37" t="n">
        <f aca="false">Z199+Z236</f>
        <v>786682.136524412</v>
      </c>
      <c r="AA237" s="37" t="n">
        <f aca="false">AA199+AA236</f>
        <v>825536.174500936</v>
      </c>
      <c r="AB237" s="37" t="n">
        <f aca="false">AB199+AB236</f>
        <v>640836.606246588</v>
      </c>
      <c r="AC237" s="37" t="n">
        <f aca="false">AC199+AC236</f>
        <v>406957.915582878</v>
      </c>
      <c r="AD237" s="37" t="n">
        <f aca="false">AD199+AD236</f>
        <v>436277.126159801</v>
      </c>
      <c r="AE237" s="37" t="n">
        <f aca="false">AE199+AE236</f>
        <v>-126081.489004239</v>
      </c>
      <c r="AF237" s="37" t="n">
        <f aca="false">AF199+AF236</f>
        <v>776411.668066138</v>
      </c>
      <c r="AG237" s="37" t="n">
        <f aca="false">AG199+AG236</f>
        <v>686508.756317664</v>
      </c>
      <c r="AH237" s="37" t="n">
        <f aca="false">AH199+AH236</f>
        <v>553391.181048071</v>
      </c>
      <c r="AI237" s="37" t="n">
        <f aca="false">AI199+AI236</f>
        <v>559532.003355763</v>
      </c>
      <c r="AJ237" s="37" t="n">
        <f aca="false">AJ199+AJ236</f>
        <v>657098.621016764</v>
      </c>
      <c r="AK237" s="37" t="n">
        <f aca="false">AK199+AK236</f>
        <v>286498.730898127</v>
      </c>
      <c r="AL237" s="37" t="n">
        <f aca="false">AL199+AL236</f>
        <v>277362.715124731</v>
      </c>
      <c r="AM237" s="37" t="n">
        <f aca="false">AM199+AM236</f>
        <v>87443.5075491389</v>
      </c>
      <c r="AN237" s="37" t="n">
        <f aca="false">AN199+AN236</f>
        <v>33792.2965876007</v>
      </c>
      <c r="AO237" s="37" t="n">
        <f aca="false">AO199+AO236</f>
        <v>7112.57378519769</v>
      </c>
      <c r="AP237" s="37" t="n">
        <f aca="false">AP199+AP236</f>
        <v>7112.57378519769</v>
      </c>
      <c r="AQ237" s="37" t="n">
        <f aca="false">AQ199+AQ236</f>
        <v>13317.7063198126</v>
      </c>
      <c r="AR237" s="37" t="n">
        <f aca="false">AR199+AR236</f>
        <v>32933.0909351977</v>
      </c>
      <c r="AS237" s="37" t="n">
        <f aca="false">AS199+AS236</f>
        <v>35974.8225698127</v>
      </c>
      <c r="AT237" s="37" t="n">
        <f aca="false">AT199+AT236</f>
        <v>318075.792538697</v>
      </c>
      <c r="AU237" s="37" t="n">
        <f aca="false">AU199+AU236</f>
        <v>23663.2513708199</v>
      </c>
      <c r="AV237" s="37" t="n">
        <f aca="false">AV199+AV236</f>
        <v>-246246.401730933</v>
      </c>
      <c r="AW237" s="37" t="n">
        <f aca="false">AW199+AW236</f>
        <v>-246246.401730933</v>
      </c>
      <c r="AX237" s="37" t="n">
        <f aca="false">AX199+AX236</f>
        <v>-246246.401730933</v>
      </c>
      <c r="AY237" s="37" t="n">
        <f aca="false">AY199+AY236</f>
        <v>-246246.401730933</v>
      </c>
      <c r="AZ237" s="37" t="n">
        <f aca="false">AZ199+AZ236</f>
        <v>-246246.401730933</v>
      </c>
      <c r="BA237" s="37" t="n">
        <f aca="false">BA199+BA236</f>
        <v>-254324.522582923</v>
      </c>
      <c r="BB237" s="37" t="n">
        <f aca="false">BB199+BB236</f>
        <v>-254324.522582923</v>
      </c>
      <c r="BC237" s="37" t="n">
        <f aca="false">BC199+BC236</f>
        <v>-254324.522582923</v>
      </c>
      <c r="BD237" s="37" t="n">
        <f aca="false">BD199+BD236</f>
        <v>-254324.522582923</v>
      </c>
      <c r="BE237" s="37" t="n">
        <f aca="false">BE199+BE236</f>
        <v>-254324.522582923</v>
      </c>
      <c r="BF237" s="37" t="n">
        <f aca="false">BF199+BF236</f>
        <v>-254324.522582923</v>
      </c>
      <c r="BG237" s="37" t="n">
        <f aca="false">BG199+BG236</f>
        <v>-254324.522582923</v>
      </c>
      <c r="BH237" s="37" t="n">
        <f aca="false">BH199+BH236</f>
        <v>-5388.24752732297</v>
      </c>
      <c r="BI237" s="37" t="n">
        <f aca="false">BI199+BI236</f>
        <v>-411984.16345147</v>
      </c>
      <c r="BJ237" s="37" t="n">
        <f aca="false">BJ199+BJ236</f>
        <v>-411984.16345147</v>
      </c>
      <c r="BK237" s="37" t="n">
        <f aca="false">BK199+BK236</f>
        <v>-411984.16345147</v>
      </c>
      <c r="BL237" s="37" t="n">
        <f aca="false">BL199+BL236</f>
        <v>-411984.16345147</v>
      </c>
      <c r="BM237" s="37" t="n">
        <f aca="false">BM199+BM236</f>
        <v>-420223.846720499</v>
      </c>
      <c r="BN237" s="37" t="n">
        <f aca="false">BN199+BN236</f>
        <v>-420223.846720499</v>
      </c>
      <c r="BO237" s="37" t="n">
        <f aca="false">BO199+BO236</f>
        <v>-420223.846720499</v>
      </c>
      <c r="BP237" s="37" t="n">
        <f aca="false">BP199+BP236</f>
        <v>-420223.846720499</v>
      </c>
      <c r="BQ237" s="37" t="n">
        <f aca="false">BQ199+BQ236</f>
        <v>-420223.846720499</v>
      </c>
      <c r="BR237" s="37" t="n">
        <f aca="false">BR199+BR236</f>
        <v>-420223.846720499</v>
      </c>
      <c r="BS237" s="37" t="n">
        <f aca="false">BS199+BS236</f>
        <v>-420223.846720499</v>
      </c>
      <c r="BT237" s="37" t="n">
        <f aca="false">BT199+BT236</f>
        <v>-420223.846720499</v>
      </c>
      <c r="BU237" s="37" t="n">
        <f aca="false">BU199+BU236</f>
        <v>-420223.846720499</v>
      </c>
      <c r="BV237" s="37" t="n">
        <f aca="false">BV199+BV236</f>
        <v>-420223.846720499</v>
      </c>
      <c r="BW237" s="37" t="n">
        <f aca="false">BW199+BW236</f>
        <v>-420223.846720499</v>
      </c>
      <c r="BX237" s="37" t="n">
        <f aca="false">BX199+BX236</f>
        <v>-420223.846720499</v>
      </c>
      <c r="BY237" s="37" t="n">
        <f aca="false">BY199+BY236</f>
        <v>-428628.323654909</v>
      </c>
      <c r="BZ237" s="37" t="n">
        <f aca="false">BZ199+BZ236</f>
        <v>-428628.323654909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0.0510496407135141</v>
      </c>
      <c r="K238" s="33" t="n">
        <f aca="false">IFERROR(K237/K58,0)</f>
        <v>0.0619168602434384</v>
      </c>
      <c r="L238" s="33" t="n">
        <f aca="false">IFERROR(L237/L58,0)</f>
        <v>0.0411504583693874</v>
      </c>
      <c r="M238" s="33" t="n">
        <f aca="false">IFERROR(M237/M58,0)</f>
        <v>-0.050094942843558</v>
      </c>
      <c r="N238" s="33" t="n">
        <f aca="false">IFERROR(N237/N58,0)</f>
        <v>0.0659717659309066</v>
      </c>
      <c r="O238" s="33" t="n">
        <f aca="false">IFERROR(O237/O58,0)</f>
        <v>0.034475334967436</v>
      </c>
      <c r="P238" s="33" t="n">
        <f aca="false">IFERROR(P237/P58,0)</f>
        <v>0.050475311371738</v>
      </c>
      <c r="Q238" s="33" t="n">
        <f aca="false">IFERROR(Q237/Q58,0)</f>
        <v>-0.0503117796464174</v>
      </c>
      <c r="R238" s="33" t="n">
        <f aca="false">IFERROR(R237/R58,0)</f>
        <v>0.0143427135911763</v>
      </c>
      <c r="S238" s="33" t="n">
        <f aca="false">IFERROR(S237/S58,0)</f>
        <v>0.0251007763368746</v>
      </c>
      <c r="T238" s="33" t="n">
        <f aca="false">IFERROR(T237/T58,0)</f>
        <v>0.0263563346112169</v>
      </c>
      <c r="U238" s="33" t="n">
        <f aca="false">IFERROR(U237/U58,0)</f>
        <v>0.0478922301961445</v>
      </c>
      <c r="V238" s="33" t="n">
        <f aca="false">IFERROR(V237/V58,0)</f>
        <v>0.0546377379472517</v>
      </c>
      <c r="W238" s="33" t="n">
        <f aca="false">IFERROR(W237/W58,0)</f>
        <v>0.0496816583439351</v>
      </c>
      <c r="X238" s="33" t="n">
        <f aca="false">IFERROR(X237/X58,0)</f>
        <v>0.0636461391472791</v>
      </c>
      <c r="Y238" s="33" t="n">
        <f aca="false">IFERROR(Y237/Y58,0)</f>
        <v>0.0503447994517981</v>
      </c>
      <c r="Z238" s="33" t="n">
        <f aca="false">IFERROR(Z237/Z58,0)</f>
        <v>0.0606075459287019</v>
      </c>
      <c r="AA238" s="33" t="n">
        <f aca="false">IFERROR(AA237/AA58,0)</f>
        <v>0.0659014015529348</v>
      </c>
      <c r="AB238" s="33" t="n">
        <f aca="false">IFERROR(AB237/AB58,0)</f>
        <v>0.0563871582601926</v>
      </c>
      <c r="AC238" s="33" t="n">
        <f aca="false">IFERROR(AC237/AC58,0)</f>
        <v>0.039370977975397</v>
      </c>
      <c r="AD238" s="33" t="n">
        <f aca="false">IFERROR(AD237/AD58,0)</f>
        <v>0.0424094719030313</v>
      </c>
      <c r="AE238" s="33" t="n">
        <f aca="false">IFERROR(AE237/AE58,0)</f>
        <v>-0.0119842176156188</v>
      </c>
      <c r="AF238" s="33" t="n">
        <f aca="false">IFERROR(AF237/AF58,0)</f>
        <v>0.0745152165508196</v>
      </c>
      <c r="AG238" s="33" t="n">
        <f aca="false">IFERROR(AG237/AG58,0)</f>
        <v>0.0652706877755309</v>
      </c>
      <c r="AH238" s="33" t="n">
        <f aca="false">IFERROR(AH237/AH58,0)</f>
        <v>0.0567697865852269</v>
      </c>
      <c r="AI238" s="33" t="n">
        <f aca="false">IFERROR(AI237/AI58,0)</f>
        <v>0.0602125972139404</v>
      </c>
      <c r="AJ238" s="33" t="n">
        <f aca="false">IFERROR(AJ237/AJ58,0)</f>
        <v>0.0836719458335412</v>
      </c>
      <c r="AK238" s="33" t="n">
        <f aca="false">IFERROR(AK237/AK58,0)</f>
        <v>0.0440692025849684</v>
      </c>
      <c r="AL238" s="33" t="n">
        <f aca="false">IFERROR(AL237/AL58,0)</f>
        <v>0.0458445693407782</v>
      </c>
      <c r="AM238" s="33" t="n">
        <f aca="false">IFERROR(AM237/AM58,0)</f>
        <v>0.0159655657619745</v>
      </c>
      <c r="AN238" s="33" t="n">
        <f aca="false">IFERROR(AN237/AN58,0)</f>
        <v>0.00768010811677431</v>
      </c>
      <c r="AO238" s="33" t="n">
        <f aca="false">IFERROR(AO237/AO58,0)</f>
        <v>0.00183903554563085</v>
      </c>
      <c r="AP238" s="33" t="n">
        <f aca="false">IFERROR(AP237/AP58,0)</f>
        <v>0.00194586443806527</v>
      </c>
      <c r="AQ238" s="33" t="n">
        <f aca="false">IFERROR(AQ237/AQ58,0)</f>
        <v>0.00455917031053167</v>
      </c>
      <c r="AR238" s="33" t="n">
        <f aca="false">IFERROR(AR237/AR58,0)</f>
        <v>0.0116095926107645</v>
      </c>
      <c r="AS238" s="33" t="n">
        <f aca="false">IFERROR(AS237/AS58,0)</f>
        <v>0.0131327446234537</v>
      </c>
      <c r="AT238" s="33" t="n">
        <f aca="false">IFERROR(AT237/AT58,0)</f>
        <v>0.120945380781846</v>
      </c>
      <c r="AU238" s="33" t="n">
        <f aca="false">IFERROR(AU237/AU58,0)</f>
        <v>0.012572301678242</v>
      </c>
      <c r="AV238" s="33" t="n">
        <f aca="false">IFERROR(AV237/AV58,0)</f>
        <v>-0.133470197837876</v>
      </c>
      <c r="AW238" s="33" t="n">
        <f aca="false">IFERROR(AW237/AW58,0)</f>
        <v>-0.137533339557482</v>
      </c>
      <c r="AX238" s="33" t="n">
        <f aca="false">IFERROR(AX237/AX58,0)</f>
        <v>-0.143140602806345</v>
      </c>
      <c r="AY238" s="33" t="n">
        <f aca="false">IFERROR(AY237/AY58,0)</f>
        <v>-0.150472706361598</v>
      </c>
      <c r="AZ238" s="33" t="n">
        <f aca="false">IFERROR(AZ237/AZ58,0)</f>
        <v>-0.159771014412546</v>
      </c>
      <c r="BA238" s="33" t="n">
        <f aca="false">IFERROR(BA237/BA58,0)</f>
        <v>-0.1769637341217</v>
      </c>
      <c r="BB238" s="33" t="n">
        <f aca="false">IFERROR(BB237/BB58,0)</f>
        <v>-0.191691406028219</v>
      </c>
      <c r="BC238" s="33" t="n">
        <f aca="false">IFERROR(BC237/BC58,0)</f>
        <v>-0.20972764342657</v>
      </c>
      <c r="BD238" s="33" t="n">
        <f aca="false">IFERROR(BD237/BD58,0)</f>
        <v>-0.23176347044271</v>
      </c>
      <c r="BE238" s="33" t="n">
        <f aca="false">IFERROR(BE237/BE58,0)</f>
        <v>-0.258690265771982</v>
      </c>
      <c r="BF238" s="33" t="n">
        <f aca="false">IFERROR(BF237/BF58,0)</f>
        <v>-0.2916414704888</v>
      </c>
      <c r="BG238" s="33" t="n">
        <f aca="false">IFERROR(BG237/BG58,0)</f>
        <v>-0.332100857986679</v>
      </c>
      <c r="BH238" s="33" t="n">
        <f aca="false">IFERROR(BH237/BH58,0)</f>
        <v>-0.00809227303877531</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IF(ISBLANK(Actuals!F80),IF(Uplifters!$B$2="Yes",Uplifters!C107,0),Actuals!F80)</f>
        <v>0</v>
      </c>
      <c r="F257" s="13" t="n">
        <f aca="false">IF(ISBLANK(Actuals!G80),IF(Uplifters!$B$2="Yes",Uplifters!D107,0),Actuals!G80)</f>
        <v>0</v>
      </c>
      <c r="G257" s="13" t="n">
        <f aca="false">IF(ISBLANK(Actuals!H80),IF(Uplifters!$B$2="Yes",Uplifters!E107,0),Actuals!H80)</f>
        <v>0</v>
      </c>
      <c r="H257" s="13" t="n">
        <f aca="false">IF(ISBLANK(Actuals!I80),IF(Uplifters!$B$2="Yes",Uplifters!F107,0),Actuals!I80)</f>
        <v>0</v>
      </c>
      <c r="I257" s="13" t="n">
        <f aca="false">IF(ISBLANK(Actuals!J80),IF(Uplifters!$B$2="Yes",Uplifters!G107,0),Actuals!J80)</f>
        <v>0</v>
      </c>
      <c r="J257" s="13" t="n">
        <f aca="false">IF(ISBLANK(Actuals!K80),IF(Uplifters!$B$2="Yes",Uplifters!H107,0),Actuals!K80)</f>
        <v>0</v>
      </c>
      <c r="K257" s="13" t="n">
        <f aca="false">IF(ISBLANK(Actuals!L80),IF(Uplifters!$B$2="Yes",Uplifters!I107,0),Actuals!L80)</f>
        <v>0</v>
      </c>
      <c r="L257" s="13" t="n">
        <f aca="false">IF(ISBLANK(Actuals!M80),IF(Uplifters!$B$2="Yes",Uplifters!J107,0),Actuals!M80)</f>
        <v>0</v>
      </c>
      <c r="M257" s="13" t="n">
        <f aca="false">IF(ISBLANK(Actuals!N80),IF(Uplifters!$B$2="Yes",Uplifters!K107,0),Actuals!N80)</f>
        <v>0</v>
      </c>
      <c r="N257" s="13" t="n">
        <f aca="false">IF(ISBLANK(Actuals!O80),IF(Uplifters!$B$2="Yes",Uplifters!L107,0),Actuals!O80)</f>
        <v>0</v>
      </c>
      <c r="O257" s="13" t="n">
        <f aca="false">IF(ISBLANK(Actuals!P80),IF(Uplifters!$B$2="Yes",Uplifters!M107,0),Actuals!P80)</f>
        <v>0</v>
      </c>
      <c r="P257" s="13" t="n">
        <f aca="false">IF(ISBLANK(Actuals!Q80),IF(Uplifters!$B$2="Yes",Uplifters!N107,0),Actuals!Q80)</f>
        <v>0</v>
      </c>
      <c r="Q257" s="13" t="n">
        <f aca="false">IF(ISBLANK(Actuals!R80),IF(Uplifters!$B$2="Yes",Uplifters!O107,0),Actuals!R80)</f>
        <v>23132.2304</v>
      </c>
      <c r="R257" s="13" t="n">
        <f aca="false">IF(ISBLANK(Actuals!S80),IF(Uplifters!$B$2="Yes",Uplifters!P107,0),Actuals!S80)</f>
        <v>16882.0304</v>
      </c>
      <c r="S257" s="13" t="n">
        <f aca="false">IF(ISBLANK(Actuals!T80),IF(Uplifters!$B$2="Yes",Uplifters!Q107,0),Actuals!T80)</f>
        <v>16882.0304</v>
      </c>
      <c r="T257" s="13" t="n">
        <f aca="false">IF(ISBLANK(Actuals!U80),IF(Uplifters!$B$2="Yes",Uplifters!R107,0),Actuals!U80)</f>
        <v>16882.0304</v>
      </c>
      <c r="U257" s="13" t="n">
        <f aca="false">IF(ISBLANK(Actuals!V80),IF(Uplifters!$B$2="Yes",Uplifters!S107,0),Actuals!V80)</f>
        <v>12382.0304</v>
      </c>
      <c r="V257" s="13" t="n">
        <f aca="false">IF(ISBLANK(Actuals!W80),IF(Uplifters!$B$2="Yes",Uplifters!T107,0),Actuals!W80)</f>
        <v>12382.0304</v>
      </c>
      <c r="W257" s="13" t="n">
        <f aca="false">IF(ISBLANK(Actuals!X80),IF(Uplifters!$B$2="Yes",Uplifters!U107,0),Actuals!X80)</f>
        <v>28954.2928</v>
      </c>
      <c r="X257" s="13" t="n">
        <f aca="false">IF(ISBLANK(Actuals!Y80),IF(Uplifters!$B$2="Yes",Uplifters!V107,0),Actuals!Y80)</f>
        <v>45526.5552</v>
      </c>
      <c r="Y257" s="13" t="n">
        <f aca="false">IF(ISBLANK(Actuals!Z80),IF(Uplifters!$B$2="Yes",Uplifters!W107,0),Actuals!Z80)</f>
        <v>62098.8176</v>
      </c>
      <c r="Z257" s="13" t="n">
        <f aca="false">IF(ISBLANK(Actuals!AA80),IF(Uplifters!$B$2="Yes",Uplifters!X107,0),Actuals!AA80)</f>
        <v>72225.794</v>
      </c>
      <c r="AA257" s="13" t="n">
        <f aca="false">IF(ISBLANK(Actuals!AB80),IF(Uplifters!$B$2="Yes",Uplifters!Y107,0),Actuals!AB80)</f>
        <v>87762.296</v>
      </c>
      <c r="AB257" s="13" t="n">
        <f aca="false">IF(ISBLANK(Actuals!AC80),IF(Uplifters!$B$2="Yes",Uplifters!Z107,0),Actuals!AC80)</f>
        <v>103298.786</v>
      </c>
      <c r="AC257" s="13" t="n">
        <f aca="false">IF(ISBLANK(Actuals!AD80),IF(Uplifters!$B$2="Yes",Uplifters!AA107,0),Actuals!AD80)</f>
        <v>118835.276</v>
      </c>
      <c r="AD257" s="13" t="n">
        <f aca="false">IF(ISBLANK(Actuals!AE80),IF(Uplifters!$B$2="Yes",Uplifters!AB107,0),Actuals!AE80)</f>
        <v>134371.772</v>
      </c>
      <c r="AE257" s="13" t="n">
        <f aca="false">IF(ISBLANK(Actuals!AF80),IF(Uplifters!$B$2="Yes",Uplifters!AC107,0),Actuals!AF80)</f>
        <v>149908.274</v>
      </c>
      <c r="AF257" s="13" t="n">
        <f aca="false">IF(ISBLANK(Actuals!AG80),IF(Uplifters!$B$2="Yes",Uplifters!AD107,0),Actuals!AG80)</f>
        <v>152699.367</v>
      </c>
      <c r="AG257" s="13" t="n">
        <f aca="false">IF(ISBLANK(Actuals!AH80),IF(Uplifters!$B$2="Yes",Uplifters!AE107,0),Actuals!AH80)</f>
        <v>166941.1605</v>
      </c>
      <c r="AH257" s="13" t="n">
        <f aca="false">IF(ISBLANK(Actuals!AI80),IF(Uplifters!$B$2="Yes",Uplifters!AF107,0),Actuals!AI80)</f>
        <v>200231.2855</v>
      </c>
      <c r="AI257" s="13" t="n">
        <f aca="false">IF(ISBLANK(Actuals!AJ80),IF(Uplifters!$B$2="Yes",Uplifters!AG107,0),Actuals!AJ80)</f>
        <v>151106.0555</v>
      </c>
      <c r="AJ257" s="13" t="n">
        <f aca="false">IF(ISBLANK(Actuals!AK80),IF(Uplifters!$B$2="Yes",Uplifters!AH107,0),Actuals!AK80)</f>
        <v>151536.2215</v>
      </c>
      <c r="AK257" s="13" t="n">
        <f aca="false">IF(ISBLANK(Actuals!AL80),IF(Uplifters!$B$2="Yes",Uplifters!AI107,0),Actuals!AL80)</f>
        <v>151966.3765</v>
      </c>
      <c r="AL257" s="13" t="n">
        <f aca="false">IF(ISBLANK(Actuals!AM80),IF(Uplifters!$B$2="Yes",Uplifters!AJ107,0),Actuals!AM80)</f>
        <v>152396.537</v>
      </c>
      <c r="AM257" s="13" t="n">
        <f aca="false">IF(ISBLANK(Actuals!AN80),IF(Uplifters!$B$2="Yes",Uplifters!AK107,0),Actuals!AN80)</f>
        <v>152826.692</v>
      </c>
      <c r="AN257" s="13" t="n">
        <f aca="false">IF(ISBLANK(Actuals!AO80),IF(Uplifters!$B$2="Yes",Uplifters!AL107,0),Actuals!AO80)</f>
        <v>167498.6405</v>
      </c>
      <c r="AO257" s="13" t="n">
        <f aca="false">IF(ISBLANK(Actuals!AP80),IF(Uplifters!$B$2="Yes",Uplifters!AM107,0),Actuals!AP80)</f>
        <v>153687.0185</v>
      </c>
      <c r="AP257" s="13" t="n">
        <f aca="false">IF(ISBLANK(Actuals!AQ80),IF(Uplifters!$B$2="Yes",Uplifters!AN107,0),Actuals!AQ80)</f>
        <v>139875.391</v>
      </c>
      <c r="AQ257" s="13" t="n">
        <f aca="false">IF(ISBLANK(Actuals!AR80),IF(Uplifters!$B$2="Yes",Uplifters!AO107,0),Actuals!AR80)</f>
        <v>126063.7635</v>
      </c>
      <c r="AR257" s="13" t="n">
        <f aca="false">IF(ISBLANK(Actuals!AS80),IF(Uplifters!$B$2="Yes",Uplifters!AP107,0),Actuals!AS80)</f>
        <v>112252.1305</v>
      </c>
      <c r="AS257" s="13" t="n">
        <f aca="false">IF(ISBLANK(Actuals!AT80),IF(Uplifters!$B$2="Yes",Uplifters!AQ107,0),Actuals!AT80)</f>
        <v>90627.735</v>
      </c>
      <c r="AT257" s="13" t="n">
        <f aca="false">IF(ISBLANK(Actuals!AU80),IF(Uplifters!$B$2="Yes",Uplifters!AR107,0),Actuals!AU80)</f>
        <v>78071.71</v>
      </c>
      <c r="AU257" s="13" t="n">
        <f aca="false">IF(ISBLANK(Actuals!AV80),IF(Uplifters!$B$2="Yes",Uplifters!AS107,0),Actuals!AV80)</f>
        <v>65515.68</v>
      </c>
      <c r="AV257" s="13" t="n">
        <f aca="false">IF(ISBLANK(Actuals!AW80),IF(Uplifters!$B$2="Yes",Uplifters!AT107,0),Actuals!AW80)</f>
        <v>52959.66</v>
      </c>
      <c r="AW257" s="13" t="n">
        <f aca="false">IF(ISBLANK(Actuals!AX80),IF(Uplifters!$B$2="Yes",Uplifters!AU107,0),Actuals!AX80)</f>
        <v>39919.0485</v>
      </c>
      <c r="AX257" s="13" t="n">
        <f aca="false">IF(ISBLANK(Actuals!AY80),IF(Uplifters!$B$2="Yes",Uplifters!AV107,0),Actuals!AY80)</f>
        <v>80797.05</v>
      </c>
      <c r="AY257" s="13" t="n">
        <f aca="false">IF(ISBLANK(Actuals!AZ80),IF(Uplifters!$B$2="Yes",Uplifters!AW107,0),Actuals!AZ80)</f>
        <v>67849.975</v>
      </c>
      <c r="AZ257" s="13" t="n">
        <f aca="false">IF(ISBLANK(Actuals!BA80),IF(Uplifters!$B$2="Yes",Uplifters!AX107,0),Actuals!BA80)</f>
        <v>42056.6125</v>
      </c>
      <c r="BA257" s="13" t="n">
        <f aca="false">IF(ISBLANK(Actuals!BB80),IF(Uplifters!$B$2="Yes",Uplifters!AY107,0),Actuals!BB80)</f>
        <v>41626.452</v>
      </c>
      <c r="BB257" s="13" t="n">
        <f aca="false">IF(ISBLANK(Actuals!BC80),IF(Uplifters!$B$2="Yes",Uplifters!AZ107,0),Actuals!BC80)</f>
        <v>41196.286</v>
      </c>
      <c r="BC257" s="13" t="n">
        <f aca="false">IF(ISBLANK(Actuals!BD80),IF(Uplifters!$B$2="Yes",Uplifters!BA107,0),Actuals!BD80)</f>
        <v>40766.131</v>
      </c>
      <c r="BD257" s="13" t="n">
        <f aca="false">IF(ISBLANK(Actuals!BE80),IF(Uplifters!$B$2="Yes",Uplifters!BB107,0),Actuals!BE80)</f>
        <v>40335.9705</v>
      </c>
      <c r="BE257" s="13" t="n">
        <f aca="false">IF(ISBLANK(Actuals!BF80),IF(Uplifters!$B$2="Yes",Uplifters!BC107,0),Actuals!BF80)</f>
        <v>39905.81</v>
      </c>
      <c r="BF257" s="13" t="n">
        <f aca="false">IF(ISBLANK(Actuals!BG80),IF(Uplifters!$B$2="Yes",Uplifters!BD107,0),Actuals!BG80)</f>
        <v>39475.6495</v>
      </c>
      <c r="BG257" s="13" t="n">
        <f aca="false">IF(ISBLANK(Actuals!BH80),IF(Uplifters!$B$2="Yes",Uplifters!BE107,0),Actuals!BH80)</f>
        <v>39045.489</v>
      </c>
      <c r="BH257" s="13" t="n">
        <f aca="false">IF(ISBLANK(Actuals!BI80),IF(Uplifters!$B$2="Yes",Uplifters!BF107,0),Actuals!BI80)</f>
        <v>38615.3285</v>
      </c>
      <c r="BI257" s="13" t="n">
        <f aca="false">IF(ISBLANK(Actuals!BJ80),IF(Uplifters!$B$2="Yes",Uplifters!BG107,0),Actuals!BJ80)</f>
        <v>38185.168</v>
      </c>
      <c r="BJ257" s="13" t="n">
        <f aca="false">IF(ISBLANK(Actuals!BK80),IF(Uplifters!$B$2="Yes",Uplifters!BH107,0),Actuals!BK80)</f>
        <v>37755.0075</v>
      </c>
      <c r="BK257" s="13" t="n">
        <f aca="false">IF(ISBLANK(Actuals!BL80),IF(Uplifters!$B$2="Yes",Uplifters!BI107,0),Actuals!BL80)</f>
        <v>37324.847</v>
      </c>
      <c r="BL257" s="13" t="n">
        <f aca="false">IF(ISBLANK(Actuals!BM80),IF(Uplifters!$B$2="Yes",Uplifters!BJ107,0),Actuals!BM80)</f>
        <v>36894.692</v>
      </c>
      <c r="BM257" s="13" t="n">
        <f aca="false">IF(ISBLANK(Actuals!BN80),IF(Uplifters!$B$2="Yes",Uplifters!BK107,0),Actuals!BN80)</f>
        <v>59965.026</v>
      </c>
      <c r="BN257" s="13" t="n">
        <f aca="false">IF(ISBLANK(Actuals!BO80),IF(Uplifters!$B$2="Yes",Uplifters!BL107,0),Actuals!BO80)</f>
        <v>59534.8655</v>
      </c>
      <c r="BO257" s="13" t="n">
        <f aca="false">IF(ISBLANK(Actuals!BP80),IF(Uplifters!$B$2="Yes",Uplifters!BM107,0),Actuals!BP80)</f>
        <v>112930.995</v>
      </c>
      <c r="BP257" s="13" t="n">
        <f aca="false">IF(ISBLANK(Actuals!BQ80),IF(Uplifters!$B$2="Yes",Uplifters!BN107,0),Actuals!BQ80)</f>
        <v>0</v>
      </c>
      <c r="BQ257" s="13" t="n">
        <f aca="false">IF(ISBLANK(Actuals!BR80),IF(Uplifters!$B$2="Yes",Uplifters!BO107,0),Actuals!BR80)</f>
        <v>0</v>
      </c>
      <c r="BR257" s="13" t="n">
        <f aca="false">IF(ISBLANK(Actuals!BS80),IF(Uplifters!$B$2="Yes",Uplifters!BP107,0),Actuals!BS80)</f>
        <v>0</v>
      </c>
      <c r="BS257" s="13" t="n">
        <f aca="false">IF(ISBLANK(Actuals!BT80),IF(Uplifters!$B$2="Yes",Uplifters!BQ107,0),Actuals!BT80)</f>
        <v>0</v>
      </c>
      <c r="BT257" s="13" t="n">
        <f aca="false">IF(ISBLANK(Actuals!BU80),IF(Uplifters!$B$2="Yes",Uplifters!BR107,0),Actuals!BU80)</f>
        <v>0</v>
      </c>
      <c r="BU257" s="13" t="n">
        <f aca="false">IF(ISBLANK(Actuals!BV80),IF(Uplifters!$B$2="Yes",Uplifters!BS107,0),Actuals!BV80)</f>
        <v>0</v>
      </c>
      <c r="BV257" s="13" t="n">
        <f aca="false">IF(ISBLANK(Actuals!BW80),IF(Uplifters!$B$2="Yes",Uplifters!BT107,0),Actuals!BW80)</f>
        <v>0</v>
      </c>
      <c r="BW257" s="13" t="n">
        <f aca="false">IF(ISBLANK(Actuals!BX80),IF(Uplifters!$B$2="Yes",Uplifters!BU107,0),Actuals!BX80)</f>
        <v>0</v>
      </c>
      <c r="BX257" s="13" t="n">
        <f aca="false">IF(ISBLANK(Actuals!BY80),IF(Uplifters!$B$2="Yes",Uplifters!BV107,0),Actuals!BY80)</f>
        <v>0</v>
      </c>
      <c r="BY257" s="13" t="n">
        <f aca="false">IF(ISBLANK(Actuals!BZ80),IF(Uplifters!$B$2="Yes",Uplifters!BW107,0),Actuals!BZ80)</f>
        <v>0</v>
      </c>
      <c r="BZ257" s="13" t="n">
        <f aca="false">IF(ISBLANK(Actuals!CA80),IF(Uplifters!$B$2="Yes",Uplifters!BX107,0),Actuals!CA80)</f>
        <v>0</v>
      </c>
      <c r="CA257" s="13" t="n">
        <f aca="false">IF(ISBLANK(Actuals!CB80),IF(Uplifters!$B$2="Yes",Uplifters!BY107,0),Actuals!CB80)</f>
        <v>0</v>
      </c>
      <c r="CB257" s="13" t="n">
        <f aca="false">IF(ISBLANK(Actuals!CC80),IF(Uplifters!$B$2="Yes",Uplifters!BZ107,0),Actuals!CC80)</f>
        <v>0</v>
      </c>
      <c r="CC257" s="13" t="n">
        <f aca="false">IF(ISBLANK(Actuals!CD80),IF(Uplifters!$B$2="Yes",Uplifters!CA107,0),Actuals!CD80)</f>
        <v>0</v>
      </c>
      <c r="CD257" s="13" t="n">
        <f aca="false">IF(ISBLANK(Actuals!CE80),IF(Uplifters!$B$2="Yes",Uplifters!CB107,0),Actuals!CE80)</f>
        <v>0</v>
      </c>
      <c r="CE257" s="13" t="n">
        <f aca="false">IF(ISBLANK(Actuals!CF80),IF(Uplifters!$B$2="Yes",Uplifters!CC107,0),Actuals!CF80)</f>
        <v>0</v>
      </c>
      <c r="CF257" s="13" t="n">
        <f aca="false">IF(ISBLANK(Actuals!CG80),IF(Uplifters!$B$2="Yes",Uplifters!CD107,0),Actuals!CG80)</f>
        <v>0</v>
      </c>
      <c r="CG257" s="13" t="n">
        <f aca="false">IF(ISBLANK(Actuals!CH80),IF(Uplifters!$B$2="Yes",Uplifters!CE107,0),Actuals!CH80)</f>
        <v>0</v>
      </c>
      <c r="CH257" s="13" t="n">
        <f aca="false">IF(ISBLANK(Actuals!CI80),IF(Uplifters!$B$2="Yes",Uplifters!CF107,0),Actuals!CI80)</f>
        <v>0</v>
      </c>
      <c r="CI257" s="13" t="n">
        <f aca="false">IF(ISBLANK(Actuals!CJ80),IF(Uplifters!$B$2="Yes",Uplifters!CG107,0),Actuals!CJ80)</f>
        <v>0</v>
      </c>
      <c r="CJ257" s="13" t="n">
        <f aca="false">IF(ISBLANK(Actuals!CK80),IF(Uplifters!$B$2="Yes",Uplifters!CH107,0),Actuals!CK80)</f>
        <v>0</v>
      </c>
      <c r="CK257" s="13" t="n">
        <f aca="false">IF(ISBLANK(Actuals!CL80),IF(Uplifters!$B$2="Yes",Uplifters!CI107,0),Actuals!CL80)</f>
        <v>0</v>
      </c>
      <c r="CL257" s="13" t="n">
        <f aca="false">IF(ISBLANK(Actuals!CM80),IF(Uplifters!$B$2="Yes",Uplifters!CJ107,0),Actuals!CM80)</f>
        <v>0</v>
      </c>
      <c r="CM257" s="13" t="n">
        <f aca="false">IF(ISBLANK(Actuals!CN80),IF(Uplifters!$B$2="Yes",Uplifters!CK107,0),Actuals!CN80)</f>
        <v>0</v>
      </c>
      <c r="CN257" s="13" t="n">
        <f aca="false">IF(ISBLANK(Actuals!CO80),IF(Uplifters!$B$2="Yes",Uplifters!CL107,0),Actuals!CO80)</f>
        <v>0</v>
      </c>
      <c r="CO257" s="13" t="n">
        <f aca="false">IF(ISBLANK(Actuals!CP80),IF(Uplifters!$B$2="Yes",Uplifters!CM107,0),Actuals!CP80)</f>
        <v>0</v>
      </c>
      <c r="CP257" s="13" t="n">
        <f aca="false">IF(ISBLANK(Actuals!CQ80),IF(Uplifters!$B$2="Yes",Uplifters!CN107,0),Actuals!CQ80)</f>
        <v>0</v>
      </c>
      <c r="CQ257" s="13" t="n">
        <f aca="false">IF(ISBLANK(Actuals!CR80),IF(Uplifters!$B$2="Yes",Uplifters!CO107,0),Actuals!CR80)</f>
        <v>0</v>
      </c>
      <c r="CR257" s="13" t="n">
        <f aca="false">IF(ISBLANK(Actuals!CS80),IF(Uplifters!$B$2="Yes",Uplifters!CP107,0),Actuals!CS80)</f>
        <v>0</v>
      </c>
      <c r="CS257" s="13" t="n">
        <f aca="false">IF(ISBLANK(Actuals!CT80),IF(Uplifters!$B$2="Yes",Uplifters!CQ107,0),Actuals!CT80)</f>
        <v>0</v>
      </c>
      <c r="CT257" s="13" t="n">
        <f aca="false">IF(ISBLANK(Actuals!CU80),IF(Uplifters!$B$2="Yes",Uplifters!CR107,0),Actuals!CU80)</f>
        <v>0</v>
      </c>
      <c r="CU257" s="13" t="n">
        <f aca="false">IF(ISBLANK(Actuals!CV80),IF(Uplifters!$B$2="Yes",Uplifters!CS107,0),Actuals!CV80)</f>
        <v>0</v>
      </c>
      <c r="CV257" s="13" t="n">
        <f aca="false">IF(ISBLANK(Actuals!CW80),IF(Uplifters!$B$2="Yes",Uplifters!CT107,0),Actuals!CW80)</f>
        <v>0</v>
      </c>
      <c r="CW257" s="13" t="n">
        <f aca="false">IF(ISBLANK(Actuals!CX80),IF(Uplifters!$B$2="Yes",Uplifters!CU107,0),Actuals!CX80)</f>
        <v>0</v>
      </c>
      <c r="CX257" s="13" t="n">
        <f aca="false">IF(ISBLANK(Actuals!CY80),IF(Uplifters!$B$2="Yes",Uplifters!CV107,0),Actuals!CY80)</f>
        <v>0</v>
      </c>
      <c r="CY257" s="13" t="n">
        <f aca="false">IF(ISBLANK(Actuals!CZ80),IF(Uplifters!$B$2="Yes",Uplifters!CW107,0),Actuals!CZ80)</f>
        <v>0</v>
      </c>
      <c r="CZ257" s="13" t="n">
        <f aca="false">IF(ISBLANK(Actuals!DA80),IF(Uplifters!$B$2="Yes",Uplifters!CX107,0),Actuals!DA80)</f>
        <v>0</v>
      </c>
      <c r="DA257" s="13" t="n">
        <f aca="false">IF(ISBLANK(Actuals!DB80),IF(Uplifters!$B$2="Yes",Uplifters!CY107,0),Actuals!DB80)</f>
        <v>0</v>
      </c>
      <c r="DB257" s="13" t="n">
        <f aca="false">IF(ISBLANK(Actuals!DC80),IF(Uplifters!$B$2="Yes",Uplifters!CZ107,0),Actuals!DC80)</f>
        <v>0</v>
      </c>
      <c r="DC257" s="13" t="n">
        <f aca="false">IF(ISBLANK(Actuals!DD80),IF(Uplifters!$B$2="Yes",Uplifters!DA107,0),Actuals!DD80)</f>
        <v>0</v>
      </c>
      <c r="DD257" s="13" t="n">
        <f aca="false">IF(ISBLANK(Actuals!DE80),IF(Uplifters!$B$2="Yes",Uplifters!DB107,0),Actuals!DE80)</f>
        <v>0</v>
      </c>
      <c r="DE257" s="13" t="n">
        <f aca="false">IF(ISBLANK(Actuals!DF80),IF(Uplifters!$B$2="Yes",Uplifters!DC107,0),Actuals!DF80)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c r="C260" s="13"/>
      <c r="D260" s="13"/>
      <c r="E260" s="13"/>
      <c r="F260" s="13"/>
      <c r="G260" s="13"/>
      <c r="H260" s="13" t="n">
        <v>0</v>
      </c>
      <c r="I260" s="13" t="n">
        <f aca="false">IF(I$3&lt;'APA Assumptions'!$B$40,0,(1-'APA Assumptions'!$B$39)*MAX(0,0.5*'APA Projection'!C$23))</f>
        <v>0</v>
      </c>
      <c r="J260" s="13" t="n">
        <f aca="false">IF(J$3&lt;'APA Assumptions'!$B$40,0,(1-'APA Assumptions'!$B$39)*MAX(0,0.5*'APA Projection'!D$23))</f>
        <v>0</v>
      </c>
      <c r="K260" s="13" t="n">
        <f aca="false">IF(K$3&lt;'APA Assumptions'!$B$40,0,(1-'APA Assumptions'!$B$39)*MAX(0,0.5*'APA Projection'!E$23))</f>
        <v>0</v>
      </c>
      <c r="L260" s="13" t="n">
        <f aca="false">IF(L$3&lt;'APA Assumptions'!$B$40,0,(1-'APA Assumptions'!$B$39)*MAX(0,0.5*'APA Projection'!F$23))</f>
        <v>0</v>
      </c>
      <c r="M260" s="13" t="n">
        <f aca="false">IF(M$3&lt;'APA Assumptions'!$B$40,0,(1-'APA Assumptions'!$B$39)*MAX(0,0.5*'APA Projection'!G$23))</f>
        <v>0</v>
      </c>
      <c r="N260" s="13" t="n">
        <f aca="false">IF(N$3&lt;'APA Assumptions'!$B$40,0,(1-'APA Assumptions'!$B$39)*MAX(0,0.5*'APA Projection'!H$23))</f>
        <v>12358.6571428571</v>
      </c>
      <c r="O260" s="13" t="n">
        <f aca="false">IF(O$3&lt;'APA Assumptions'!$B$40,0,(1-'APA Assumptions'!$B$39)*MAX(0,0.5*'APA Projection'!I$23))</f>
        <v>7215.8</v>
      </c>
      <c r="P260" s="13" t="n">
        <f aca="false">IF(P$3&lt;'APA Assumptions'!$B$40,0,(1-'APA Assumptions'!$B$39)*MAX(0,0.5*'APA Projection'!J$23))</f>
        <v>7715.8</v>
      </c>
      <c r="Q260" s="13" t="n">
        <f aca="false">IF(Q$3&lt;'APA Assumptions'!$B$40,0,(1-'APA Assumptions'!$B$39)*MAX(0,0.5*'APA Projection'!K$23))</f>
        <v>7715.8</v>
      </c>
      <c r="R260" s="13" t="n">
        <f aca="false">IF(R$3&lt;'APA Assumptions'!$B$40,0,(1-'APA Assumptions'!$B$39)*MAX(0,0.5*'APA Projection'!L$23))</f>
        <v>7715.8</v>
      </c>
      <c r="S260" s="13" t="n">
        <f aca="false">IF(S$3&lt;'APA Assumptions'!$B$40,0,(1-'APA Assumptions'!$B$39)*MAX(0,0.5*'APA Projection'!M$23))</f>
        <v>7715.8</v>
      </c>
      <c r="T260" s="13" t="n">
        <f aca="false">IF(T$3&lt;'APA Assumptions'!$B$40,0,(1-'APA Assumptions'!$B$39)*MAX(0,0.5*'APA Projection'!N$23))</f>
        <v>6115.8</v>
      </c>
      <c r="U260" s="13" t="n">
        <f aca="false">IF(U$3&lt;'APA Assumptions'!$B$40,0,(1-'APA Assumptions'!$B$39)*MAX(0,0.5*'APA Projection'!O$23))</f>
        <v>7715.8</v>
      </c>
      <c r="V260" s="13" t="n">
        <f aca="false">IF(V$3&lt;'APA Assumptions'!$B$40,0,(1-'APA Assumptions'!$B$39)*MAX(0,0.5*'APA Projection'!P$23))</f>
        <v>7715.8</v>
      </c>
      <c r="W260" s="13" t="n">
        <f aca="false">IF(W$3&lt;'APA Assumptions'!$B$40,0,(1-'APA Assumptions'!$B$39)*MAX(0,0.5*'APA Projection'!Q$23))</f>
        <v>7715.8</v>
      </c>
      <c r="X260" s="13" t="n">
        <f aca="false">IF(X$3&lt;'APA Assumptions'!$B$40,0,(1-'APA Assumptions'!$B$39)*MAX(0,0.5*'APA Projection'!R$23))</f>
        <v>7177</v>
      </c>
      <c r="Y260" s="13" t="n">
        <f aca="false">IF(Y$3&lt;'APA Assumptions'!$B$40,0,(1-'APA Assumptions'!$B$39)*MAX(0,0.5*'APA Projection'!S$23))</f>
        <v>7177</v>
      </c>
      <c r="Z260" s="13" t="n">
        <f aca="false">IF(Z$3&lt;'APA Assumptions'!$B$40,0,(1-'APA Assumptions'!$B$39)*MAX(0,0.5*'APA Projection'!T$23))</f>
        <v>0</v>
      </c>
      <c r="AA260" s="13" t="n">
        <f aca="false">IF(AA$3&lt;'APA Assumptions'!$B$40,0,(1-'APA Assumptions'!$B$39)*MAX(0,0.5*'APA Projection'!U$23))</f>
        <v>0</v>
      </c>
      <c r="AB260" s="13" t="n">
        <f aca="false">IF(AB$3&lt;'APA Assumptions'!$B$40,0,(1-'APA Assumptions'!$B$39)*MAX(0,0.5*'APA Projection'!V$23))</f>
        <v>0</v>
      </c>
      <c r="AC260" s="13" t="n">
        <f aca="false">IF(AC$3&lt;'APA Assumptions'!$B$40,0,(1-'APA Assumptions'!$B$39)*MAX(0,0.5*'APA Projection'!W$23))</f>
        <v>0</v>
      </c>
      <c r="AD260" s="13" t="n">
        <f aca="false">IF(AD$3&lt;'APA Assumptions'!$B$40,0,(1-'APA Assumptions'!$B$39)*MAX(0,0.5*'APA Projection'!X$23))</f>
        <v>0</v>
      </c>
      <c r="AE260" s="13" t="n">
        <f aca="false">IF(AE$3&lt;'APA Assumptions'!$B$40,0,(1-'APA Assumptions'!$B$39)*MAX(0,0.5*'APA Projection'!Y$23))</f>
        <v>0</v>
      </c>
      <c r="AF260" s="13" t="n">
        <f aca="false">IF(AF$3&lt;'APA Assumptions'!$B$40,0,(1-'APA Assumptions'!$B$39)*MAX(0,0.5*'APA Projection'!Z$23))</f>
        <v>0</v>
      </c>
      <c r="AG260" s="13" t="n">
        <f aca="false">IF(AG$3&lt;'APA Assumptions'!$B$40,0,(1-'APA Assumptions'!$B$39)*MAX(0,0.5*'APA Projection'!AA$23))</f>
        <v>0</v>
      </c>
      <c r="AH260" s="13" t="n">
        <f aca="false">IF(AH$3&lt;'APA Assumptions'!$B$40,0,(1-'APA Assumptions'!$B$39)*MAX(0,0.5*'APA Projection'!AB$23))</f>
        <v>0</v>
      </c>
      <c r="AI260" s="13" t="n">
        <f aca="false">IF(AI$3&lt;'APA Assumptions'!$B$40,0,(1-'APA Assumptions'!$B$39)*MAX(0,0.5*'APA Projection'!AC$23))</f>
        <v>0</v>
      </c>
      <c r="AJ260" s="13" t="n">
        <f aca="false">IF(AJ$3&lt;'APA Assumptions'!$B$40,0,(1-'APA Assumptions'!$B$39)*MAX(0,0.5*'APA Projection'!AD$23))</f>
        <v>0</v>
      </c>
      <c r="AK260" s="13" t="n">
        <f aca="false">IF(AK$3&lt;'APA Assumptions'!$B$40,0,(1-'APA Assumptions'!$B$39)*MAX(0,0.5*'APA Projection'!AE$23))</f>
        <v>0</v>
      </c>
      <c r="AL260" s="13" t="n">
        <f aca="false">IF(AL$3&lt;'APA Assumptions'!$B$40,0,(1-'APA Assumptions'!$B$39)*MAX(0,0.5*'APA Projection'!AF$23))</f>
        <v>0</v>
      </c>
      <c r="AM260" s="13" t="n">
        <f aca="false">IF(AM$3&lt;'APA Assumptions'!$B$40,0,(1-'APA Assumptions'!$B$39)*MAX(0,0.5*'APA Projection'!AG$23))</f>
        <v>0</v>
      </c>
      <c r="AN260" s="13" t="n">
        <f aca="false">IF(AN$3&lt;'APA Assumptions'!$B$40,0,(1-'APA Assumptions'!$B$39)*MAX(0,0.5*'APA Projection'!AH$23))</f>
        <v>0</v>
      </c>
      <c r="AO260" s="13" t="n">
        <f aca="false">IF(AO$3&lt;'APA Assumptions'!$B$40,0,(1-'APA Assumptions'!$B$39)*MAX(0,0.5*'APA Projection'!AI$23))</f>
        <v>0</v>
      </c>
      <c r="AP260" s="13" t="n">
        <f aca="false">IF(AP$3&lt;'APA Assumptions'!$B$40,0,(1-'APA Assumptions'!$B$39)*MAX(0,0.5*'APA Projection'!AJ$23))</f>
        <v>0</v>
      </c>
      <c r="AQ260" s="13" t="n">
        <f aca="false">IF(AQ$3&lt;'APA Assumptions'!$B$40,0,(1-'APA Assumptions'!$B$39)*MAX(0,0.5*'APA Projection'!AK$23))</f>
        <v>0</v>
      </c>
      <c r="AR260" s="13" t="n">
        <f aca="false">IF(AR$3&lt;'APA Assumptions'!$B$40,0,(1-'APA Assumptions'!$B$39)*MAX(0,0.5*'APA Projection'!AL$23))</f>
        <v>0</v>
      </c>
      <c r="AS260" s="13" t="n">
        <f aca="false">IF(AS$3&lt;'APA Assumptions'!$B$40,0,(1-'APA Assumptions'!$B$39)*MAX(0,0.5*'APA Projection'!AM$23))</f>
        <v>0</v>
      </c>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48922.8018796993</v>
      </c>
      <c r="O261" s="30" t="n">
        <f aca="false">SUM(O240:O260)</f>
        <v>46937.8394736842</v>
      </c>
      <c r="P261" s="30" t="n">
        <f aca="false">SUM(P240:P260)</f>
        <v>47437.8394736842</v>
      </c>
      <c r="Q261" s="30" t="n">
        <f aca="false">SUM(Q240:Q260)</f>
        <v>70570.0698736842</v>
      </c>
      <c r="R261" s="30" t="n">
        <f aca="false">SUM(R240:R260)</f>
        <v>64319.8698736842</v>
      </c>
      <c r="S261" s="30" t="n">
        <f aca="false">SUM(S240:S260)</f>
        <v>64319.8698736842</v>
      </c>
      <c r="T261" s="30" t="n">
        <f aca="false">SUM(T240:T260)</f>
        <v>38813.6198736842</v>
      </c>
      <c r="U261" s="30" t="n">
        <f aca="false">SUM(U240:U260)</f>
        <v>35913.6198736842</v>
      </c>
      <c r="V261" s="30" t="n">
        <f aca="false">SUM(V240:V260)</f>
        <v>35913.6198736842</v>
      </c>
      <c r="W261" s="30" t="n">
        <f aca="false">SUM(W240:W260)</f>
        <v>52485.8822736842</v>
      </c>
      <c r="X261" s="30" t="n">
        <f aca="false">SUM(X240:X260)</f>
        <v>68519.3446736842</v>
      </c>
      <c r="Y261" s="30" t="n">
        <f aca="false">SUM(Y240:Y260)</f>
        <v>142466.607073684</v>
      </c>
      <c r="Z261" s="30" t="n">
        <f aca="false">SUM(Z240:Z260)</f>
        <v>88041.5834736842</v>
      </c>
      <c r="AA261" s="30" t="n">
        <f aca="false">SUM(AA240:AA260)</f>
        <v>103578.085473684</v>
      </c>
      <c r="AB261" s="30" t="n">
        <f aca="false">SUM(AB240:AB260)</f>
        <v>176489.575473684</v>
      </c>
      <c r="AC261" s="30" t="n">
        <f aca="false">SUM(AC240:AC260)</f>
        <v>134651.065473684</v>
      </c>
      <c r="AD261" s="30" t="n">
        <f aca="false">SUM(AD240:AD260)</f>
        <v>150187.561473684</v>
      </c>
      <c r="AE261" s="30" t="n">
        <f aca="false">SUM(AE240:AE260)</f>
        <v>223099.063473684</v>
      </c>
      <c r="AF261" s="30" t="n">
        <f aca="false">SUM(AF240:AF260)</f>
        <v>168515.156473684</v>
      </c>
      <c r="AG261" s="30" t="n">
        <f aca="false">SUM(AG240:AG260)</f>
        <v>179599.055236842</v>
      </c>
      <c r="AH261" s="30" t="n">
        <f aca="false">SUM(AH240:AH260)</f>
        <v>209731.2855</v>
      </c>
      <c r="AI261" s="30" t="n">
        <f aca="false">SUM(AI240:AI260)</f>
        <v>151106.0555</v>
      </c>
      <c r="AJ261" s="30" t="n">
        <f aca="false">SUM(AJ240:AJ260)</f>
        <v>151536.2215</v>
      </c>
      <c r="AK261" s="30" t="n">
        <f aca="false">SUM(AK240:AK260)</f>
        <v>151966.3765</v>
      </c>
      <c r="AL261" s="30" t="n">
        <f aca="false">SUM(AL240:AL260)</f>
        <v>152396.537</v>
      </c>
      <c r="AM261" s="30" t="n">
        <f aca="false">SUM(AM240:AM260)</f>
        <v>152826.692</v>
      </c>
      <c r="AN261" s="30" t="n">
        <f aca="false">SUM(AN240:AN260)</f>
        <v>167498.6405</v>
      </c>
      <c r="AO261" s="30" t="n">
        <f aca="false">SUM(AO240:AO260)</f>
        <v>153687.0185</v>
      </c>
      <c r="AP261" s="30" t="n">
        <f aca="false">SUM(AP240:AP260)</f>
        <v>139875.391</v>
      </c>
      <c r="AQ261" s="30" t="n">
        <f aca="false">SUM(AQ240:AQ260)</f>
        <v>126063.7635</v>
      </c>
      <c r="AR261" s="30" t="n">
        <f aca="false">SUM(AR240:AR260)</f>
        <v>112252.1305</v>
      </c>
      <c r="AS261" s="30" t="n">
        <f aca="false">SUM(AS240:AS260)</f>
        <v>90627.735</v>
      </c>
      <c r="AT261" s="30" t="n">
        <f aca="false">SUM(AT240:AT260)</f>
        <v>159754.71</v>
      </c>
      <c r="AU261" s="30" t="n">
        <f aca="false">SUM(AU240:AU260)</f>
        <v>65515.68</v>
      </c>
      <c r="AV261" s="30" t="n">
        <f aca="false">SUM(AV240:AV260)</f>
        <v>52959.66</v>
      </c>
      <c r="AW261" s="30" t="n">
        <f aca="false">SUM(AW240:AW260)</f>
        <v>121601.0485</v>
      </c>
      <c r="AX261" s="30" t="n">
        <f aca="false">SUM(AX240:AX260)</f>
        <v>80797.05</v>
      </c>
      <c r="AY261" s="30" t="n">
        <f aca="false">SUM(AY240:AY260)</f>
        <v>67849.975</v>
      </c>
      <c r="AZ261" s="30" t="n">
        <f aca="false">SUM(AZ240:AZ260)</f>
        <v>123738.6125</v>
      </c>
      <c r="BA261" s="30" t="n">
        <f aca="false">SUM(BA240:BA260)</f>
        <v>41626.452</v>
      </c>
      <c r="BB261" s="30" t="n">
        <f aca="false">SUM(BB240:BB260)</f>
        <v>41196.286</v>
      </c>
      <c r="BC261" s="30" t="n">
        <f aca="false">SUM(BC240:BC260)</f>
        <v>974287.131</v>
      </c>
      <c r="BD261" s="30" t="n">
        <f aca="false">SUM(BD240:BD260)</f>
        <v>40335.9705</v>
      </c>
      <c r="BE261" s="30" t="n">
        <f aca="false">SUM(BE240:BE260)</f>
        <v>39905.81</v>
      </c>
      <c r="BF261" s="30" t="n">
        <f aca="false">SUM(BF240:BF260)</f>
        <v>170353.6495</v>
      </c>
      <c r="BG261" s="30" t="n">
        <f aca="false">SUM(BG240:BG260)</f>
        <v>39045.489</v>
      </c>
      <c r="BH261" s="30" t="n">
        <f aca="false">SUM(BH240:BH260)</f>
        <v>38615.3285</v>
      </c>
      <c r="BI261" s="30" t="n">
        <f aca="false">SUM(BI240:BI260)</f>
        <v>169061.168</v>
      </c>
      <c r="BJ261" s="30" t="n">
        <f aca="false">SUM(BJ240:BJ260)</f>
        <v>37755.0075</v>
      </c>
      <c r="BK261" s="30" t="n">
        <f aca="false">SUM(BK240:BK260)</f>
        <v>37324.847</v>
      </c>
      <c r="BL261" s="30" t="n">
        <f aca="false">SUM(BL240:BL260)</f>
        <v>167770.692</v>
      </c>
      <c r="BM261" s="30" t="n">
        <f aca="false">SUM(BM240:BM260)</f>
        <v>59965.026</v>
      </c>
      <c r="BN261" s="30" t="n">
        <f aca="false">SUM(BN240:BN260)</f>
        <v>59534.8655</v>
      </c>
      <c r="BO261" s="30" t="n">
        <f aca="false">SUM(BO240:BO260)</f>
        <v>243806.995</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IF(ISBLANK(Actuals!F110),-Helpers!C23+E338,Actuals!F110)</f>
        <v>-0</v>
      </c>
      <c r="F290" s="13" t="n">
        <f aca="false">IF(ISBLANK(Actuals!G110),-Helpers!D23+F338,Actuals!G110)</f>
        <v>-0</v>
      </c>
      <c r="G290" s="13" t="n">
        <f aca="false">IF(ISBLANK(Actuals!H110),-Helpers!E23+G338,Actuals!H110)</f>
        <v>-0</v>
      </c>
      <c r="H290" s="13" t="n">
        <f aca="false">IF(ISBLANK(Actuals!I110),-Helpers!F23+H338,Actuals!I110)</f>
        <v>-0</v>
      </c>
      <c r="I290" s="13" t="n">
        <f aca="false">IF(ISBLANK(Actuals!J110),-Helpers!G23+I338,Actuals!J110)</f>
        <v>-0</v>
      </c>
      <c r="J290" s="13" t="n">
        <f aca="false">IF(ISBLANK(Actuals!K110),-Helpers!H23+J338,Actuals!K110)</f>
        <v>-0</v>
      </c>
      <c r="K290" s="13" t="n">
        <f aca="false">IF(ISBLANK(Actuals!L110),-Helpers!I23+K338,Actuals!L110)</f>
        <v>-0</v>
      </c>
      <c r="L290" s="13" t="n">
        <f aca="false">IF(ISBLANK(Actuals!M110),-Helpers!J23+L338,Actuals!M110)</f>
        <v>-0</v>
      </c>
      <c r="M290" s="13" t="n">
        <f aca="false">IF(ISBLANK(Actuals!N110),-Helpers!K23+M338,Actuals!N110)</f>
        <v>-0</v>
      </c>
      <c r="N290" s="13" t="n">
        <f aca="false">IF(ISBLANK(Actuals!O110),-Helpers!L23+N338,Actuals!O110)</f>
        <v>-0</v>
      </c>
      <c r="O290" s="13" t="n">
        <f aca="false">IF(ISBLANK(Actuals!P110),-Helpers!M23+O338,Actuals!P110)</f>
        <v>-0</v>
      </c>
      <c r="P290" s="13" t="n">
        <f aca="false">IF(ISBLANK(Actuals!Q110),-Helpers!N23+P338,Actuals!Q110)</f>
        <v>-0</v>
      </c>
      <c r="Q290" s="13" t="n">
        <f aca="false">IF(ISBLANK(Actuals!R110),-Helpers!O23+Q338,Actuals!R110)</f>
        <v>-0</v>
      </c>
      <c r="R290" s="13" t="n">
        <f aca="false">IF(ISBLANK(Actuals!S110),-Helpers!P23+R338,Actuals!S110)</f>
        <v>-0</v>
      </c>
      <c r="S290" s="13" t="n">
        <f aca="false">IF(ISBLANK(Actuals!T110),-Helpers!Q23+S338,Actuals!T110)</f>
        <v>-0</v>
      </c>
      <c r="T290" s="13" t="n">
        <f aca="false">IF(ISBLANK(Actuals!U110),-Helpers!R23+T338,Actuals!U110)</f>
        <v>-0</v>
      </c>
      <c r="U290" s="13" t="n">
        <f aca="false">IF(ISBLANK(Actuals!V110),-Helpers!S23+U338,Actuals!V110)</f>
        <v>-0</v>
      </c>
      <c r="V290" s="13" t="n">
        <f aca="false">IF(ISBLANK(Actuals!W110),-Helpers!T23+V338,Actuals!W110)</f>
        <v>-0</v>
      </c>
      <c r="W290" s="13" t="n">
        <f aca="false">IF(ISBLANK(Actuals!X110),-Helpers!U23+W338,Actuals!X110)</f>
        <v>-0</v>
      </c>
      <c r="X290" s="13" t="n">
        <f aca="false">IF(ISBLANK(Actuals!Y110),-Helpers!V23+X338,Actuals!Y110)</f>
        <v>-0</v>
      </c>
      <c r="Y290" s="13" t="n">
        <f aca="false">IF(ISBLANK(Actuals!Z110),-Helpers!W23+Y338,Actuals!Z110)</f>
        <v>-0</v>
      </c>
      <c r="Z290" s="13" t="n">
        <f aca="false">IF(ISBLANK(Actuals!AA110),-Helpers!X23+Z338,Actuals!AA110)</f>
        <v>-0</v>
      </c>
      <c r="AA290" s="13" t="n">
        <f aca="false">IF(ISBLANK(Actuals!AB110),-Helpers!Y23+AA338,Actuals!AB110)</f>
        <v>-0</v>
      </c>
      <c r="AB290" s="13" t="n">
        <f aca="false">IF(ISBLANK(Actuals!AC110),-Helpers!Z23+AB338,Actuals!AC110)</f>
        <v>-0</v>
      </c>
      <c r="AC290" s="13" t="n">
        <f aca="false">IF(ISBLANK(Actuals!AD110),-Helpers!AA23+AC338,Actuals!AD110)</f>
        <v>-0</v>
      </c>
      <c r="AD290" s="13" t="n">
        <f aca="false">IF(ISBLANK(Actuals!AE110),-Helpers!AB23+AD338,Actuals!AE110)</f>
        <v>-0</v>
      </c>
      <c r="AE290" s="13" t="n">
        <f aca="false">IF(ISBLANK(Actuals!AF110),-Helpers!AC23+AE338,Actuals!AF110)</f>
        <v>-0</v>
      </c>
      <c r="AF290" s="13" t="n">
        <f aca="false">IF(ISBLANK(Actuals!AG110),-Helpers!AD23+AF338,Actuals!AG110)</f>
        <v>-0</v>
      </c>
      <c r="AG290" s="13" t="n">
        <f aca="false">IF(ISBLANK(Actuals!AH110),-Helpers!AE23+AG338,Actuals!AH110)</f>
        <v>-0</v>
      </c>
      <c r="AH290" s="13" t="n">
        <f aca="false">IF(ISBLANK(Actuals!AI110),-Helpers!AF23+AH338,Actuals!AI110)</f>
        <v>-0</v>
      </c>
      <c r="AI290" s="13" t="n">
        <f aca="false">IF(ISBLANK(Actuals!AJ110),-Helpers!AG23+AI338,Actuals!AJ110)</f>
        <v>-0</v>
      </c>
      <c r="AJ290" s="13" t="n">
        <f aca="false">IF(ISBLANK(Actuals!AK110),-Helpers!AH23+AJ338,Actuals!AK110)</f>
        <v>-0</v>
      </c>
      <c r="AK290" s="13" t="n">
        <f aca="false">IF(ISBLANK(Actuals!AL110),-Helpers!AI23+AK338,Actuals!AL110)</f>
        <v>-0</v>
      </c>
      <c r="AL290" s="13" t="n">
        <f aca="false">IF(ISBLANK(Actuals!AM110),-Helpers!AJ23+AL338,Actuals!AM110)</f>
        <v>-0</v>
      </c>
      <c r="AM290" s="13" t="n">
        <f aca="false">IF(ISBLANK(Actuals!AN110),-Helpers!AK23+AM338,Actuals!AN110)</f>
        <v>-0</v>
      </c>
      <c r="AN290" s="13" t="n">
        <f aca="false">IF(ISBLANK(Actuals!AO110),-Helpers!AL23+AN338,Actuals!AO110)</f>
        <v>-0</v>
      </c>
      <c r="AO290" s="13" t="n">
        <f aca="false">IF(ISBLANK(Actuals!AP110),-Helpers!AM23+AO338,Actuals!AP110)</f>
        <v>-0</v>
      </c>
      <c r="AP290" s="13" t="n">
        <f aca="false">IF(ISBLANK(Actuals!AQ110),-Helpers!AN23+AP338,Actuals!AQ110)</f>
        <v>-0</v>
      </c>
      <c r="AQ290" s="13" t="n">
        <f aca="false">IF(ISBLANK(Actuals!AR110),-Helpers!AO23+AQ338,Actuals!AR110)</f>
        <v>-0</v>
      </c>
      <c r="AR290" s="13" t="n">
        <f aca="false">IF(ISBLANK(Actuals!AS110),-Helpers!AP23+AR338,Actuals!AS110)</f>
        <v>-0</v>
      </c>
      <c r="AS290" s="13" t="n">
        <f aca="false">IF(ISBLANK(Actuals!AT110),-Helpers!AQ23+AS338,Actuals!AT110)</f>
        <v>-0</v>
      </c>
      <c r="AT290" s="13" t="n">
        <f aca="false">IF(ISBLANK(Actuals!AU110),-Helpers!AR23+AT338,Actuals!AU110)</f>
        <v>-0</v>
      </c>
      <c r="AU290" s="13" t="n">
        <f aca="false">IF(ISBLANK(Actuals!AV110),-Helpers!AS23+AU338,Actuals!AV110)</f>
        <v>-0</v>
      </c>
      <c r="AV290" s="13" t="n">
        <f aca="false">IF(ISBLANK(Actuals!AW110),-Helpers!AT23+AV338,Actuals!AW110)</f>
        <v>-0</v>
      </c>
      <c r="AW290" s="13" t="n">
        <f aca="false">IF(ISBLANK(Actuals!AX110),-Helpers!AU23+AW338,Actuals!AX110)</f>
        <v>-0</v>
      </c>
      <c r="AX290" s="13" t="n">
        <f aca="false">IF(ISBLANK(Actuals!AY110),-Helpers!AV23+AX338,Actuals!AY110)</f>
        <v>-0</v>
      </c>
      <c r="AY290" s="13" t="n">
        <f aca="false">IF(ISBLANK(Actuals!AZ110),-Helpers!AW23+AY338,Actuals!AZ110)</f>
        <v>-0</v>
      </c>
      <c r="AZ290" s="13" t="n">
        <f aca="false">IF(ISBLANK(Actuals!BA110),-Helpers!AX23+AZ338,Actuals!BA110)</f>
        <v>-0</v>
      </c>
      <c r="BA290" s="13" t="n">
        <f aca="false">IF(ISBLANK(Actuals!BB110),-Helpers!AY23+BA338,Actuals!BB110)</f>
        <v>-0</v>
      </c>
      <c r="BB290" s="13" t="n">
        <f aca="false">IF(ISBLANK(Actuals!BC110),-Helpers!AZ23+BB338,Actuals!BC110)</f>
        <v>-0</v>
      </c>
      <c r="BC290" s="13" t="n">
        <f aca="false">IF(ISBLANK(Actuals!BD110),-Helpers!BA23+BC338,Actuals!BD110)</f>
        <v>-851839</v>
      </c>
      <c r="BD290" s="13" t="n">
        <f aca="false">IF(ISBLANK(Actuals!BE110),-Helpers!BB23+BD338,Actuals!BE110)</f>
        <v>-0</v>
      </c>
      <c r="BE290" s="13" t="n">
        <f aca="false">IF(ISBLANK(Actuals!BF110),-Helpers!BC23+BE338,Actuals!BF110)</f>
        <v>-0</v>
      </c>
      <c r="BF290" s="13" t="n">
        <f aca="false">IF(ISBLANK(Actuals!BG110),-Helpers!BD23+BF338,Actuals!BG110)</f>
        <v>-71700</v>
      </c>
      <c r="BG290" s="13" t="n">
        <f aca="false">IF(ISBLANK(Actuals!BH110),-Helpers!BE23+BG338,Actuals!BH110)</f>
        <v>-0</v>
      </c>
      <c r="BH290" s="13" t="n">
        <f aca="false">IF(ISBLANK(Actuals!BI110),-Helpers!BF23+BH338,Actuals!BI110)</f>
        <v>-0</v>
      </c>
      <c r="BI290" s="13" t="n">
        <f aca="false">IF(ISBLANK(Actuals!BJ110),-Helpers!BG23+BI338,Actuals!BJ110)</f>
        <v>-71700</v>
      </c>
      <c r="BJ290" s="13" t="n">
        <f aca="false">IF(ISBLANK(Actuals!BK110),-Helpers!BH23+BJ338,Actuals!BK110)</f>
        <v>-0</v>
      </c>
      <c r="BK290" s="13" t="n">
        <f aca="false">IF(ISBLANK(Actuals!BL110),-Helpers!BI23+BK338,Actuals!BL110)</f>
        <v>-0</v>
      </c>
      <c r="BL290" s="13" t="n">
        <f aca="false">IF(ISBLANK(Actuals!BM110),-Helpers!BJ23+BL338,Actuals!BM110)</f>
        <v>-71700</v>
      </c>
      <c r="BM290" s="13" t="n">
        <f aca="false">IF(ISBLANK(Actuals!BN110),-Helpers!BK23+BM338,Actuals!BN110)</f>
        <v>-0</v>
      </c>
      <c r="BN290" s="13" t="n">
        <f aca="false">IF(ISBLANK(Actuals!BO110),-Helpers!BL23+BN338,Actuals!BO110)</f>
        <v>-0</v>
      </c>
      <c r="BO290" s="13" t="n">
        <f aca="false">IF(ISBLANK(Actuals!BP110),-Helpers!BM23+BO338,Actuals!BP110)</f>
        <v>-71700</v>
      </c>
      <c r="BP290" s="13" t="n">
        <f aca="false">IF(ISBLANK(Actuals!BQ110),-Helpers!BN23+BP338,Actuals!BQ110)</f>
        <v>-0</v>
      </c>
      <c r="BQ290" s="13" t="n">
        <f aca="false">IF(ISBLANK(Actuals!BR110),-Helpers!BO23+BQ338,Actuals!BR110)</f>
        <v>-0</v>
      </c>
      <c r="BR290" s="13" t="n">
        <f aca="false">IF(ISBLANK(Actuals!BS110),-Helpers!BP23+BR338,Actuals!BS110)</f>
        <v>-74643</v>
      </c>
      <c r="BS290" s="13" t="n">
        <f aca="false">IF(ISBLANK(Actuals!BT110),-Helpers!BQ23+BS338,Actuals!BT110)</f>
        <v>-0</v>
      </c>
      <c r="BT290" s="13" t="n">
        <f aca="false">IF(ISBLANK(Actuals!BU110),-Helpers!BR23+BT338,Actuals!BU110)</f>
        <v>-0</v>
      </c>
      <c r="BU290" s="13" t="n">
        <f aca="false">IF(ISBLANK(Actuals!BV110),-Helpers!BS23+BU338,Actuals!BV110)</f>
        <v>-74640</v>
      </c>
      <c r="BV290" s="13" t="n">
        <f aca="false">IF(ISBLANK(Actuals!BW110),-Helpers!BT23+BV338,Actuals!BW110)</f>
        <v>-0</v>
      </c>
      <c r="BW290" s="13" t="n">
        <f aca="false">IF(ISBLANK(Actuals!BX110),-Helpers!BU23+BW338,Actuals!BX110)</f>
        <v>-0</v>
      </c>
      <c r="BX290" s="13" t="n">
        <f aca="false">IF(ISBLANK(Actuals!BY110),-Helpers!BV23+BX338,Actuals!BY110)</f>
        <v>-74640</v>
      </c>
      <c r="BY290" s="13" t="n">
        <f aca="false">IF(ISBLANK(Actuals!BZ110),-Helpers!BW23+BY338,Actuals!BZ110)</f>
        <v>-0</v>
      </c>
      <c r="BZ290" s="13" t="n">
        <f aca="false">IF(ISBLANK(Actuals!CA110),-Helpers!BX23+BZ338,Actuals!CA110)</f>
        <v>-0</v>
      </c>
      <c r="CA290" s="13" t="n">
        <f aca="false">IF(ISBLANK(Actuals!CB110),-Helpers!BY23+CA338,Actuals!CB110)</f>
        <v>-74640</v>
      </c>
      <c r="CB290" s="13" t="n">
        <f aca="false">IF(ISBLANK(Actuals!CC110),-Helpers!BZ23+CB338,Actuals!CC110)</f>
        <v>-0</v>
      </c>
      <c r="CC290" s="13" t="n">
        <f aca="false">IF(ISBLANK(Actuals!CD110),-Helpers!CA23+CC338,Actuals!CD110)</f>
        <v>-0</v>
      </c>
      <c r="CD290" s="13" t="n">
        <f aca="false">IF(ISBLANK(Actuals!CE110),-Helpers!CB23+CD338,Actuals!CE110)</f>
        <v>-81363</v>
      </c>
      <c r="CE290" s="13" t="n">
        <f aca="false">IF(ISBLANK(Actuals!CF110),-Helpers!CC23+CE338,Actuals!CF110)</f>
        <v>-0</v>
      </c>
      <c r="CF290" s="13" t="n">
        <f aca="false">IF(ISBLANK(Actuals!CG110),-Helpers!CD23+CF338,Actuals!CG110)</f>
        <v>-0</v>
      </c>
      <c r="CG290" s="13" t="n">
        <f aca="false">IF(ISBLANK(Actuals!CH110),-Helpers!CE23+CG338,Actuals!CH110)</f>
        <v>-81362</v>
      </c>
      <c r="CH290" s="13" t="n">
        <f aca="false">IF(ISBLANK(Actuals!CI110),-Helpers!CF23+CH338,Actuals!CI110)</f>
        <v>-0</v>
      </c>
      <c r="CI290" s="13" t="n">
        <f aca="false">IF(ISBLANK(Actuals!CJ110),-Helpers!CG23+CI338,Actuals!CJ110)</f>
        <v>-0</v>
      </c>
      <c r="CJ290" s="13" t="n">
        <f aca="false">IF(ISBLANK(Actuals!CK110),-Helpers!CH23+CJ338,Actuals!CK110)</f>
        <v>-74753.9733935208</v>
      </c>
      <c r="CK290" s="13" t="n">
        <f aca="false">IF(ISBLANK(Actuals!CL110),-Helpers!CI23+CK338,Actuals!CL110)</f>
        <v>-0</v>
      </c>
      <c r="CL290" s="13" t="n">
        <f aca="false">IF(ISBLANK(Actuals!CM110),-Helpers!CJ23+CL338,Actuals!CM110)</f>
        <v>-0</v>
      </c>
      <c r="CM290" s="13" t="n">
        <f aca="false">IF(ISBLANK(Actuals!CN110),-Helpers!CK23+CM338,Actuals!CN110)</f>
        <v>-0</v>
      </c>
      <c r="CN290" s="13" t="n">
        <f aca="false">IF(ISBLANK(Actuals!CO110),-Helpers!CL23+CN338,Actuals!CO110)</f>
        <v>-0</v>
      </c>
      <c r="CO290" s="13" t="n">
        <f aca="false">IF(ISBLANK(Actuals!CP110),-Helpers!CM23+CO338,Actuals!CP110)</f>
        <v>-0</v>
      </c>
      <c r="CP290" s="13" t="n">
        <f aca="false">IF(ISBLANK(Actuals!CQ110),-Helpers!CN23+CP338,Actuals!CQ110)</f>
        <v>-0</v>
      </c>
      <c r="CQ290" s="13" t="n">
        <f aca="false">IF(ISBLANK(Actuals!CR110),-Helpers!CO23+CQ338,Actuals!CR110)</f>
        <v>-0</v>
      </c>
      <c r="CR290" s="13" t="n">
        <f aca="false">IF(ISBLANK(Actuals!CS110),-Helpers!CP23+CR338,Actuals!CS110)</f>
        <v>-0</v>
      </c>
      <c r="CS290" s="13" t="n">
        <f aca="false">IF(ISBLANK(Actuals!CT110),-Helpers!CQ23+CS338,Actuals!CT110)</f>
        <v>-0</v>
      </c>
      <c r="CT290" s="13" t="n">
        <f aca="false">IF(ISBLANK(Actuals!CU110),-Helpers!CR23+CT338,Actuals!CU110)</f>
        <v>-0</v>
      </c>
      <c r="CU290" s="13" t="n">
        <f aca="false">IF(ISBLANK(Actuals!CV110),-Helpers!CS23+CU338,Actuals!CV110)</f>
        <v>-0</v>
      </c>
      <c r="CV290" s="13" t="n">
        <f aca="false">IF(ISBLANK(Actuals!CW110),-Helpers!CT23+CV338,Actuals!CW110)</f>
        <v>-0</v>
      </c>
      <c r="CW290" s="13" t="n">
        <f aca="false">IF(ISBLANK(Actuals!CX110),-Helpers!CU23+CW338,Actuals!CX110)</f>
        <v>-0</v>
      </c>
      <c r="CX290" s="13" t="n">
        <f aca="false">IF(ISBLANK(Actuals!CY110),-Helpers!CV23+CX338,Actuals!CY110)</f>
        <v>-0</v>
      </c>
      <c r="CY290" s="13" t="n">
        <f aca="false">IF(ISBLANK(Actuals!CZ110),-Helpers!CW23+CY338,Actuals!CZ110)</f>
        <v>-0</v>
      </c>
      <c r="CZ290" s="13" t="n">
        <f aca="false">IF(ISBLANK(Actuals!DA110),-Helpers!CX23+CZ338,Actuals!DA110)</f>
        <v>-0</v>
      </c>
      <c r="DA290" s="13" t="n">
        <f aca="false">IF(ISBLANK(Actuals!DB110),-Helpers!CY23+DA338,Actuals!DB110)</f>
        <v>-0</v>
      </c>
      <c r="DB290" s="13" t="n">
        <f aca="false">IF(ISBLANK(Actuals!DC110),-Helpers!CZ23+DB338,Actuals!DC110)</f>
        <v>-0</v>
      </c>
      <c r="DC290" s="13" t="n">
        <f aca="false">IF(ISBLANK(Actuals!DD110),-Helpers!DA23+DC338,Actuals!DD110)</f>
        <v>-0</v>
      </c>
      <c r="DD290" s="13" t="n">
        <f aca="false">IF(ISBLANK(Actuals!DE110),-Helpers!DB23+DD338,Actuals!DE110)</f>
        <v>-0</v>
      </c>
      <c r="DE290" s="13" t="n">
        <f aca="false">IF(ISBLANK(Actuals!DF110),-Helpers!DC23+DE338,Actuals!DF110)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IF(ISBLANK(Actuals!F111),-Helpers!C26+E333,Actuals!F111)</f>
        <v>-0</v>
      </c>
      <c r="F291" s="13" t="n">
        <f aca="false">IF(ISBLANK(Actuals!G111),-Helpers!D26+F333,Actuals!G111)</f>
        <v>-0</v>
      </c>
      <c r="G291" s="13" t="n">
        <f aca="false">IF(ISBLANK(Actuals!H111),-Helpers!E26+G333,Actuals!H111)</f>
        <v>-0</v>
      </c>
      <c r="H291" s="13" t="n">
        <f aca="false">IF(ISBLANK(Actuals!I111),-Helpers!F26+H333,Actuals!I111)</f>
        <v>-0</v>
      </c>
      <c r="I291" s="13" t="n">
        <f aca="false">IF(ISBLANK(Actuals!J111),-Helpers!G26+I333,Actuals!J111)</f>
        <v>-0</v>
      </c>
      <c r="J291" s="13" t="n">
        <f aca="false">IF(ISBLANK(Actuals!K111),-Helpers!H26+J333,Actuals!K111)</f>
        <v>-0</v>
      </c>
      <c r="K291" s="13" t="n">
        <f aca="false">IF(ISBLANK(Actuals!L111),-Helpers!I26+K333,Actuals!L111)</f>
        <v>-0</v>
      </c>
      <c r="L291" s="13" t="n">
        <f aca="false">IF(ISBLANK(Actuals!M111),-Helpers!J26+L333,Actuals!M111)</f>
        <v>-0</v>
      </c>
      <c r="M291" s="13" t="n">
        <f aca="false">IF(ISBLANK(Actuals!N111),-Helpers!K26+M333,Actuals!N111)</f>
        <v>-0</v>
      </c>
      <c r="N291" s="13" t="n">
        <f aca="false">IF(ISBLANK(Actuals!O111),-Helpers!L26+N333,Actuals!O111)</f>
        <v>-0</v>
      </c>
      <c r="O291" s="13" t="n">
        <f aca="false">IF(ISBLANK(Actuals!P111),-Helpers!M26+O333,Actuals!P111)</f>
        <v>-0</v>
      </c>
      <c r="P291" s="13" t="n">
        <f aca="false">IF(ISBLANK(Actuals!Q111),-Helpers!N26+P333,Actuals!Q111)</f>
        <v>-0</v>
      </c>
      <c r="Q291" s="13" t="n">
        <f aca="false">IF(ISBLANK(Actuals!R111),-Helpers!O26+Q333,Actuals!R111)</f>
        <v>-0</v>
      </c>
      <c r="R291" s="13" t="n">
        <f aca="false">IF(ISBLANK(Actuals!S111),-Helpers!P26+R333,Actuals!S111)</f>
        <v>-0</v>
      </c>
      <c r="S291" s="13" t="n">
        <f aca="false">IF(ISBLANK(Actuals!T111),-Helpers!Q26+S333,Actuals!T111)</f>
        <v>-0</v>
      </c>
      <c r="T291" s="13" t="n">
        <f aca="false">IF(ISBLANK(Actuals!U111),-Helpers!R26+T333,Actuals!U111)</f>
        <v>-0</v>
      </c>
      <c r="U291" s="13" t="n">
        <f aca="false">IF(ISBLANK(Actuals!V111),-Helpers!S26+U333,Actuals!V111)</f>
        <v>-0</v>
      </c>
      <c r="V291" s="13" t="n">
        <f aca="false">IF(ISBLANK(Actuals!W111),-Helpers!T26+V333,Actuals!W111)</f>
        <v>-0</v>
      </c>
      <c r="W291" s="13" t="n">
        <f aca="false">IF(ISBLANK(Actuals!X111),-Helpers!U26+W333,Actuals!X111)</f>
        <v>-0</v>
      </c>
      <c r="X291" s="13" t="n">
        <f aca="false">IF(ISBLANK(Actuals!Y111),-Helpers!V26+X333,Actuals!Y111)</f>
        <v>-0</v>
      </c>
      <c r="Y291" s="13" t="n">
        <f aca="false">IF(ISBLANK(Actuals!Z111),-Helpers!W26+Y333,Actuals!Z111)</f>
        <v>-0</v>
      </c>
      <c r="Z291" s="13" t="n">
        <f aca="false">IF(ISBLANK(Actuals!AA111),-Helpers!X26+Z333,Actuals!AA111)</f>
        <v>-0</v>
      </c>
      <c r="AA291" s="13" t="n">
        <f aca="false">IF(ISBLANK(Actuals!AB111),-Helpers!Y26+AA333,Actuals!AB111)</f>
        <v>-0</v>
      </c>
      <c r="AB291" s="13" t="n">
        <f aca="false">IF(ISBLANK(Actuals!AC111),-Helpers!Z26+AB333,Actuals!AC111)</f>
        <v>-0</v>
      </c>
      <c r="AC291" s="13" t="n">
        <f aca="false">IF(ISBLANK(Actuals!AD111),-Helpers!AA26+AC333,Actuals!AD111)</f>
        <v>-0</v>
      </c>
      <c r="AD291" s="13" t="n">
        <f aca="false">IF(ISBLANK(Actuals!AE111),-Helpers!AB26+AD333,Actuals!AE111)</f>
        <v>-0</v>
      </c>
      <c r="AE291" s="13" t="n">
        <f aca="false">IF(ISBLANK(Actuals!AF111),-Helpers!AC26+AE333,Actuals!AF111)</f>
        <v>-0</v>
      </c>
      <c r="AF291" s="13" t="n">
        <f aca="false">IF(ISBLANK(Actuals!AG111),-Helpers!AD26+AF333,Actuals!AG111)</f>
        <v>-0</v>
      </c>
      <c r="AG291" s="13" t="n">
        <f aca="false">IF(ISBLANK(Actuals!AH111),-Helpers!AE26+AG333,Actuals!AH111)</f>
        <v>-0</v>
      </c>
      <c r="AH291" s="13" t="n">
        <f aca="false">IF(ISBLANK(Actuals!AI111),-Helpers!AF26+AH333,Actuals!AI111)</f>
        <v>-0</v>
      </c>
      <c r="AI291" s="13" t="n">
        <f aca="false">IF(ISBLANK(Actuals!AJ111),-Helpers!AG26+AI333,Actuals!AJ111)</f>
        <v>-0</v>
      </c>
      <c r="AJ291" s="13" t="n">
        <f aca="false">IF(ISBLANK(Actuals!AK111),-Helpers!AH26+AJ333,Actuals!AK111)</f>
        <v>-0</v>
      </c>
      <c r="AK291" s="13" t="n">
        <f aca="false">IF(ISBLANK(Actuals!AL111),-Helpers!AI26+AK333,Actuals!AL111)</f>
        <v>-0</v>
      </c>
      <c r="AL291" s="13" t="n">
        <f aca="false">IF(ISBLANK(Actuals!AM111),-Helpers!AJ26+AL333,Actuals!AM111)</f>
        <v>-0</v>
      </c>
      <c r="AM291" s="13" t="n">
        <f aca="false">IF(ISBLANK(Actuals!AN111),-Helpers!AK26+AM333,Actuals!AN111)</f>
        <v>-0</v>
      </c>
      <c r="AN291" s="13" t="n">
        <f aca="false">IF(ISBLANK(Actuals!AO111),-Helpers!AL26+AN333,Actuals!AO111)</f>
        <v>-0</v>
      </c>
      <c r="AO291" s="13" t="n">
        <f aca="false">IF(ISBLANK(Actuals!AP111),-Helpers!AM26+AO333,Actuals!AP111)</f>
        <v>-0</v>
      </c>
      <c r="AP291" s="13" t="n">
        <f aca="false">IF(ISBLANK(Actuals!AQ111),-Helpers!AN26+AP333,Actuals!AQ111)</f>
        <v>-0</v>
      </c>
      <c r="AQ291" s="13" t="n">
        <f aca="false">IF(ISBLANK(Actuals!AR111),-Helpers!AO26+AQ333,Actuals!AR111)</f>
        <v>-0</v>
      </c>
      <c r="AR291" s="13" t="n">
        <f aca="false">IF(ISBLANK(Actuals!AS111),-Helpers!AP26+AR333,Actuals!AS111)</f>
        <v>-0</v>
      </c>
      <c r="AS291" s="13" t="n">
        <f aca="false">IF(ISBLANK(Actuals!AT111),-Helpers!AQ26+AS333,Actuals!AT111)</f>
        <v>-0</v>
      </c>
      <c r="AT291" s="13" t="n">
        <f aca="false">IF(ISBLANK(Actuals!AU111),-Helpers!AR26+AT333,Actuals!AU111)</f>
        <v>-0</v>
      </c>
      <c r="AU291" s="13" t="n">
        <f aca="false">IF(ISBLANK(Actuals!AV111),-Helpers!AS26+AU333,Actuals!AV111)</f>
        <v>-0</v>
      </c>
      <c r="AV291" s="13" t="n">
        <f aca="false">IF(ISBLANK(Actuals!AW111),-Helpers!AT26+AV333,Actuals!AW111)</f>
        <v>-0</v>
      </c>
      <c r="AW291" s="13" t="n">
        <f aca="false">IF(ISBLANK(Actuals!AX111),-Helpers!AU26+AW333,Actuals!AX111)</f>
        <v>-0</v>
      </c>
      <c r="AX291" s="13" t="n">
        <f aca="false">IF(ISBLANK(Actuals!AY111),-Helpers!AV26+AX333,Actuals!AY111)</f>
        <v>-0</v>
      </c>
      <c r="AY291" s="13" t="n">
        <f aca="false">IF(ISBLANK(Actuals!AZ111),-Helpers!AW26+AY333,Actuals!AZ111)</f>
        <v>-0</v>
      </c>
      <c r="AZ291" s="13" t="n">
        <f aca="false">IF(ISBLANK(Actuals!BA111),-Helpers!AX26+AZ333,Actuals!BA111)</f>
        <v>-0</v>
      </c>
      <c r="BA291" s="13" t="n">
        <f aca="false">IF(ISBLANK(Actuals!BB111),-Helpers!AY26+BA333,Actuals!BB111)</f>
        <v>-0</v>
      </c>
      <c r="BB291" s="13" t="n">
        <f aca="false">IF(ISBLANK(Actuals!BC111),-Helpers!AZ26+BB333,Actuals!BC111)</f>
        <v>-0</v>
      </c>
      <c r="BC291" s="13" t="n">
        <f aca="false">IF(ISBLANK(Actuals!BD111),-Helpers!BA26+BC333,Actuals!BD111)</f>
        <v>-0</v>
      </c>
      <c r="BD291" s="13" t="n">
        <f aca="false">IF(ISBLANK(Actuals!BE111),-Helpers!BB26+BD333,Actuals!BE111)</f>
        <v>-0</v>
      </c>
      <c r="BE291" s="13" t="n">
        <f aca="false">IF(ISBLANK(Actuals!BF111),-Helpers!BC26+BE333,Actuals!BF111)</f>
        <v>-0</v>
      </c>
      <c r="BF291" s="13" t="n">
        <f aca="false">IF(ISBLANK(Actuals!BG111),-Helpers!BD26+BF333,Actuals!BG111)</f>
        <v>-0</v>
      </c>
      <c r="BG291" s="13" t="n">
        <f aca="false">IF(ISBLANK(Actuals!BH111),-Helpers!BE26+BG333,Actuals!BH111)</f>
        <v>-0</v>
      </c>
      <c r="BH291" s="13" t="n">
        <f aca="false">IF(ISBLANK(Actuals!BI111),-Helpers!BF26+BH333,Actuals!BI111)</f>
        <v>-0</v>
      </c>
      <c r="BI291" s="13" t="n">
        <f aca="false">IF(ISBLANK(Actuals!BJ111),-Helpers!BG26+BI333,Actuals!BJ111)</f>
        <v>-0</v>
      </c>
      <c r="BJ291" s="13" t="n">
        <f aca="false">IF(ISBLANK(Actuals!BK111),-Helpers!BH26+BJ333,Actuals!BK111)</f>
        <v>-0</v>
      </c>
      <c r="BK291" s="13" t="n">
        <f aca="false">IF(ISBLANK(Actuals!BL111),-Helpers!BI26+BK333,Actuals!BL111)</f>
        <v>-0</v>
      </c>
      <c r="BL291" s="13" t="n">
        <f aca="false">IF(ISBLANK(Actuals!BM111),-Helpers!BJ26+BL333,Actuals!BM111)</f>
        <v>-0</v>
      </c>
      <c r="BM291" s="13" t="n">
        <f aca="false">IF(ISBLANK(Actuals!BN111),-Helpers!BK26+BM333,Actuals!BN111)</f>
        <v>-0</v>
      </c>
      <c r="BN291" s="13" t="n">
        <f aca="false">IF(ISBLANK(Actuals!BO111),-Helpers!BL26+BN333,Actuals!BO111)</f>
        <v>-0</v>
      </c>
      <c r="BO291" s="13" t="n">
        <f aca="false">IF(ISBLANK(Actuals!BP111),-Helpers!BM26+BO333,Actuals!BP111)</f>
        <v>-0</v>
      </c>
      <c r="BP291" s="13" t="n">
        <f aca="false">IF(ISBLANK(Actuals!BQ111),-Helpers!BN26+BP333,Actuals!BQ111)</f>
        <v>-0</v>
      </c>
      <c r="BQ291" s="13" t="n">
        <f aca="false">IF(ISBLANK(Actuals!BR111),-Helpers!BO26+BQ333,Actuals!BR111)</f>
        <v>-0</v>
      </c>
      <c r="BR291" s="13" t="n">
        <f aca="false">IF(ISBLANK(Actuals!BS111),-Helpers!BP26+BR333,Actuals!BS111)</f>
        <v>-0</v>
      </c>
      <c r="BS291" s="13" t="n">
        <f aca="false">IF(ISBLANK(Actuals!BT111),-Helpers!BQ26+BS333,Actuals!BT111)</f>
        <v>-0</v>
      </c>
      <c r="BT291" s="13" t="n">
        <f aca="false">IF(ISBLANK(Actuals!BU111),-Helpers!BR26+BT333,Actuals!BU111)</f>
        <v>-0</v>
      </c>
      <c r="BU291" s="13" t="n">
        <f aca="false">IF(ISBLANK(Actuals!BV111),-Helpers!BS26+BU333,Actuals!BV111)</f>
        <v>-0</v>
      </c>
      <c r="BV291" s="13" t="n">
        <f aca="false">IF(ISBLANK(Actuals!BW111),-Helpers!BT26+BV333,Actuals!BW111)</f>
        <v>-0</v>
      </c>
      <c r="BW291" s="13" t="n">
        <f aca="false">IF(ISBLANK(Actuals!BX111),-Helpers!BU26+BW333,Actuals!BX111)</f>
        <v>-0</v>
      </c>
      <c r="BX291" s="13" t="n">
        <f aca="false">IF(ISBLANK(Actuals!BY111),-Helpers!BV26+BX333,Actuals!BY111)</f>
        <v>-0</v>
      </c>
      <c r="BY291" s="13" t="n">
        <f aca="false">IF(ISBLANK(Actuals!BZ111),-Helpers!BW26+BY333,Actuals!BZ111)</f>
        <v>-0</v>
      </c>
      <c r="BZ291" s="13" t="n">
        <f aca="false">IF(ISBLANK(Actuals!CA111),-Helpers!BX26+BZ333,Actuals!CA111)</f>
        <v>-0</v>
      </c>
      <c r="CA291" s="13" t="n">
        <f aca="false">IF(ISBLANK(Actuals!CB111),-Helpers!BY26+CA333,Actuals!CB111)</f>
        <v>-73156</v>
      </c>
      <c r="CB291" s="13" t="n">
        <f aca="false">IF(ISBLANK(Actuals!CC111),-Helpers!BZ26+CB333,Actuals!CC111)</f>
        <v>-0</v>
      </c>
      <c r="CC291" s="13" t="n">
        <f aca="false">IF(ISBLANK(Actuals!CD111),-Helpers!CA26+CC333,Actuals!CD111)</f>
        <v>-0</v>
      </c>
      <c r="CD291" s="13" t="n">
        <f aca="false">IF(ISBLANK(Actuals!CE111),-Helpers!CB26+CD333,Actuals!CE111)</f>
        <v>-73155</v>
      </c>
      <c r="CE291" s="13" t="n">
        <f aca="false">IF(ISBLANK(Actuals!CF111),-Helpers!CC26+CE333,Actuals!CF111)</f>
        <v>-0</v>
      </c>
      <c r="CF291" s="13" t="n">
        <f aca="false">IF(ISBLANK(Actuals!CG111),-Helpers!CD26+CF333,Actuals!CG111)</f>
        <v>-0</v>
      </c>
      <c r="CG291" s="13" t="n">
        <f aca="false">IF(ISBLANK(Actuals!CH111),-Helpers!CE26+CG333,Actuals!CH111)</f>
        <v>-73155</v>
      </c>
      <c r="CH291" s="13" t="n">
        <f aca="false">IF(ISBLANK(Actuals!CI111),-Helpers!CF26+CH333,Actuals!CI111)</f>
        <v>-0</v>
      </c>
      <c r="CI291" s="13" t="n">
        <f aca="false">IF(ISBLANK(Actuals!CJ111),-Helpers!CG26+CI333,Actuals!CJ111)</f>
        <v>-0</v>
      </c>
      <c r="CJ291" s="13" t="n">
        <f aca="false">IF(ISBLANK(Actuals!CK111),-Helpers!CH26+CJ333,Actuals!CK111)</f>
        <v>-73155</v>
      </c>
      <c r="CK291" s="13" t="n">
        <f aca="false">IF(ISBLANK(Actuals!CL111),-Helpers!CI26+CK333,Actuals!CL111)</f>
        <v>-73155</v>
      </c>
      <c r="CL291" s="13" t="n">
        <f aca="false">IF(ISBLANK(Actuals!CM111),-Helpers!CJ26+CL333,Actuals!CM111)</f>
        <v>-73155</v>
      </c>
      <c r="CM291" s="13" t="n">
        <f aca="false">IF(ISBLANK(Actuals!CN111),-Helpers!CK26+CM333,Actuals!CN111)</f>
        <v>-73155</v>
      </c>
      <c r="CN291" s="13" t="n">
        <f aca="false">IF(ISBLANK(Actuals!CO111),-Helpers!CL26+CN333,Actuals!CO111)</f>
        <v>-73155</v>
      </c>
      <c r="CO291" s="13" t="n">
        <f aca="false">IF(ISBLANK(Actuals!CP111),-Helpers!CM26+CO333,Actuals!CP111)</f>
        <v>-73155</v>
      </c>
      <c r="CP291" s="13" t="n">
        <f aca="false">IF(ISBLANK(Actuals!CQ111),-Helpers!CN26+CP333,Actuals!CQ111)</f>
        <v>-73155</v>
      </c>
      <c r="CQ291" s="13" t="n">
        <f aca="false">IF(ISBLANK(Actuals!CR111),-Helpers!CO26+CQ333,Actuals!CR111)</f>
        <v>-73155</v>
      </c>
      <c r="CR291" s="13" t="n">
        <f aca="false">IF(ISBLANK(Actuals!CS111),-Helpers!CP26+CR333,Actuals!CS111)</f>
        <v>-73155</v>
      </c>
      <c r="CS291" s="13" t="n">
        <f aca="false">IF(ISBLANK(Actuals!CT111),-Helpers!CQ26+CS333,Actuals!CT111)</f>
        <v>-73155</v>
      </c>
      <c r="CT291" s="13" t="n">
        <f aca="false">IF(ISBLANK(Actuals!CU111),-Helpers!CR26+CT333,Actuals!CU111)</f>
        <v>-73155</v>
      </c>
      <c r="CU291" s="13" t="n">
        <f aca="false">IF(ISBLANK(Actuals!CV111),-Helpers!CS26+CU333,Actuals!CV111)</f>
        <v>-73155</v>
      </c>
      <c r="CV291" s="13" t="n">
        <f aca="false">IF(ISBLANK(Actuals!CW111),-Helpers!CT26+CV333,Actuals!CW111)</f>
        <v>-73155</v>
      </c>
      <c r="CW291" s="13" t="n">
        <f aca="false">IF(ISBLANK(Actuals!CX111),-Helpers!CU26+CW333,Actuals!CX111)</f>
        <v>-17446.8489364072</v>
      </c>
      <c r="CX291" s="13" t="n">
        <f aca="false">IF(ISBLANK(Actuals!CY111),-Helpers!CV26+CX333,Actuals!CY111)</f>
        <v>-0</v>
      </c>
      <c r="CY291" s="13" t="n">
        <f aca="false">IF(ISBLANK(Actuals!CZ111),-Helpers!CW26+CY333,Actuals!CZ111)</f>
        <v>-0</v>
      </c>
      <c r="CZ291" s="13" t="n">
        <f aca="false">IF(ISBLANK(Actuals!DA111),-Helpers!CX26+CZ333,Actuals!DA111)</f>
        <v>-0</v>
      </c>
      <c r="DA291" s="13" t="n">
        <f aca="false">IF(ISBLANK(Actuals!DB111),-Helpers!CY26+DA333,Actuals!DB111)</f>
        <v>-0</v>
      </c>
      <c r="DB291" s="13" t="n">
        <f aca="false">IF(ISBLANK(Actuals!DC111),-Helpers!CZ26+DB333,Actuals!DC111)</f>
        <v>-0</v>
      </c>
      <c r="DC291" s="13" t="n">
        <f aca="false">IF(ISBLANK(Actuals!DD111),-Helpers!DA26+DC333,Actuals!DD111)</f>
        <v>-0</v>
      </c>
      <c r="DD291" s="13" t="n">
        <f aca="false">IF(ISBLANK(Actuals!DE111),-Helpers!DB26+DD333,Actuals!DE111)</f>
        <v>-0</v>
      </c>
      <c r="DE291" s="13" t="n">
        <f aca="false">IF(ISBLANK(Actuals!DF111),-Helpers!DC26+DE333,Actuals!DF111)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-188116.133333333</v>
      </c>
      <c r="L292" s="30" t="n">
        <f aca="false">SUM(L263:L291)+Actuals!M113</f>
        <v>-188116.133333333</v>
      </c>
      <c r="M292" s="30" t="n">
        <f aca="false">SUM(M263:M291)+Actuals!N113</f>
        <v>-184616.133333333</v>
      </c>
      <c r="N292" s="30" t="n">
        <f aca="false">SUM(N263:N291)+Actuals!O113</f>
        <v>-184616.133333333</v>
      </c>
      <c r="O292" s="30" t="n">
        <f aca="false">SUM(O263:O291)+Actuals!P113</f>
        <v>-184616.133333333</v>
      </c>
      <c r="P292" s="30" t="n">
        <f aca="false">SUM(P263:P291)+Actuals!Q113</f>
        <v>-184616.133333333</v>
      </c>
      <c r="Q292" s="30" t="n">
        <f aca="false">SUM(Q263:Q291)+Actuals!R113</f>
        <v>-188208.456</v>
      </c>
      <c r="R292" s="30" t="n">
        <f aca="false">SUM(R263:R291)+Actuals!S113</f>
        <v>-188208.456</v>
      </c>
      <c r="S292" s="30" t="n">
        <f aca="false">SUM(S263:S291)+Actuals!T113</f>
        <v>-188208.456</v>
      </c>
      <c r="T292" s="30" t="n">
        <f aca="false">SUM(T263:T291)+Actuals!U113</f>
        <v>-188208.456</v>
      </c>
      <c r="U292" s="30" t="n">
        <f aca="false">SUM(U263:U291)+Actuals!V113</f>
        <v>-188208.456</v>
      </c>
      <c r="V292" s="30" t="n">
        <f aca="false">SUM(V263:V291)+Actuals!W113</f>
        <v>-188208.456</v>
      </c>
      <c r="W292" s="30" t="n">
        <f aca="false">SUM(W263:W291)+Actuals!X113</f>
        <v>-188208.456</v>
      </c>
      <c r="X292" s="30" t="n">
        <f aca="false">SUM(X263:X291)+Actuals!Y113</f>
        <v>-188208.456</v>
      </c>
      <c r="Y292" s="30" t="n">
        <f aca="false">SUM(Y263:Y291)+Actuals!Z113</f>
        <v>-188208.456</v>
      </c>
      <c r="Z292" s="30" t="n">
        <f aca="false">SUM(Z263:Z291)+Actuals!AA113</f>
        <v>-188208.456</v>
      </c>
      <c r="AA292" s="30" t="n">
        <f aca="false">SUM(AA263:AA291)+Actuals!AB113</f>
        <v>-188208.456</v>
      </c>
      <c r="AB292" s="30" t="n">
        <f aca="false">SUM(AB263:AB291)+Actuals!AC113</f>
        <v>-188208.456</v>
      </c>
      <c r="AC292" s="30" t="n">
        <f aca="false">SUM(AC263:AC291)+Actuals!AD113</f>
        <v>-191872.62512</v>
      </c>
      <c r="AD292" s="30" t="n">
        <f aca="false">SUM(AD263:AD291)+Actuals!AE113</f>
        <v>-191872.62512</v>
      </c>
      <c r="AE292" s="30" t="n">
        <f aca="false">SUM(AE263:AE291)+Actuals!AF113</f>
        <v>-191872.62512</v>
      </c>
      <c r="AF292" s="30" t="n">
        <f aca="false">SUM(AF263:AF291)+Actuals!AG113</f>
        <v>-191872.62512</v>
      </c>
      <c r="AG292" s="30" t="n">
        <f aca="false">SUM(AG263:AG291)+Actuals!AH113</f>
        <v>-191872.62512</v>
      </c>
      <c r="AH292" s="30" t="n">
        <f aca="false">SUM(AH263:AH291)+Actuals!AI113</f>
        <v>-191872.62512</v>
      </c>
      <c r="AI292" s="30" t="n">
        <f aca="false">SUM(AI263:AI291)+Actuals!AJ113</f>
        <v>-191872.62512</v>
      </c>
      <c r="AJ292" s="30" t="n">
        <f aca="false">SUM(AJ263:AJ291)+Actuals!AK113</f>
        <v>-191872.62512</v>
      </c>
      <c r="AK292" s="30" t="n">
        <f aca="false">SUM(AK263:AK291)+Actuals!AL113</f>
        <v>-191872.62512</v>
      </c>
      <c r="AL292" s="30" t="n">
        <f aca="false">SUM(AL263:AL291)+Actuals!AM113</f>
        <v>-191872.62512</v>
      </c>
      <c r="AM292" s="30" t="n">
        <f aca="false">SUM(AM263:AM291)+Actuals!AN113</f>
        <v>-191872.62512</v>
      </c>
      <c r="AN292" s="30" t="n">
        <f aca="false">SUM(AN263:AN291)+Actuals!AO113</f>
        <v>-191872.62512</v>
      </c>
      <c r="AO292" s="30" t="n">
        <f aca="false">SUM(AO263:AO291)+Actuals!AP113</f>
        <v>-195610.0776224</v>
      </c>
      <c r="AP292" s="30" t="n">
        <f aca="false">SUM(AP263:AP291)+Actuals!AQ113</f>
        <v>-195610.0776224</v>
      </c>
      <c r="AQ292" s="30" t="n">
        <f aca="false">SUM(AQ263:AQ291)+Actuals!AR113</f>
        <v>-195610.0776224</v>
      </c>
      <c r="AR292" s="30" t="n">
        <f aca="false">SUM(AR263:AR291)+Actuals!AS113</f>
        <v>-195610.0776224</v>
      </c>
      <c r="AS292" s="30" t="n">
        <f aca="false">SUM(AS263:AS291)+Actuals!AT113</f>
        <v>-195610.0776224</v>
      </c>
      <c r="AT292" s="30" t="n">
        <f aca="false">SUM(AT263:AT291)+Actuals!AU113</f>
        <v>-277293.0776224</v>
      </c>
      <c r="AU292" s="30" t="n">
        <f aca="false">SUM(AU263:AU291)+Actuals!AV113</f>
        <v>-195610.0776224</v>
      </c>
      <c r="AV292" s="30" t="n">
        <f aca="false">SUM(AV263:AV291)+Actuals!AW113</f>
        <v>-195610.0776224</v>
      </c>
      <c r="AW292" s="30" t="n">
        <f aca="false">SUM(AW263:AW291)+Actuals!AX113</f>
        <v>-277292.0776224</v>
      </c>
      <c r="AX292" s="30" t="n">
        <f aca="false">SUM(AX263:AX291)+Actuals!AY113</f>
        <v>-195610.0776224</v>
      </c>
      <c r="AY292" s="30" t="n">
        <f aca="false">SUM(AY263:AY291)+Actuals!AZ113</f>
        <v>-195610.0776224</v>
      </c>
      <c r="AZ292" s="30" t="n">
        <f aca="false">SUM(AZ263:AZ291)+Actuals!BA113</f>
        <v>-277292.0776224</v>
      </c>
      <c r="BA292" s="30" t="n">
        <f aca="false">SUM(BA263:BA291)+Actuals!BB113</f>
        <v>-199422.279174848</v>
      </c>
      <c r="BB292" s="30" t="n">
        <f aca="false">SUM(BB263:BB291)+Actuals!BC113</f>
        <v>-199422.279174848</v>
      </c>
      <c r="BC292" s="30" t="n">
        <f aca="false">SUM(BC263:BC291)+Actuals!BD113</f>
        <v>-1132943.27917485</v>
      </c>
      <c r="BD292" s="30" t="n">
        <f aca="false">SUM(BD263:BD291)+Actuals!BE113</f>
        <v>-199422.279174848</v>
      </c>
      <c r="BE292" s="30" t="n">
        <f aca="false">SUM(BE263:BE291)+Actuals!BF113</f>
        <v>-199422.279174848</v>
      </c>
      <c r="BF292" s="30" t="n">
        <f aca="false">SUM(BF263:BF291)+Actuals!BG113</f>
        <v>-330300.279174848</v>
      </c>
      <c r="BG292" s="30" t="n">
        <f aca="false">SUM(BG263:BG291)+Actuals!BH113</f>
        <v>-199422.279174848</v>
      </c>
      <c r="BH292" s="30" t="n">
        <f aca="false">SUM(BH263:BH291)+Actuals!BI113</f>
        <v>-199422.279174848</v>
      </c>
      <c r="BI292" s="30" t="n">
        <f aca="false">SUM(BI263:BI291)+Actuals!BJ113</f>
        <v>-330298.279174848</v>
      </c>
      <c r="BJ292" s="30" t="n">
        <f aca="false">SUM(BJ263:BJ291)+Actuals!BK113</f>
        <v>-199422.279174848</v>
      </c>
      <c r="BK292" s="30" t="n">
        <f aca="false">SUM(BK263:BK291)+Actuals!BL113</f>
        <v>-199422.279174848</v>
      </c>
      <c r="BL292" s="30" t="n">
        <f aca="false">SUM(BL263:BL291)+Actuals!BM113</f>
        <v>-330298.279174848</v>
      </c>
      <c r="BM292" s="30" t="n">
        <f aca="false">SUM(BM263:BM291)+Actuals!BN113</f>
        <v>-203310.724758345</v>
      </c>
      <c r="BN292" s="30" t="n">
        <f aca="false">SUM(BN263:BN291)+Actuals!BO113</f>
        <v>-203310.724758345</v>
      </c>
      <c r="BO292" s="30" t="n">
        <f aca="false">SUM(BO263:BO291)+Actuals!BP113</f>
        <v>-334186.724758345</v>
      </c>
      <c r="BP292" s="30" t="n">
        <f aca="false">SUM(BP263:BP291)+Actuals!BQ113</f>
        <v>-203310.724758345</v>
      </c>
      <c r="BQ292" s="30" t="n">
        <f aca="false">SUM(BQ263:BQ291)+Actuals!BR113</f>
        <v>-203310.724758345</v>
      </c>
      <c r="BR292" s="30" t="n">
        <f aca="false">SUM(BR263:BR291)+Actuals!BS113</f>
        <v>-292466.374758345</v>
      </c>
      <c r="BS292" s="30" t="n">
        <f aca="false">SUM(BS263:BS291)+Actuals!BT113</f>
        <v>-203310.724758345</v>
      </c>
      <c r="BT292" s="30" t="n">
        <f aca="false">SUM(BT263:BT291)+Actuals!BU113</f>
        <v>-203310.724758345</v>
      </c>
      <c r="BU292" s="30" t="n">
        <f aca="false">SUM(BU263:BU291)+Actuals!BV113</f>
        <v>-277950.724758345</v>
      </c>
      <c r="BV292" s="30" t="n">
        <f aca="false">SUM(BV263:BV291)+Actuals!BW113</f>
        <v>-203310.724758345</v>
      </c>
      <c r="BW292" s="30" t="n">
        <f aca="false">SUM(BW263:BW291)+Actuals!BX113</f>
        <v>-203310.724758345</v>
      </c>
      <c r="BX292" s="30" t="n">
        <f aca="false">SUM(BX263:BX291)+Actuals!BY113</f>
        <v>-277950.724758345</v>
      </c>
      <c r="BY292" s="30" t="n">
        <f aca="false">SUM(BY263:BY291)+Actuals!BZ113</f>
        <v>-207276.939253512</v>
      </c>
      <c r="BZ292" s="30" t="n">
        <f aca="false">SUM(BZ263:BZ291)+Actuals!CA113</f>
        <v>-207276.939253512</v>
      </c>
      <c r="CA292" s="30" t="n">
        <f aca="false">SUM(CA263:CA291)+Actuals!CB113</f>
        <v>-355072.939253512</v>
      </c>
      <c r="CB292" s="30" t="n">
        <f aca="false">SUM(CB263:CB291)+Actuals!CC113</f>
        <v>-207276.939253512</v>
      </c>
      <c r="CC292" s="30" t="n">
        <f aca="false">SUM(CC263:CC291)+Actuals!CD113</f>
        <v>-207276.939253512</v>
      </c>
      <c r="CD292" s="30" t="n">
        <f aca="false">SUM(CD263:CD291)+Actuals!CE113</f>
        <v>-361794.939253512</v>
      </c>
      <c r="CE292" s="30" t="n">
        <f aca="false">SUM(CE263:CE291)+Actuals!CF113</f>
        <v>-207276.939253512</v>
      </c>
      <c r="CF292" s="30" t="n">
        <f aca="false">SUM(CF263:CF291)+Actuals!CG113</f>
        <v>-207276.939253512</v>
      </c>
      <c r="CG292" s="30" t="n">
        <f aca="false">SUM(CG263:CG291)+Actuals!CH113</f>
        <v>-361793.939253512</v>
      </c>
      <c r="CH292" s="30" t="n">
        <f aca="false">SUM(CH263:CH291)+Actuals!CI113</f>
        <v>-207276.939253512</v>
      </c>
      <c r="CI292" s="30" t="n">
        <f aca="false">SUM(CI263:CI291)+Actuals!CJ113</f>
        <v>-207276.939253512</v>
      </c>
      <c r="CJ292" s="30" t="n">
        <f aca="false">SUM(CJ263:CJ291)+Actuals!CK113</f>
        <v>-355185.912647033</v>
      </c>
      <c r="CK292" s="30" t="n">
        <f aca="false">SUM(CK263:CK291)+Actuals!CL113</f>
        <v>-284477.478038582</v>
      </c>
      <c r="CL292" s="30" t="n">
        <f aca="false">SUM(CL263:CL291)+Actuals!CM113</f>
        <v>-284477.478038582</v>
      </c>
      <c r="CM292" s="30" t="n">
        <f aca="false">SUM(CM263:CM291)+Actuals!CN113</f>
        <v>-284477.478038582</v>
      </c>
      <c r="CN292" s="30" t="n">
        <f aca="false">SUM(CN263:CN291)+Actuals!CO113</f>
        <v>-284477.478038582</v>
      </c>
      <c r="CO292" s="30" t="n">
        <f aca="false">SUM(CO263:CO291)+Actuals!CP113</f>
        <v>-284477.478038582</v>
      </c>
      <c r="CP292" s="30" t="n">
        <f aca="false">SUM(CP263:CP291)+Actuals!CQ113</f>
        <v>-284477.478038582</v>
      </c>
      <c r="CQ292" s="30" t="n">
        <f aca="false">SUM(CQ263:CQ291)+Actuals!CR113</f>
        <v>-284477.478038582</v>
      </c>
      <c r="CR292" s="30" t="n">
        <f aca="false">SUM(CR263:CR291)+Actuals!CS113</f>
        <v>-284477.478038582</v>
      </c>
      <c r="CS292" s="30" t="n">
        <f aca="false">SUM(CS263:CS291)+Actuals!CT113</f>
        <v>-284477.478038582</v>
      </c>
      <c r="CT292" s="30" t="n">
        <f aca="false">SUM(CT263:CT291)+Actuals!CU113</f>
        <v>-275455.509357253</v>
      </c>
      <c r="CU292" s="30" t="n">
        <f aca="false">SUM(CU263:CU291)+Actuals!CV113</f>
        <v>-275455.509357253</v>
      </c>
      <c r="CV292" s="30" t="n">
        <f aca="false">SUM(CV263:CV291)+Actuals!CW113</f>
        <v>-275455.509357253</v>
      </c>
      <c r="CW292" s="30" t="n">
        <f aca="false">SUM(CW263:CW291)+Actuals!CX113</f>
        <v>-223693.368480806</v>
      </c>
      <c r="CX292" s="30" t="n">
        <f aca="false">SUM(CX263:CX291)+Actuals!CY113</f>
        <v>-206246.519544398</v>
      </c>
      <c r="CY292" s="30" t="n">
        <f aca="false">SUM(CY263:CY291)+Actuals!CZ113</f>
        <v>-206246.519544398</v>
      </c>
      <c r="CZ292" s="30" t="n">
        <f aca="false">SUM(CZ263:CZ291)+Actuals!DA113</f>
        <v>-206246.519544398</v>
      </c>
      <c r="DA292" s="30" t="n">
        <f aca="false">SUM(DA263:DA291)+Actuals!DB113</f>
        <v>-206246.519544398</v>
      </c>
      <c r="DB292" s="30" t="n">
        <f aca="false">SUM(DB263:DB291)+Actuals!DC113</f>
        <v>-206246.519544398</v>
      </c>
      <c r="DC292" s="30" t="n">
        <f aca="false">SUM(DC263:DC291)+Actuals!DD113</f>
        <v>-206246.519544398</v>
      </c>
      <c r="DD292" s="30" t="n">
        <f aca="false">SUM(DD263:DD291)+Actuals!DE113</f>
        <v>-206246.519544398</v>
      </c>
      <c r="DE292" s="30" t="n">
        <f aca="false">SUM(DE263:DE291)+Actuals!DF113</f>
        <v>-206246.519544398</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-145334.883333333</v>
      </c>
      <c r="K293" s="37" t="n">
        <f aca="false">K261+K292</f>
        <v>-145334.883333333</v>
      </c>
      <c r="L293" s="37" t="n">
        <f aca="false">L261+L292</f>
        <v>-154709.883333333</v>
      </c>
      <c r="M293" s="37" t="n">
        <f aca="false">M261+M292</f>
        <v>-151209.883333333</v>
      </c>
      <c r="N293" s="37" t="n">
        <f aca="false">N261+N292</f>
        <v>-135693.331453634</v>
      </c>
      <c r="O293" s="37" t="n">
        <f aca="false">O261+O292</f>
        <v>-137678.293859649</v>
      </c>
      <c r="P293" s="37" t="n">
        <f aca="false">P261+P292</f>
        <v>-137178.293859649</v>
      </c>
      <c r="Q293" s="37" t="n">
        <f aca="false">Q261+Q292</f>
        <v>-117638.386126316</v>
      </c>
      <c r="R293" s="37" t="n">
        <f aca="false">R261+R292</f>
        <v>-123888.586126316</v>
      </c>
      <c r="S293" s="37" t="n">
        <f aca="false">S261+S292</f>
        <v>-123888.586126316</v>
      </c>
      <c r="T293" s="37" t="n">
        <f aca="false">T261+T292</f>
        <v>-149394.836126316</v>
      </c>
      <c r="U293" s="37" t="n">
        <f aca="false">U261+U292</f>
        <v>-152294.836126316</v>
      </c>
      <c r="V293" s="37" t="n">
        <f aca="false">V261+V292</f>
        <v>-152294.836126316</v>
      </c>
      <c r="W293" s="37" t="n">
        <f aca="false">W261+W292</f>
        <v>-135722.573726316</v>
      </c>
      <c r="X293" s="37" t="n">
        <f aca="false">X261+X292</f>
        <v>-119689.111326316</v>
      </c>
      <c r="Y293" s="37" t="n">
        <f aca="false">Y261+Y292</f>
        <v>-45741.8489263158</v>
      </c>
      <c r="Z293" s="37" t="n">
        <f aca="false">Z261+Z292</f>
        <v>-100166.872526316</v>
      </c>
      <c r="AA293" s="37" t="n">
        <f aca="false">AA261+AA292</f>
        <v>-84630.3705263158</v>
      </c>
      <c r="AB293" s="37" t="n">
        <f aca="false">AB261+AB292</f>
        <v>-11718.8805263158</v>
      </c>
      <c r="AC293" s="37" t="n">
        <f aca="false">AC261+AC292</f>
        <v>-57221.5596463158</v>
      </c>
      <c r="AD293" s="37" t="n">
        <f aca="false">AD261+AD292</f>
        <v>-41685.0636463158</v>
      </c>
      <c r="AE293" s="37" t="n">
        <f aca="false">AE261+AE292</f>
        <v>31226.4383536842</v>
      </c>
      <c r="AF293" s="37" t="n">
        <f aca="false">AF261+AF292</f>
        <v>-23357.4686463158</v>
      </c>
      <c r="AG293" s="37" t="n">
        <f aca="false">AG261+AG292</f>
        <v>-12273.5698831579</v>
      </c>
      <c r="AH293" s="37" t="n">
        <f aca="false">AH261+AH292</f>
        <v>17858.66038</v>
      </c>
      <c r="AI293" s="37" t="n">
        <f aca="false">AI261+AI292</f>
        <v>-40766.56962</v>
      </c>
      <c r="AJ293" s="37" t="n">
        <f aca="false">AJ261+AJ292</f>
        <v>-40336.40362</v>
      </c>
      <c r="AK293" s="37" t="n">
        <f aca="false">AK261+AK292</f>
        <v>-39906.24862</v>
      </c>
      <c r="AL293" s="37" t="n">
        <f aca="false">AL261+AL292</f>
        <v>-39476.08812</v>
      </c>
      <c r="AM293" s="37" t="n">
        <f aca="false">AM261+AM292</f>
        <v>-39045.93312</v>
      </c>
      <c r="AN293" s="37" t="n">
        <f aca="false">AN261+AN292</f>
        <v>-24373.98462</v>
      </c>
      <c r="AO293" s="37" t="n">
        <f aca="false">AO261+AO292</f>
        <v>-41923.0591224</v>
      </c>
      <c r="AP293" s="37" t="n">
        <f aca="false">AP261+AP292</f>
        <v>-55734.6866224</v>
      </c>
      <c r="AQ293" s="37" t="n">
        <f aca="false">AQ261+AQ292</f>
        <v>-69546.3141224</v>
      </c>
      <c r="AR293" s="37" t="n">
        <f aca="false">AR261+AR292</f>
        <v>-83357.9471224</v>
      </c>
      <c r="AS293" s="37" t="n">
        <f aca="false">AS261+AS292</f>
        <v>-104982.3426224</v>
      </c>
      <c r="AT293" s="37" t="n">
        <f aca="false">AT261+AT292</f>
        <v>-117538.3676224</v>
      </c>
      <c r="AU293" s="37" t="n">
        <f aca="false">AU261+AU292</f>
        <v>-130094.3976224</v>
      </c>
      <c r="AV293" s="37" t="n">
        <f aca="false">AV261+AV292</f>
        <v>-142650.4176224</v>
      </c>
      <c r="AW293" s="37" t="n">
        <f aca="false">AW261+AW292</f>
        <v>-155691.0291224</v>
      </c>
      <c r="AX293" s="37" t="n">
        <f aca="false">AX261+AX292</f>
        <v>-114813.0276224</v>
      </c>
      <c r="AY293" s="37" t="n">
        <f aca="false">AY261+AY292</f>
        <v>-127760.1026224</v>
      </c>
      <c r="AZ293" s="37" t="n">
        <f aca="false">AZ261+AZ292</f>
        <v>-153553.4651224</v>
      </c>
      <c r="BA293" s="37" t="n">
        <f aca="false">BA261+BA292</f>
        <v>-157795.827174848</v>
      </c>
      <c r="BB293" s="37" t="n">
        <f aca="false">BB261+BB292</f>
        <v>-158225.993174848</v>
      </c>
      <c r="BC293" s="37" t="n">
        <f aca="false">BC261+BC292</f>
        <v>-158656.148174848</v>
      </c>
      <c r="BD293" s="37" t="n">
        <f aca="false">BD261+BD292</f>
        <v>-159086.308674848</v>
      </c>
      <c r="BE293" s="37" t="n">
        <f aca="false">BE261+BE292</f>
        <v>-159516.469174848</v>
      </c>
      <c r="BF293" s="37" t="n">
        <f aca="false">BF261+BF292</f>
        <v>-159946.629674848</v>
      </c>
      <c r="BG293" s="37" t="n">
        <f aca="false">BG261+BG292</f>
        <v>-160376.790174848</v>
      </c>
      <c r="BH293" s="37" t="n">
        <f aca="false">BH261+BH292</f>
        <v>-160806.950674848</v>
      </c>
      <c r="BI293" s="37" t="n">
        <f aca="false">BI261+BI292</f>
        <v>-161237.111174848</v>
      </c>
      <c r="BJ293" s="37" t="n">
        <f aca="false">BJ261+BJ292</f>
        <v>-161667.271674848</v>
      </c>
      <c r="BK293" s="37" t="n">
        <f aca="false">BK261+BK292</f>
        <v>-162097.432174848</v>
      </c>
      <c r="BL293" s="37" t="n">
        <f aca="false">BL261+BL292</f>
        <v>-162527.587174848</v>
      </c>
      <c r="BM293" s="37" t="n">
        <f aca="false">BM261+BM292</f>
        <v>-143345.698758345</v>
      </c>
      <c r="BN293" s="37" t="n">
        <f aca="false">BN261+BN292</f>
        <v>-143775.859258345</v>
      </c>
      <c r="BO293" s="37" t="n">
        <f aca="false">BO261+BO292</f>
        <v>-90379.729758345</v>
      </c>
      <c r="BP293" s="37" t="n">
        <f aca="false">BP261+BP292</f>
        <v>-203310.724758345</v>
      </c>
      <c r="BQ293" s="37" t="n">
        <f aca="false">BQ261+BQ292</f>
        <v>-203310.724758345</v>
      </c>
      <c r="BR293" s="37" t="n">
        <f aca="false">BR261+BR292</f>
        <v>-150060.374758345</v>
      </c>
      <c r="BS293" s="37" t="n">
        <f aca="false">BS261+BS292</f>
        <v>-203310.724758345</v>
      </c>
      <c r="BT293" s="37" t="n">
        <f aca="false">BT261+BT292</f>
        <v>-203310.724758345</v>
      </c>
      <c r="BU293" s="37" t="n">
        <f aca="false">BU261+BU292</f>
        <v>-135548.724758345</v>
      </c>
      <c r="BV293" s="37" t="n">
        <f aca="false">BV261+BV292</f>
        <v>-203310.724758345</v>
      </c>
      <c r="BW293" s="37" t="n">
        <f aca="false">BW261+BW292</f>
        <v>-203310.724758345</v>
      </c>
      <c r="BX293" s="37" t="n">
        <f aca="false">BX261+BX292</f>
        <v>-135548.724758345</v>
      </c>
      <c r="BY293" s="37" t="n">
        <f aca="false">BY261+BY292</f>
        <v>-207276.939253512</v>
      </c>
      <c r="BZ293" s="37" t="n">
        <f aca="false">BZ261+BZ292</f>
        <v>-207276.939253512</v>
      </c>
      <c r="CA293" s="37" t="n">
        <f aca="false">CA261+CA292</f>
        <v>-139514.939253512</v>
      </c>
      <c r="CB293" s="37" t="n">
        <f aca="false">CB261+CB292</f>
        <v>-207276.939253512</v>
      </c>
      <c r="CC293" s="37" t="n">
        <f aca="false">CC261+CC292</f>
        <v>-207276.939253512</v>
      </c>
      <c r="CD293" s="37" t="n">
        <f aca="false">CD261+CD292</f>
        <v>-130777.939253512</v>
      </c>
      <c r="CE293" s="37" t="n">
        <f aca="false">CE261+CE292</f>
        <v>-207276.939253512</v>
      </c>
      <c r="CF293" s="37" t="n">
        <f aca="false">CF261+CF292</f>
        <v>-207276.939253512</v>
      </c>
      <c r="CG293" s="37" t="n">
        <f aca="false">CG261+CG292</f>
        <v>-130777.939253512</v>
      </c>
      <c r="CH293" s="37" t="n">
        <f aca="false">CH261+CH292</f>
        <v>-207276.939253512</v>
      </c>
      <c r="CI293" s="37" t="n">
        <f aca="false">CI261+CI292</f>
        <v>-207276.939253512</v>
      </c>
      <c r="CJ293" s="37" t="n">
        <f aca="false">CJ261+CJ292</f>
        <v>-124169.912647033</v>
      </c>
      <c r="CK293" s="37" t="n">
        <f aca="false">CK261+CK292</f>
        <v>-53461.4780385821</v>
      </c>
      <c r="CL293" s="37" t="n">
        <f aca="false">CL261+CL292</f>
        <v>-53461.4780385821</v>
      </c>
      <c r="CM293" s="37" t="n">
        <f aca="false">CM261+CM292</f>
        <v>-53461.4780385821</v>
      </c>
      <c r="CN293" s="37" t="n">
        <f aca="false">CN261+CN292</f>
        <v>-53461.4780385821</v>
      </c>
      <c r="CO293" s="37" t="n">
        <f aca="false">CO261+CO292</f>
        <v>-53461.4780385821</v>
      </c>
      <c r="CP293" s="37" t="n">
        <f aca="false">CP261+CP292</f>
        <v>-53461.4780385821</v>
      </c>
      <c r="CQ293" s="37" t="n">
        <f aca="false">CQ261+CQ292</f>
        <v>-53461.4780385821</v>
      </c>
      <c r="CR293" s="37" t="n">
        <f aca="false">CR261+CR292</f>
        <v>-53461.4780385821</v>
      </c>
      <c r="CS293" s="37" t="n">
        <f aca="false">CS261+CS292</f>
        <v>-53461.4780385821</v>
      </c>
      <c r="CT293" s="37" t="n">
        <f aca="false">CT261+CT292</f>
        <v>-44439.5093572534</v>
      </c>
      <c r="CU293" s="37" t="n">
        <f aca="false">CU261+CU292</f>
        <v>-44439.5093572534</v>
      </c>
      <c r="CV293" s="37" t="n">
        <f aca="false">CV261+CV292</f>
        <v>-44439.5093572534</v>
      </c>
      <c r="CW293" s="37" t="n">
        <f aca="false">CW261+CW292</f>
        <v>7322.63151919434</v>
      </c>
      <c r="CX293" s="37" t="n">
        <f aca="false">CX261+CX292</f>
        <v>24769.4804556015</v>
      </c>
      <c r="CY293" s="37" t="n">
        <f aca="false">CY261+CY292</f>
        <v>24769.4804556015</v>
      </c>
      <c r="CZ293" s="37" t="n">
        <f aca="false">CZ261+CZ292</f>
        <v>24769.4804556015</v>
      </c>
      <c r="DA293" s="37" t="n">
        <f aca="false">DA261+DA292</f>
        <v>24769.4804556015</v>
      </c>
      <c r="DB293" s="37" t="n">
        <f aca="false">DB261+DB292</f>
        <v>24769.4804556015</v>
      </c>
      <c r="DC293" s="37" t="n">
        <f aca="false">DC261+DC292</f>
        <v>24769.4804556015</v>
      </c>
      <c r="DD293" s="37" t="n">
        <f aca="false">DD261+DD292</f>
        <v>24769.4804556015</v>
      </c>
      <c r="DE293" s="37" t="n">
        <f aca="false">DE261+DE292</f>
        <v>24769.4804556015</v>
      </c>
    </row>
    <row r="294" customFormat="false" ht="15" hidden="false" customHeight="true" outlineLevel="0" collapsed="false">
      <c r="A294" s="27"/>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row>
    <row r="295" customFormat="false" ht="15" hidden="false" customHeight="true" outlineLevel="0" collapsed="false">
      <c r="A295" s="38" t="s">
        <v>139</v>
      </c>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c r="BZ295" s="39"/>
      <c r="CA295" s="39"/>
      <c r="CB295" s="39"/>
      <c r="CC295" s="39"/>
      <c r="CD295" s="39"/>
      <c r="CE295" s="39"/>
      <c r="CF295" s="39"/>
      <c r="CG295" s="39"/>
      <c r="CH295" s="39"/>
      <c r="CI295" s="39"/>
      <c r="CJ295" s="39"/>
      <c r="CK295" s="39"/>
      <c r="CL295" s="39"/>
      <c r="CM295" s="39"/>
      <c r="CN295" s="39"/>
      <c r="CO295" s="39"/>
      <c r="CP295" s="39"/>
      <c r="CQ295" s="39"/>
      <c r="CR295" s="39"/>
      <c r="CS295" s="39"/>
      <c r="CT295" s="39"/>
      <c r="CU295" s="39"/>
      <c r="CV295" s="39"/>
      <c r="CW295" s="39"/>
      <c r="CX295" s="39"/>
      <c r="CY295" s="39"/>
      <c r="CZ295" s="39"/>
      <c r="DA295" s="39"/>
      <c r="DB295" s="39"/>
      <c r="DC295" s="39"/>
      <c r="DD295" s="39"/>
      <c r="DE295" s="39"/>
    </row>
    <row r="296" customFormat="false" ht="15" hidden="false" customHeight="true" outlineLevel="0" collapsed="false">
      <c r="A296" s="40" t="s">
        <v>140</v>
      </c>
      <c r="B296" s="13" t="n">
        <f aca="false">B199</f>
        <v>218756.86</v>
      </c>
      <c r="C296" s="13" t="n">
        <f aca="false">C199</f>
        <v>-51000.77</v>
      </c>
      <c r="D296" s="13" t="n">
        <f aca="false">D199</f>
        <v>594184.52</v>
      </c>
      <c r="E296" s="13" t="n">
        <f aca="false">E199</f>
        <v>447358.25</v>
      </c>
      <c r="F296" s="13" t="n">
        <f aca="false">F199</f>
        <v>465536.7</v>
      </c>
      <c r="G296" s="13" t="n">
        <f aca="false">G199</f>
        <v>641351.13</v>
      </c>
      <c r="H296" s="13" t="n">
        <f aca="false">H199</f>
        <v>1766649.51</v>
      </c>
      <c r="I296" s="13" t="n">
        <f aca="false">I199</f>
        <v>-132141.505125</v>
      </c>
      <c r="J296" s="13" t="n">
        <f aca="false">J199</f>
        <v>702607.028396964</v>
      </c>
      <c r="K296" s="13" t="n">
        <f aca="false">K199</f>
        <v>770495.389718767</v>
      </c>
      <c r="L296" s="13" t="n">
        <f aca="false">L199</f>
        <v>609302.628116041</v>
      </c>
      <c r="M296" s="13" t="n">
        <f aca="false">M199</f>
        <v>202550.231435551</v>
      </c>
      <c r="N296" s="13" t="n">
        <f aca="false">N199</f>
        <v>921198.021338766</v>
      </c>
      <c r="O296" s="13" t="n">
        <f aca="false">O199</f>
        <v>831983.497819715</v>
      </c>
      <c r="P296" s="13" t="n">
        <f aca="false">P199</f>
        <v>852806.987819716</v>
      </c>
      <c r="Q296" s="13" t="n">
        <f aca="false">Q199</f>
        <v>169427.681211907</v>
      </c>
      <c r="R296" s="13" t="n">
        <f aca="false">R199</f>
        <v>736482.701731266</v>
      </c>
      <c r="S296" s="13" t="n">
        <f aca="false">S199</f>
        <v>861251.627420825</v>
      </c>
      <c r="T296" s="13" t="n">
        <f aca="false">T199</f>
        <v>922973.338934083</v>
      </c>
      <c r="U296" s="13" t="n">
        <f aca="false">U199</f>
        <v>1144080.80498088</v>
      </c>
      <c r="V296" s="13" t="n">
        <f aca="false">V199</f>
        <v>1222659.89498088</v>
      </c>
      <c r="W296" s="13" t="n">
        <f aca="false">W199</f>
        <v>1110973.59498088</v>
      </c>
      <c r="X296" s="13" t="n">
        <f aca="false">X199</f>
        <v>1404851.5398398</v>
      </c>
      <c r="Y296" s="13" t="n">
        <f aca="false">Y199</f>
        <v>1243090.7198398</v>
      </c>
      <c r="Z296" s="13" t="n">
        <f aca="false">Z199</f>
        <v>1369436.8998398</v>
      </c>
      <c r="AA296" s="13" t="n">
        <f aca="false">AA199</f>
        <v>1398675.55320094</v>
      </c>
      <c r="AB296" s="13" t="n">
        <f aca="false">AB199</f>
        <v>1212343.83110043</v>
      </c>
      <c r="AC296" s="13" t="n">
        <f aca="false">AC199</f>
        <v>983618.361856878</v>
      </c>
      <c r="AD296" s="13" t="n">
        <f aca="false">AD199</f>
        <v>1006568.27185688</v>
      </c>
      <c r="AE296" s="13" t="n">
        <f aca="false">AE199</f>
        <v>422286.579769761</v>
      </c>
      <c r="AF296" s="13" t="n">
        <f aca="false">AF199</f>
        <v>1324779.73684014</v>
      </c>
      <c r="AG296" s="13" t="n">
        <f aca="false">AG199</f>
        <v>1234876.82509166</v>
      </c>
      <c r="AH296" s="13" t="n">
        <f aca="false">AH199</f>
        <v>1098183.50212976</v>
      </c>
      <c r="AI296" s="13" t="n">
        <f aca="false">AI199</f>
        <v>1092016.63212976</v>
      </c>
      <c r="AJ296" s="13" t="n">
        <f aca="false">AJ199</f>
        <v>1189583.24979076</v>
      </c>
      <c r="AK296" s="13" t="n">
        <f aca="false">AK199</f>
        <v>818983.359672127</v>
      </c>
      <c r="AL296" s="13" t="n">
        <f aca="false">AL199</f>
        <v>808059.470052578</v>
      </c>
      <c r="AM296" s="13" t="n">
        <f aca="false">AM199</f>
        <v>597906.909784677</v>
      </c>
      <c r="AN296" s="13" t="n">
        <f aca="false">AN199</f>
        <v>489424.859784678</v>
      </c>
      <c r="AO296" s="13" t="n">
        <f aca="false">AO199</f>
        <v>449496.249784678</v>
      </c>
      <c r="AP296" s="13" t="n">
        <f aca="false">AP199</f>
        <v>449496.249784678</v>
      </c>
      <c r="AQ296" s="13" t="n">
        <f aca="false">AQ199</f>
        <v>449496.249784677</v>
      </c>
      <c r="AR296" s="13" t="n">
        <f aca="false">AR199</f>
        <v>449496.249784678</v>
      </c>
      <c r="AS296" s="13" t="n">
        <f aca="false">AS199</f>
        <v>449496.249784677</v>
      </c>
      <c r="AT296" s="13" t="n">
        <f aca="false">AT199</f>
        <v>721981.835138177</v>
      </c>
      <c r="AU296" s="13" t="n">
        <f aca="false">AU199</f>
        <v>427569.2939703</v>
      </c>
      <c r="AV296" s="13" t="n">
        <f aca="false">AV199</f>
        <v>157659.640868547</v>
      </c>
      <c r="AW296" s="13" t="n">
        <f aca="false">AW199</f>
        <v>157659.640868547</v>
      </c>
      <c r="AX296" s="13" t="n">
        <f aca="false">AX199</f>
        <v>157659.640868547</v>
      </c>
      <c r="AY296" s="13" t="n">
        <f aca="false">AY199</f>
        <v>157659.640868547</v>
      </c>
      <c r="AZ296" s="13" t="n">
        <f aca="false">AZ199</f>
        <v>157659.640868547</v>
      </c>
      <c r="BA296" s="13" t="n">
        <f aca="false">BA199</f>
        <v>157659.640868547</v>
      </c>
      <c r="BB296" s="13" t="n">
        <f aca="false">BB199</f>
        <v>157659.640868547</v>
      </c>
      <c r="BC296" s="13" t="n">
        <f aca="false">BC199</f>
        <v>157659.640868547</v>
      </c>
      <c r="BD296" s="13" t="n">
        <f aca="false">BD199</f>
        <v>157659.640868547</v>
      </c>
      <c r="BE296" s="13" t="n">
        <f aca="false">BE199</f>
        <v>157659.640868547</v>
      </c>
      <c r="BF296" s="13" t="n">
        <f aca="false">BF199</f>
        <v>157659.640868547</v>
      </c>
      <c r="BG296" s="13" t="n">
        <f aca="false">BG199</f>
        <v>157659.640868547</v>
      </c>
      <c r="BH296" s="13" t="n">
        <f aca="false">BH199</f>
        <v>406595.915924147</v>
      </c>
      <c r="BI296" s="13" t="n">
        <f aca="false">BI199</f>
        <v>0</v>
      </c>
      <c r="BJ296" s="13" t="n">
        <f aca="false">BJ199</f>
        <v>0</v>
      </c>
      <c r="BK296" s="13" t="n">
        <f aca="false">BK199</f>
        <v>0</v>
      </c>
      <c r="BL296" s="13" t="n">
        <f aca="false">BL199</f>
        <v>0</v>
      </c>
      <c r="BM296" s="13" t="n">
        <f aca="false">BM199</f>
        <v>0</v>
      </c>
      <c r="BN296" s="13" t="n">
        <f aca="false">BN199</f>
        <v>0</v>
      </c>
      <c r="BO296" s="13" t="n">
        <f aca="false">BO199</f>
        <v>0</v>
      </c>
      <c r="BP296" s="13" t="n">
        <f aca="false">BP199</f>
        <v>0</v>
      </c>
      <c r="BQ296" s="13" t="n">
        <f aca="false">BQ199</f>
        <v>0</v>
      </c>
      <c r="BR296" s="13" t="n">
        <f aca="false">BR199</f>
        <v>0</v>
      </c>
      <c r="BS296" s="13" t="n">
        <f aca="false">BS199</f>
        <v>0</v>
      </c>
      <c r="BT296" s="13" t="n">
        <f aca="false">BT199</f>
        <v>0</v>
      </c>
      <c r="BU296" s="13" t="n">
        <f aca="false">BU199</f>
        <v>0</v>
      </c>
      <c r="BV296" s="13" t="n">
        <f aca="false">BV199</f>
        <v>0</v>
      </c>
      <c r="BW296" s="13" t="n">
        <f aca="false">BW199</f>
        <v>0</v>
      </c>
      <c r="BX296" s="13" t="n">
        <f aca="false">BX199</f>
        <v>0</v>
      </c>
      <c r="BY296" s="13" t="n">
        <f aca="false">BY199</f>
        <v>0</v>
      </c>
      <c r="BZ296" s="13" t="n">
        <f aca="false">BZ199</f>
        <v>0</v>
      </c>
      <c r="CA296" s="13" t="n">
        <f aca="false">CA199</f>
        <v>0</v>
      </c>
      <c r="CB296" s="13" t="n">
        <f aca="false">CB199</f>
        <v>0</v>
      </c>
      <c r="CC296" s="13" t="n">
        <f aca="false">CC199</f>
        <v>0</v>
      </c>
      <c r="CD296" s="13" t="n">
        <f aca="false">CD199</f>
        <v>0</v>
      </c>
      <c r="CE296" s="13" t="n">
        <f aca="false">CE199</f>
        <v>0</v>
      </c>
      <c r="CF296" s="13" t="n">
        <f aca="false">CF199</f>
        <v>0</v>
      </c>
      <c r="CG296" s="13" t="n">
        <f aca="false">CG199</f>
        <v>0</v>
      </c>
      <c r="CH296" s="13" t="n">
        <f aca="false">CH199</f>
        <v>0</v>
      </c>
      <c r="CI296" s="13" t="n">
        <f aca="false">CI199</f>
        <v>0</v>
      </c>
      <c r="CJ296" s="13" t="n">
        <f aca="false">CJ199</f>
        <v>0</v>
      </c>
      <c r="CK296" s="13" t="n">
        <f aca="false">CK199</f>
        <v>0</v>
      </c>
      <c r="CL296" s="13" t="n">
        <f aca="false">CL199</f>
        <v>0</v>
      </c>
      <c r="CM296" s="13" t="n">
        <f aca="false">CM199</f>
        <v>0</v>
      </c>
      <c r="CN296" s="13" t="n">
        <f aca="false">CN199</f>
        <v>0</v>
      </c>
      <c r="CO296" s="13" t="n">
        <f aca="false">CO199</f>
        <v>0</v>
      </c>
      <c r="CP296" s="13" t="n">
        <f aca="false">CP199</f>
        <v>0</v>
      </c>
      <c r="CQ296" s="13" t="n">
        <f aca="false">CQ199</f>
        <v>0</v>
      </c>
      <c r="CR296" s="13" t="n">
        <f aca="false">CR199</f>
        <v>0</v>
      </c>
      <c r="CS296" s="13" t="n">
        <f aca="false">CS199</f>
        <v>0</v>
      </c>
      <c r="CT296" s="13" t="n">
        <f aca="false">CT199</f>
        <v>0</v>
      </c>
      <c r="CU296" s="13" t="n">
        <f aca="false">CU199</f>
        <v>0</v>
      </c>
      <c r="CV296" s="13" t="n">
        <f aca="false">CV199</f>
        <v>0</v>
      </c>
      <c r="CW296" s="13" t="n">
        <f aca="false">CW199</f>
        <v>0</v>
      </c>
      <c r="CX296" s="13" t="n">
        <f aca="false">CX199</f>
        <v>0</v>
      </c>
      <c r="CY296" s="13" t="n">
        <f aca="false">CY199</f>
        <v>0</v>
      </c>
      <c r="CZ296" s="13" t="n">
        <f aca="false">CZ199</f>
        <v>0</v>
      </c>
      <c r="DA296" s="13" t="n">
        <f aca="false">DA199</f>
        <v>0</v>
      </c>
      <c r="DB296" s="13" t="n">
        <f aca="false">DB199</f>
        <v>0</v>
      </c>
      <c r="DC296" s="13" t="n">
        <f aca="false">DC199</f>
        <v>0</v>
      </c>
      <c r="DD296" s="13" t="n">
        <f aca="false">DD199</f>
        <v>0</v>
      </c>
      <c r="DE296" s="13" t="n">
        <f aca="false">DE199</f>
        <v>0</v>
      </c>
    </row>
    <row r="297" customFormat="false" ht="15" hidden="false" customHeight="true" outlineLevel="0" collapsed="false">
      <c r="A297" s="40" t="s">
        <v>100</v>
      </c>
      <c r="B297" s="13" t="n">
        <f aca="false">B261</f>
        <v>34114.58</v>
      </c>
      <c r="C297" s="13" t="n">
        <f aca="false">C261</f>
        <v>34114.58</v>
      </c>
      <c r="D297" s="13" t="n">
        <f aca="false">D261</f>
        <v>34114.58</v>
      </c>
      <c r="E297" s="13" t="n">
        <f aca="false">E261</f>
        <v>34114.58</v>
      </c>
      <c r="F297" s="13" t="n">
        <f aca="false">F261</f>
        <v>34114.58</v>
      </c>
      <c r="G297" s="13" t="n">
        <f aca="false">G261</f>
        <v>34114.58</v>
      </c>
      <c r="H297" s="13" t="n">
        <f aca="false">H261</f>
        <v>78114.58</v>
      </c>
      <c r="I297" s="13" t="n">
        <f aca="false">I261</f>
        <v>180628.58</v>
      </c>
      <c r="J297" s="13" t="n">
        <f aca="false">J261</f>
        <v>42781.25</v>
      </c>
      <c r="K297" s="13" t="n">
        <f aca="false">K261</f>
        <v>42781.25</v>
      </c>
      <c r="L297" s="13" t="n">
        <f aca="false">L261</f>
        <v>33406.25</v>
      </c>
      <c r="M297" s="13" t="n">
        <f aca="false">M261</f>
        <v>33406.25</v>
      </c>
      <c r="N297" s="13" t="n">
        <f aca="false">N261</f>
        <v>48922.8018796993</v>
      </c>
      <c r="O297" s="13" t="n">
        <f aca="false">O261</f>
        <v>46937.8394736842</v>
      </c>
      <c r="P297" s="13" t="n">
        <f aca="false">P261</f>
        <v>47437.8394736842</v>
      </c>
      <c r="Q297" s="13" t="n">
        <f aca="false">Q261</f>
        <v>70570.0698736842</v>
      </c>
      <c r="R297" s="13" t="n">
        <f aca="false">R261</f>
        <v>64319.8698736842</v>
      </c>
      <c r="S297" s="13" t="n">
        <f aca="false">S261</f>
        <v>64319.8698736842</v>
      </c>
      <c r="T297" s="13" t="n">
        <f aca="false">T261</f>
        <v>38813.6198736842</v>
      </c>
      <c r="U297" s="13" t="n">
        <f aca="false">U261</f>
        <v>35913.6198736842</v>
      </c>
      <c r="V297" s="13" t="n">
        <f aca="false">V261</f>
        <v>35913.6198736842</v>
      </c>
      <c r="W297" s="13" t="n">
        <f aca="false">W261</f>
        <v>52485.8822736842</v>
      </c>
      <c r="X297" s="13" t="n">
        <f aca="false">X261</f>
        <v>68519.3446736842</v>
      </c>
      <c r="Y297" s="13" t="n">
        <f aca="false">Y261</f>
        <v>142466.607073684</v>
      </c>
      <c r="Z297" s="13" t="n">
        <f aca="false">Z261</f>
        <v>88041.5834736842</v>
      </c>
      <c r="AA297" s="13" t="n">
        <f aca="false">AA261</f>
        <v>103578.085473684</v>
      </c>
      <c r="AB297" s="13" t="n">
        <f aca="false">AB261</f>
        <v>176489.575473684</v>
      </c>
      <c r="AC297" s="13" t="n">
        <f aca="false">AC261</f>
        <v>134651.065473684</v>
      </c>
      <c r="AD297" s="13" t="n">
        <f aca="false">AD261</f>
        <v>150187.561473684</v>
      </c>
      <c r="AE297" s="13" t="n">
        <f aca="false">AE261</f>
        <v>223099.063473684</v>
      </c>
      <c r="AF297" s="13" t="n">
        <f aca="false">AF261</f>
        <v>168515.156473684</v>
      </c>
      <c r="AG297" s="13" t="n">
        <f aca="false">AG261</f>
        <v>179599.055236842</v>
      </c>
      <c r="AH297" s="13" t="n">
        <f aca="false">AH261</f>
        <v>209731.2855</v>
      </c>
      <c r="AI297" s="13" t="n">
        <f aca="false">AI261</f>
        <v>151106.0555</v>
      </c>
      <c r="AJ297" s="13" t="n">
        <f aca="false">AJ261</f>
        <v>151536.2215</v>
      </c>
      <c r="AK297" s="13" t="n">
        <f aca="false">AK261</f>
        <v>151966.3765</v>
      </c>
      <c r="AL297" s="13" t="n">
        <f aca="false">AL261</f>
        <v>152396.537</v>
      </c>
      <c r="AM297" s="13" t="n">
        <f aca="false">AM261</f>
        <v>152826.692</v>
      </c>
      <c r="AN297" s="13" t="n">
        <f aca="false">AN261</f>
        <v>167498.6405</v>
      </c>
      <c r="AO297" s="13" t="n">
        <f aca="false">AO261</f>
        <v>153687.0185</v>
      </c>
      <c r="AP297" s="13" t="n">
        <f aca="false">AP261</f>
        <v>139875.391</v>
      </c>
      <c r="AQ297" s="13" t="n">
        <f aca="false">AQ261</f>
        <v>126063.7635</v>
      </c>
      <c r="AR297" s="13" t="n">
        <f aca="false">AR261</f>
        <v>112252.1305</v>
      </c>
      <c r="AS297" s="13" t="n">
        <f aca="false">AS261</f>
        <v>90627.735</v>
      </c>
      <c r="AT297" s="13" t="n">
        <f aca="false">AT261</f>
        <v>159754.71</v>
      </c>
      <c r="AU297" s="13" t="n">
        <f aca="false">AU261</f>
        <v>65515.68</v>
      </c>
      <c r="AV297" s="13" t="n">
        <f aca="false">AV261</f>
        <v>52959.66</v>
      </c>
      <c r="AW297" s="13" t="n">
        <f aca="false">AW261</f>
        <v>121601.0485</v>
      </c>
      <c r="AX297" s="13" t="n">
        <f aca="false">AX261</f>
        <v>80797.05</v>
      </c>
      <c r="AY297" s="13" t="n">
        <f aca="false">AY261</f>
        <v>67849.975</v>
      </c>
      <c r="AZ297" s="13" t="n">
        <f aca="false">AZ261</f>
        <v>123738.6125</v>
      </c>
      <c r="BA297" s="13" t="n">
        <f aca="false">BA261</f>
        <v>41626.452</v>
      </c>
      <c r="BB297" s="13" t="n">
        <f aca="false">BB261</f>
        <v>41196.286</v>
      </c>
      <c r="BC297" s="13" t="n">
        <f aca="false">BC261</f>
        <v>974287.131</v>
      </c>
      <c r="BD297" s="13" t="n">
        <f aca="false">BD261</f>
        <v>40335.9705</v>
      </c>
      <c r="BE297" s="13" t="n">
        <f aca="false">BE261</f>
        <v>39905.81</v>
      </c>
      <c r="BF297" s="13" t="n">
        <f aca="false">BF261</f>
        <v>170353.6495</v>
      </c>
      <c r="BG297" s="13" t="n">
        <f aca="false">BG261</f>
        <v>39045.489</v>
      </c>
      <c r="BH297" s="13" t="n">
        <f aca="false">BH261</f>
        <v>38615.3285</v>
      </c>
      <c r="BI297" s="13" t="n">
        <f aca="false">BI261</f>
        <v>169061.168</v>
      </c>
      <c r="BJ297" s="13" t="n">
        <f aca="false">BJ261</f>
        <v>37755.0075</v>
      </c>
      <c r="BK297" s="13" t="n">
        <f aca="false">BK261</f>
        <v>37324.847</v>
      </c>
      <c r="BL297" s="13" t="n">
        <f aca="false">BL261</f>
        <v>167770.692</v>
      </c>
      <c r="BM297" s="13" t="n">
        <f aca="false">BM261</f>
        <v>59965.026</v>
      </c>
      <c r="BN297" s="13" t="n">
        <f aca="false">BN261</f>
        <v>59534.8655</v>
      </c>
      <c r="BO297" s="13" t="n">
        <f aca="false">BO261</f>
        <v>243806.995</v>
      </c>
      <c r="BP297" s="13" t="n">
        <f aca="false">BP261</f>
        <v>0</v>
      </c>
      <c r="BQ297" s="13" t="n">
        <f aca="false">BQ261</f>
        <v>0</v>
      </c>
      <c r="BR297" s="13" t="n">
        <f aca="false">BR261</f>
        <v>142406</v>
      </c>
      <c r="BS297" s="13" t="n">
        <f aca="false">BS261</f>
        <v>0</v>
      </c>
      <c r="BT297" s="13" t="n">
        <f aca="false">BT261</f>
        <v>0</v>
      </c>
      <c r="BU297" s="13" t="n">
        <f aca="false">BU261</f>
        <v>142402</v>
      </c>
      <c r="BV297" s="13" t="n">
        <f aca="false">BV261</f>
        <v>0</v>
      </c>
      <c r="BW297" s="13" t="n">
        <f aca="false">BW261</f>
        <v>0</v>
      </c>
      <c r="BX297" s="13" t="n">
        <f aca="false">BX261</f>
        <v>142402</v>
      </c>
      <c r="BY297" s="13" t="n">
        <f aca="false">BY261</f>
        <v>0</v>
      </c>
      <c r="BZ297" s="13" t="n">
        <f aca="false">BZ261</f>
        <v>0</v>
      </c>
      <c r="CA297" s="13" t="n">
        <f aca="false">CA261</f>
        <v>215558</v>
      </c>
      <c r="CB297" s="13" t="n">
        <f aca="false">CB261</f>
        <v>0</v>
      </c>
      <c r="CC297" s="13" t="n">
        <f aca="false">CC261</f>
        <v>0</v>
      </c>
      <c r="CD297" s="13" t="n">
        <f aca="false">CD261</f>
        <v>231017</v>
      </c>
      <c r="CE297" s="13" t="n">
        <f aca="false">CE261</f>
        <v>0</v>
      </c>
      <c r="CF297" s="13" t="n">
        <f aca="false">CF261</f>
        <v>0</v>
      </c>
      <c r="CG297" s="13" t="n">
        <f aca="false">CG261</f>
        <v>231016</v>
      </c>
      <c r="CH297" s="13" t="n">
        <f aca="false">CH261</f>
        <v>0</v>
      </c>
      <c r="CI297" s="13" t="n">
        <f aca="false">CI261</f>
        <v>0</v>
      </c>
      <c r="CJ297" s="13" t="n">
        <f aca="false">CJ261</f>
        <v>231016</v>
      </c>
      <c r="CK297" s="13" t="n">
        <f aca="false">CK261</f>
        <v>231016</v>
      </c>
      <c r="CL297" s="13" t="n">
        <f aca="false">CL261</f>
        <v>231016</v>
      </c>
      <c r="CM297" s="13" t="n">
        <f aca="false">CM261</f>
        <v>231016</v>
      </c>
      <c r="CN297" s="13" t="n">
        <f aca="false">CN261</f>
        <v>231016</v>
      </c>
      <c r="CO297" s="13" t="n">
        <f aca="false">CO261</f>
        <v>231016</v>
      </c>
      <c r="CP297" s="13" t="n">
        <f aca="false">CP261</f>
        <v>231016</v>
      </c>
      <c r="CQ297" s="13" t="n">
        <f aca="false">CQ261</f>
        <v>231016</v>
      </c>
      <c r="CR297" s="13" t="n">
        <f aca="false">CR261</f>
        <v>231016</v>
      </c>
      <c r="CS297" s="13" t="n">
        <f aca="false">CS261</f>
        <v>231016</v>
      </c>
      <c r="CT297" s="13" t="n">
        <f aca="false">CT261</f>
        <v>231016</v>
      </c>
      <c r="CU297" s="13" t="n">
        <f aca="false">CU261</f>
        <v>231016</v>
      </c>
      <c r="CV297" s="13" t="n">
        <f aca="false">CV261</f>
        <v>231016</v>
      </c>
      <c r="CW297" s="13" t="n">
        <f aca="false">CW261</f>
        <v>231016</v>
      </c>
      <c r="CX297" s="13" t="n">
        <f aca="false">CX261</f>
        <v>231016</v>
      </c>
      <c r="CY297" s="13" t="n">
        <f aca="false">CY261</f>
        <v>231016</v>
      </c>
      <c r="CZ297" s="13" t="n">
        <f aca="false">CZ261</f>
        <v>231016</v>
      </c>
      <c r="DA297" s="13" t="n">
        <f aca="false">DA261</f>
        <v>231016</v>
      </c>
      <c r="DB297" s="13" t="n">
        <f aca="false">DB261</f>
        <v>231016</v>
      </c>
      <c r="DC297" s="13" t="n">
        <f aca="false">DC261</f>
        <v>231016</v>
      </c>
      <c r="DD297" s="13" t="n">
        <f aca="false">DD261</f>
        <v>231016</v>
      </c>
      <c r="DE297" s="13" t="n">
        <f aca="false">DE261</f>
        <v>231016</v>
      </c>
    </row>
    <row r="298" customFormat="false" ht="15" hidden="false" customHeight="true" outlineLevel="0" collapsed="false">
      <c r="A298" s="41" t="s">
        <v>141</v>
      </c>
      <c r="B298" s="30" t="n">
        <f aca="false">B296+B297</f>
        <v>252871.44</v>
      </c>
      <c r="C298" s="30" t="n">
        <f aca="false">C296+C297</f>
        <v>-16886.19</v>
      </c>
      <c r="D298" s="30" t="n">
        <f aca="false">D296+D297</f>
        <v>628299.1</v>
      </c>
      <c r="E298" s="30" t="n">
        <f aca="false">E296+E297</f>
        <v>481472.830000001</v>
      </c>
      <c r="F298" s="30" t="n">
        <f aca="false">F296+F297</f>
        <v>499651.28</v>
      </c>
      <c r="G298" s="30" t="n">
        <f aca="false">G296+G297</f>
        <v>675465.71</v>
      </c>
      <c r="H298" s="30" t="n">
        <f aca="false">H296+H297</f>
        <v>1844764.09</v>
      </c>
      <c r="I298" s="30" t="n">
        <f aca="false">I296+I297</f>
        <v>48487.0748749996</v>
      </c>
      <c r="J298" s="30" t="n">
        <f aca="false">J296+J297</f>
        <v>745388.278396964</v>
      </c>
      <c r="K298" s="30" t="n">
        <f aca="false">K296+K297</f>
        <v>813276.639718767</v>
      </c>
      <c r="L298" s="30" t="n">
        <f aca="false">L296+L297</f>
        <v>642708.878116041</v>
      </c>
      <c r="M298" s="30" t="n">
        <f aca="false">M296+M297</f>
        <v>235956.481435551</v>
      </c>
      <c r="N298" s="30" t="n">
        <f aca="false">N296+N297</f>
        <v>970120.823218466</v>
      </c>
      <c r="O298" s="30" t="n">
        <f aca="false">O296+O297</f>
        <v>878921.337293399</v>
      </c>
      <c r="P298" s="30" t="n">
        <f aca="false">P296+P297</f>
        <v>900244.827293401</v>
      </c>
      <c r="Q298" s="30" t="n">
        <f aca="false">Q296+Q297</f>
        <v>239997.751085591</v>
      </c>
      <c r="R298" s="30" t="n">
        <f aca="false">R296+R297</f>
        <v>800802.571604951</v>
      </c>
      <c r="S298" s="30" t="n">
        <f aca="false">S296+S297</f>
        <v>925571.497294509</v>
      </c>
      <c r="T298" s="30" t="n">
        <f aca="false">T296+T297</f>
        <v>961786.958807767</v>
      </c>
      <c r="U298" s="30" t="n">
        <f aca="false">U296+U297</f>
        <v>1179994.42485457</v>
      </c>
      <c r="V298" s="30" t="n">
        <f aca="false">V296+V297</f>
        <v>1258573.51485456</v>
      </c>
      <c r="W298" s="30" t="n">
        <f aca="false">W296+W297</f>
        <v>1163459.47725457</v>
      </c>
      <c r="X298" s="30" t="n">
        <f aca="false">X296+X297</f>
        <v>1473370.88451348</v>
      </c>
      <c r="Y298" s="30" t="n">
        <f aca="false">Y296+Y297</f>
        <v>1385557.32691348</v>
      </c>
      <c r="Z298" s="30" t="n">
        <f aca="false">Z296+Z297</f>
        <v>1457478.48331348</v>
      </c>
      <c r="AA298" s="30" t="n">
        <f aca="false">AA296+AA297</f>
        <v>1502253.63867462</v>
      </c>
      <c r="AB298" s="30" t="n">
        <f aca="false">AB296+AB297</f>
        <v>1388833.40657412</v>
      </c>
      <c r="AC298" s="30" t="n">
        <f aca="false">AC296+AC297</f>
        <v>1118269.42733056</v>
      </c>
      <c r="AD298" s="30" t="n">
        <f aca="false">AD296+AD297</f>
        <v>1156755.83333056</v>
      </c>
      <c r="AE298" s="30" t="n">
        <f aca="false">AE296+AE297</f>
        <v>645385.643243445</v>
      </c>
      <c r="AF298" s="30" t="n">
        <f aca="false">AF296+AF297</f>
        <v>1493294.89331382</v>
      </c>
      <c r="AG298" s="30" t="n">
        <f aca="false">AG296+AG297</f>
        <v>1414475.88032851</v>
      </c>
      <c r="AH298" s="30" t="n">
        <f aca="false">AH296+AH297</f>
        <v>1307914.78762976</v>
      </c>
      <c r="AI298" s="30" t="n">
        <f aca="false">AI296+AI297</f>
        <v>1243122.68762976</v>
      </c>
      <c r="AJ298" s="30" t="n">
        <f aca="false">AJ296+AJ297</f>
        <v>1341119.47129076</v>
      </c>
      <c r="AK298" s="30" t="n">
        <f aca="false">AK296+AK297</f>
        <v>970949.736172127</v>
      </c>
      <c r="AL298" s="30" t="n">
        <f aca="false">AL296+AL297</f>
        <v>960456.007052578</v>
      </c>
      <c r="AM298" s="30" t="n">
        <f aca="false">AM296+AM297</f>
        <v>750733.601784678</v>
      </c>
      <c r="AN298" s="30" t="n">
        <f aca="false">AN296+AN297</f>
        <v>656923.500284678</v>
      </c>
      <c r="AO298" s="30" t="n">
        <f aca="false">AO296+AO297</f>
        <v>603183.268284678</v>
      </c>
      <c r="AP298" s="30" t="n">
        <f aca="false">AP296+AP297</f>
        <v>589371.640784678</v>
      </c>
      <c r="AQ298" s="30" t="n">
        <f aca="false">AQ296+AQ297</f>
        <v>575560.013284677</v>
      </c>
      <c r="AR298" s="30" t="n">
        <f aca="false">AR296+AR297</f>
        <v>561748.380284678</v>
      </c>
      <c r="AS298" s="30" t="n">
        <f aca="false">AS296+AS297</f>
        <v>540123.984784677</v>
      </c>
      <c r="AT298" s="30" t="n">
        <f aca="false">AT296+AT297</f>
        <v>881736.545138177</v>
      </c>
      <c r="AU298" s="30" t="n">
        <f aca="false">AU296+AU297</f>
        <v>493084.9739703</v>
      </c>
      <c r="AV298" s="30" t="n">
        <f aca="false">AV296+AV297</f>
        <v>210619.300868547</v>
      </c>
      <c r="AW298" s="30" t="n">
        <f aca="false">AW296+AW297</f>
        <v>279260.689368547</v>
      </c>
      <c r="AX298" s="30" t="n">
        <f aca="false">AX296+AX297</f>
        <v>238456.690868547</v>
      </c>
      <c r="AY298" s="30" t="n">
        <f aca="false">AY296+AY297</f>
        <v>225509.615868547</v>
      </c>
      <c r="AZ298" s="30" t="n">
        <f aca="false">AZ296+AZ297</f>
        <v>281398.253368547</v>
      </c>
      <c r="BA298" s="30" t="n">
        <f aca="false">BA296+BA297</f>
        <v>199286.092868547</v>
      </c>
      <c r="BB298" s="30" t="n">
        <f aca="false">BB296+BB297</f>
        <v>198855.926868547</v>
      </c>
      <c r="BC298" s="30" t="n">
        <f aca="false">BC296+BC297</f>
        <v>1131946.77186855</v>
      </c>
      <c r="BD298" s="30" t="n">
        <f aca="false">BD296+BD297</f>
        <v>197995.611368547</v>
      </c>
      <c r="BE298" s="30" t="n">
        <f aca="false">BE296+BE297</f>
        <v>197565.450868547</v>
      </c>
      <c r="BF298" s="30" t="n">
        <f aca="false">BF296+BF297</f>
        <v>328013.290368547</v>
      </c>
      <c r="BG298" s="30" t="n">
        <f aca="false">BG296+BG297</f>
        <v>196705.129868547</v>
      </c>
      <c r="BH298" s="30" t="n">
        <f aca="false">BH296+BH297</f>
        <v>445211.244424147</v>
      </c>
      <c r="BI298" s="30" t="n">
        <f aca="false">BI296+BI297</f>
        <v>169061.168</v>
      </c>
      <c r="BJ298" s="30" t="n">
        <f aca="false">BJ296+BJ297</f>
        <v>37755.0075</v>
      </c>
      <c r="BK298" s="30" t="n">
        <f aca="false">BK296+BK297</f>
        <v>37324.847</v>
      </c>
      <c r="BL298" s="30" t="n">
        <f aca="false">BL296+BL297</f>
        <v>167770.692</v>
      </c>
      <c r="BM298" s="30" t="n">
        <f aca="false">BM296+BM297</f>
        <v>59965.026</v>
      </c>
      <c r="BN298" s="30" t="n">
        <f aca="false">BN296+BN297</f>
        <v>59534.8655</v>
      </c>
      <c r="BO298" s="30" t="n">
        <f aca="false">BO296+BO297</f>
        <v>243806.995</v>
      </c>
      <c r="BP298" s="30" t="n">
        <f aca="false">BP296+BP297</f>
        <v>0</v>
      </c>
      <c r="BQ298" s="30" t="n">
        <f aca="false">BQ296+BQ297</f>
        <v>0</v>
      </c>
      <c r="BR298" s="30" t="n">
        <f aca="false">BR296+BR297</f>
        <v>142406</v>
      </c>
      <c r="BS298" s="30" t="n">
        <f aca="false">BS296+BS297</f>
        <v>0</v>
      </c>
      <c r="BT298" s="30" t="n">
        <f aca="false">BT296+BT297</f>
        <v>0</v>
      </c>
      <c r="BU298" s="30" t="n">
        <f aca="false">BU296+BU297</f>
        <v>142402</v>
      </c>
      <c r="BV298" s="30" t="n">
        <f aca="false">BV296+BV297</f>
        <v>0</v>
      </c>
      <c r="BW298" s="30" t="n">
        <f aca="false">BW296+BW297</f>
        <v>0</v>
      </c>
      <c r="BX298" s="30" t="n">
        <f aca="false">BX296+BX297</f>
        <v>142402</v>
      </c>
      <c r="BY298" s="30" t="n">
        <f aca="false">BY296+BY297</f>
        <v>0</v>
      </c>
      <c r="BZ298" s="30" t="n">
        <f aca="false">BZ296+BZ297</f>
        <v>0</v>
      </c>
      <c r="CA298" s="30" t="n">
        <f aca="false">CA296+CA297</f>
        <v>215558</v>
      </c>
      <c r="CB298" s="30" t="n">
        <f aca="false">CB296+CB297</f>
        <v>0</v>
      </c>
      <c r="CC298" s="30" t="n">
        <f aca="false">CC296+CC297</f>
        <v>0</v>
      </c>
      <c r="CD298" s="30" t="n">
        <f aca="false">CD296+CD297</f>
        <v>231017</v>
      </c>
      <c r="CE298" s="30" t="n">
        <f aca="false">CE296+CE297</f>
        <v>0</v>
      </c>
      <c r="CF298" s="30" t="n">
        <f aca="false">CF296+CF297</f>
        <v>0</v>
      </c>
      <c r="CG298" s="30" t="n">
        <f aca="false">CG296+CG297</f>
        <v>231016</v>
      </c>
      <c r="CH298" s="30" t="n">
        <f aca="false">CH296+CH297</f>
        <v>0</v>
      </c>
      <c r="CI298" s="30" t="n">
        <f aca="false">CI296+CI297</f>
        <v>0</v>
      </c>
      <c r="CJ298" s="30" t="n">
        <f aca="false">CJ296+CJ297</f>
        <v>231016</v>
      </c>
      <c r="CK298" s="30" t="n">
        <f aca="false">CK296+CK297</f>
        <v>231016</v>
      </c>
      <c r="CL298" s="30" t="n">
        <f aca="false">CL296+CL297</f>
        <v>231016</v>
      </c>
      <c r="CM298" s="30" t="n">
        <f aca="false">CM296+CM297</f>
        <v>231016</v>
      </c>
      <c r="CN298" s="30" t="n">
        <f aca="false">CN296+CN297</f>
        <v>231016</v>
      </c>
      <c r="CO298" s="30" t="n">
        <f aca="false">CO296+CO297</f>
        <v>231016</v>
      </c>
      <c r="CP298" s="30" t="n">
        <f aca="false">CP296+CP297</f>
        <v>231016</v>
      </c>
      <c r="CQ298" s="30" t="n">
        <f aca="false">CQ296+CQ297</f>
        <v>231016</v>
      </c>
      <c r="CR298" s="30" t="n">
        <f aca="false">CR296+CR297</f>
        <v>231016</v>
      </c>
      <c r="CS298" s="30" t="n">
        <f aca="false">CS296+CS297</f>
        <v>231016</v>
      </c>
      <c r="CT298" s="30" t="n">
        <f aca="false">CT296+CT297</f>
        <v>231016</v>
      </c>
      <c r="CU298" s="30" t="n">
        <f aca="false">CU296+CU297</f>
        <v>231016</v>
      </c>
      <c r="CV298" s="30" t="n">
        <f aca="false">CV296+CV297</f>
        <v>231016</v>
      </c>
      <c r="CW298" s="30" t="n">
        <f aca="false">CW296+CW297</f>
        <v>231016</v>
      </c>
      <c r="CX298" s="30" t="n">
        <f aca="false">CX296+CX297</f>
        <v>231016</v>
      </c>
      <c r="CY298" s="30" t="n">
        <f aca="false">CY296+CY297</f>
        <v>231016</v>
      </c>
      <c r="CZ298" s="30" t="n">
        <f aca="false">CZ296+CZ297</f>
        <v>231016</v>
      </c>
      <c r="DA298" s="30" t="n">
        <f aca="false">DA296+DA297</f>
        <v>231016</v>
      </c>
      <c r="DB298" s="30" t="n">
        <f aca="false">DB296+DB297</f>
        <v>231016</v>
      </c>
      <c r="DC298" s="30" t="n">
        <f aca="false">DC296+DC297</f>
        <v>231016</v>
      </c>
      <c r="DD298" s="30" t="n">
        <f aca="false">DD296+DD297</f>
        <v>231016</v>
      </c>
      <c r="DE298" s="30" t="n">
        <f aca="false">DE296+DE297</f>
        <v>231016</v>
      </c>
    </row>
    <row r="299" customFormat="false" ht="15" hidden="false" customHeight="true" outlineLevel="0" collapsed="false">
      <c r="A299" s="40" t="s">
        <v>142</v>
      </c>
      <c r="B299" s="13" t="n">
        <f aca="false">B236</f>
        <v>-260601.5</v>
      </c>
      <c r="C299" s="13" t="n">
        <f aca="false">C236</f>
        <v>-260308.54</v>
      </c>
      <c r="D299" s="13" t="n">
        <f aca="false">D236</f>
        <v>-351937.74</v>
      </c>
      <c r="E299" s="13" t="n">
        <f aca="false">E236</f>
        <v>-73431.56</v>
      </c>
      <c r="F299" s="13" t="n">
        <f aca="false">F236</f>
        <v>-437914.85</v>
      </c>
      <c r="G299" s="13" t="n">
        <f aca="false">G236</f>
        <v>-323453.89</v>
      </c>
      <c r="H299" s="13" t="n">
        <f aca="false">H236</f>
        <v>-321511.57</v>
      </c>
      <c r="I299" s="13" t="n">
        <f aca="false">I236</f>
        <v>-385163.17</v>
      </c>
      <c r="J299" s="13" t="n">
        <f aca="false">J236</f>
        <v>-404365.935</v>
      </c>
      <c r="K299" s="13" t="n">
        <f aca="false">K236</f>
        <v>-394365.935</v>
      </c>
      <c r="L299" s="13" t="n">
        <f aca="false">L236</f>
        <v>-394365.935</v>
      </c>
      <c r="M299" s="13" t="n">
        <f aca="false">M236</f>
        <v>-464309.685</v>
      </c>
      <c r="N299" s="13" t="n">
        <f aca="false">N236</f>
        <v>-492474.268333333</v>
      </c>
      <c r="O299" s="13" t="n">
        <f aca="false">O236</f>
        <v>-607200.123541667</v>
      </c>
      <c r="P299" s="13" t="n">
        <f aca="false">P236</f>
        <v>-487476.351666667</v>
      </c>
      <c r="Q299" s="13" t="n">
        <f aca="false">Q236</f>
        <v>-567713.5037</v>
      </c>
      <c r="R299" s="13" t="n">
        <f aca="false">R236</f>
        <v>-616473.7537</v>
      </c>
      <c r="S299" s="13" t="n">
        <f aca="false">S236</f>
        <v>-630179.4162</v>
      </c>
      <c r="T299" s="13" t="n">
        <f aca="false">T236</f>
        <v>-632348.4662</v>
      </c>
      <c r="U299" s="13" t="n">
        <f aca="false">U236</f>
        <v>-631411.9262</v>
      </c>
      <c r="V299" s="13" t="n">
        <f aca="false">V236</f>
        <v>-585305.0037</v>
      </c>
      <c r="W299" s="13" t="n">
        <f aca="false">W236</f>
        <v>-585305.0037</v>
      </c>
      <c r="X299" s="13" t="n">
        <f aca="false">X236</f>
        <v>-585305.0037</v>
      </c>
      <c r="Y299" s="13" t="n">
        <f aca="false">Y236</f>
        <v>-647870.83015</v>
      </c>
      <c r="Z299" s="13" t="n">
        <f aca="false">Z236</f>
        <v>-582754.763315385</v>
      </c>
      <c r="AA299" s="13" t="n">
        <f aca="false">AA236</f>
        <v>-573139.3787</v>
      </c>
      <c r="AB299" s="13" t="n">
        <f aca="false">AB236</f>
        <v>-571507.224853846</v>
      </c>
      <c r="AC299" s="13" t="n">
        <f aca="false">AC236</f>
        <v>-576660.446274</v>
      </c>
      <c r="AD299" s="13" t="n">
        <f aca="false">AD236</f>
        <v>-570291.145697077</v>
      </c>
      <c r="AE299" s="13" t="n">
        <f aca="false">AE236</f>
        <v>-548368.068774</v>
      </c>
      <c r="AF299" s="13" t="n">
        <f aca="false">AF236</f>
        <v>-548368.068774</v>
      </c>
      <c r="AG299" s="13" t="n">
        <f aca="false">AG236</f>
        <v>-548368.068774</v>
      </c>
      <c r="AH299" s="13" t="n">
        <f aca="false">AH236</f>
        <v>-544792.321081692</v>
      </c>
      <c r="AI299" s="13" t="n">
        <f aca="false">AI236</f>
        <v>-532484.628774</v>
      </c>
      <c r="AJ299" s="13" t="n">
        <f aca="false">AJ236</f>
        <v>-532484.628774</v>
      </c>
      <c r="AK299" s="13" t="n">
        <f aca="false">AK236</f>
        <v>-532484.628774</v>
      </c>
      <c r="AL299" s="13" t="n">
        <f aca="false">AL236</f>
        <v>-530696.754927846</v>
      </c>
      <c r="AM299" s="13" t="n">
        <f aca="false">AM236</f>
        <v>-510463.402235539</v>
      </c>
      <c r="AN299" s="13" t="n">
        <f aca="false">AN236</f>
        <v>-455632.563197077</v>
      </c>
      <c r="AO299" s="13" t="n">
        <f aca="false">AO236</f>
        <v>-442383.67599948</v>
      </c>
      <c r="AP299" s="13" t="n">
        <f aca="false">AP236</f>
        <v>-442383.67599948</v>
      </c>
      <c r="AQ299" s="13" t="n">
        <f aca="false">AQ236</f>
        <v>-436178.543464865</v>
      </c>
      <c r="AR299" s="13" t="n">
        <f aca="false">AR236</f>
        <v>-416563.15884948</v>
      </c>
      <c r="AS299" s="13" t="n">
        <f aca="false">AS236</f>
        <v>-413521.427214865</v>
      </c>
      <c r="AT299" s="13" t="n">
        <f aca="false">AT236</f>
        <v>-403906.04259948</v>
      </c>
      <c r="AU299" s="13" t="n">
        <f aca="false">AU236</f>
        <v>-403906.04259948</v>
      </c>
      <c r="AV299" s="13" t="n">
        <f aca="false">AV236</f>
        <v>-403906.04259948</v>
      </c>
      <c r="AW299" s="13" t="n">
        <f aca="false">AW236</f>
        <v>-403906.04259948</v>
      </c>
      <c r="AX299" s="13" t="n">
        <f aca="false">AX236</f>
        <v>-403906.04259948</v>
      </c>
      <c r="AY299" s="13" t="n">
        <f aca="false">AY236</f>
        <v>-403906.04259948</v>
      </c>
      <c r="AZ299" s="13" t="n">
        <f aca="false">AZ236</f>
        <v>-403906.04259948</v>
      </c>
      <c r="BA299" s="13" t="n">
        <f aca="false">BA236</f>
        <v>-411984.16345147</v>
      </c>
      <c r="BB299" s="13" t="n">
        <f aca="false">BB236</f>
        <v>-411984.16345147</v>
      </c>
      <c r="BC299" s="13" t="n">
        <f aca="false">BC236</f>
        <v>-411984.16345147</v>
      </c>
      <c r="BD299" s="13" t="n">
        <f aca="false">BD236</f>
        <v>-411984.16345147</v>
      </c>
      <c r="BE299" s="13" t="n">
        <f aca="false">BE236</f>
        <v>-411984.16345147</v>
      </c>
      <c r="BF299" s="13" t="n">
        <f aca="false">BF236</f>
        <v>-411984.16345147</v>
      </c>
      <c r="BG299" s="13" t="n">
        <f aca="false">BG236</f>
        <v>-411984.16345147</v>
      </c>
      <c r="BH299" s="13" t="n">
        <f aca="false">BH236</f>
        <v>-411984.16345147</v>
      </c>
      <c r="BI299" s="13" t="n">
        <f aca="false">BI236</f>
        <v>-411984.16345147</v>
      </c>
      <c r="BJ299" s="13" t="n">
        <f aca="false">BJ236</f>
        <v>-411984.16345147</v>
      </c>
      <c r="BK299" s="13" t="n">
        <f aca="false">BK236</f>
        <v>-411984.16345147</v>
      </c>
      <c r="BL299" s="13" t="n">
        <f aca="false">BL236</f>
        <v>-411984.16345147</v>
      </c>
      <c r="BM299" s="13" t="n">
        <f aca="false">BM236</f>
        <v>-420223.846720499</v>
      </c>
      <c r="BN299" s="13" t="n">
        <f aca="false">BN236</f>
        <v>-420223.846720499</v>
      </c>
      <c r="BO299" s="13" t="n">
        <f aca="false">BO236</f>
        <v>-420223.846720499</v>
      </c>
      <c r="BP299" s="13" t="n">
        <f aca="false">BP236</f>
        <v>-420223.846720499</v>
      </c>
      <c r="BQ299" s="13" t="n">
        <f aca="false">BQ236</f>
        <v>-420223.846720499</v>
      </c>
      <c r="BR299" s="13" t="n">
        <f aca="false">BR236</f>
        <v>-420223.846720499</v>
      </c>
      <c r="BS299" s="13" t="n">
        <f aca="false">BS236</f>
        <v>-420223.846720499</v>
      </c>
      <c r="BT299" s="13" t="n">
        <f aca="false">BT236</f>
        <v>-420223.846720499</v>
      </c>
      <c r="BU299" s="13" t="n">
        <f aca="false">BU236</f>
        <v>-420223.846720499</v>
      </c>
      <c r="BV299" s="13" t="n">
        <f aca="false">BV236</f>
        <v>-420223.846720499</v>
      </c>
      <c r="BW299" s="13" t="n">
        <f aca="false">BW236</f>
        <v>-420223.846720499</v>
      </c>
      <c r="BX299" s="13" t="n">
        <f aca="false">BX236</f>
        <v>-420223.846720499</v>
      </c>
      <c r="BY299" s="13" t="n">
        <f aca="false">BY236</f>
        <v>-428628.323654909</v>
      </c>
      <c r="BZ299" s="13" t="n">
        <f aca="false">BZ236</f>
        <v>-428628.323654909</v>
      </c>
      <c r="CA299" s="13" t="n">
        <f aca="false">CA236</f>
        <v>-428628.323654909</v>
      </c>
      <c r="CB299" s="13" t="n">
        <f aca="false">CB236</f>
        <v>-428628.323654909</v>
      </c>
      <c r="CC299" s="13" t="n">
        <f aca="false">CC236</f>
        <v>-428628.323654909</v>
      </c>
      <c r="CD299" s="13" t="n">
        <f aca="false">CD236</f>
        <v>-428628.323654909</v>
      </c>
      <c r="CE299" s="13" t="n">
        <f aca="false">CE236</f>
        <v>-428628.323654909</v>
      </c>
      <c r="CF299" s="13" t="n">
        <f aca="false">CF236</f>
        <v>-428628.323654909</v>
      </c>
      <c r="CG299" s="13" t="n">
        <f aca="false">CG236</f>
        <v>-428628.323654909</v>
      </c>
      <c r="CH299" s="13" t="n">
        <f aca="false">CH236</f>
        <v>-428628.323654909</v>
      </c>
      <c r="CI299" s="13" t="n">
        <f aca="false">CI236</f>
        <v>-428628.323654909</v>
      </c>
      <c r="CJ299" s="13" t="n">
        <f aca="false">CJ236</f>
        <v>-428628.323654909</v>
      </c>
      <c r="CK299" s="13" t="n">
        <f aca="false">CK236</f>
        <v>-437200.890128007</v>
      </c>
      <c r="CL299" s="13" t="n">
        <f aca="false">CL236</f>
        <v>-437200.890128007</v>
      </c>
      <c r="CM299" s="13" t="n">
        <f aca="false">CM236</f>
        <v>-437200.890128007</v>
      </c>
      <c r="CN299" s="13" t="n">
        <f aca="false">CN236</f>
        <v>-437200.890128007</v>
      </c>
      <c r="CO299" s="13" t="n">
        <f aca="false">CO236</f>
        <v>-437200.890128007</v>
      </c>
      <c r="CP299" s="13" t="n">
        <f aca="false">CP236</f>
        <v>-437200.890128007</v>
      </c>
      <c r="CQ299" s="13" t="n">
        <f aca="false">CQ236</f>
        <v>-437200.890128007</v>
      </c>
      <c r="CR299" s="13" t="n">
        <f aca="false">CR236</f>
        <v>-437200.890128007</v>
      </c>
      <c r="CS299" s="13" t="n">
        <f aca="false">CS236</f>
        <v>-437200.890128007</v>
      </c>
      <c r="CT299" s="13" t="n">
        <f aca="false">CT236</f>
        <v>-385420.730516558</v>
      </c>
      <c r="CU299" s="13" t="n">
        <f aca="false">CU236</f>
        <v>-385420.730516558</v>
      </c>
      <c r="CV299" s="13" t="n">
        <f aca="false">CV236</f>
        <v>-385420.730516558</v>
      </c>
      <c r="CW299" s="13" t="n">
        <f aca="false">CW236</f>
        <v>-393129.145126889</v>
      </c>
      <c r="CX299" s="13" t="n">
        <f aca="false">CX236</f>
        <v>-393129.145126889</v>
      </c>
      <c r="CY299" s="13" t="n">
        <f aca="false">CY236</f>
        <v>-393129.145126889</v>
      </c>
      <c r="CZ299" s="13" t="n">
        <f aca="false">CZ236</f>
        <v>-393129.145126889</v>
      </c>
      <c r="DA299" s="13" t="n">
        <f aca="false">DA236</f>
        <v>-393129.145126889</v>
      </c>
      <c r="DB299" s="13" t="n">
        <f aca="false">DB236</f>
        <v>-393129.145126889</v>
      </c>
      <c r="DC299" s="13" t="n">
        <f aca="false">DC236</f>
        <v>-393129.145126889</v>
      </c>
      <c r="DD299" s="13" t="n">
        <f aca="false">DD236</f>
        <v>-393129.145126889</v>
      </c>
      <c r="DE299" s="13" t="n">
        <f aca="false">DE236</f>
        <v>-393129.145126889</v>
      </c>
    </row>
    <row r="300" customFormat="false" ht="15" hidden="false" customHeight="true" outlineLevel="0" collapsed="false">
      <c r="A300" s="40" t="s">
        <v>122</v>
      </c>
      <c r="B300" s="13" t="n">
        <f aca="false">B292</f>
        <v>-198827.72</v>
      </c>
      <c r="C300" s="13" t="n">
        <f aca="false">C292</f>
        <v>-192502</v>
      </c>
      <c r="D300" s="13" t="n">
        <f aca="false">D292</f>
        <v>-255024.1</v>
      </c>
      <c r="E300" s="13" t="n">
        <f aca="false">E292</f>
        <v>-195904.72</v>
      </c>
      <c r="F300" s="13" t="n">
        <f aca="false">F292</f>
        <v>-250029.52</v>
      </c>
      <c r="G300" s="13" t="n">
        <f aca="false">G292</f>
        <v>-147940.79</v>
      </c>
      <c r="H300" s="13" t="n">
        <f aca="false">H292</f>
        <v>-196497.94</v>
      </c>
      <c r="I300" s="13" t="n">
        <f aca="false">I292</f>
        <v>-184415.27</v>
      </c>
      <c r="J300" s="13" t="n">
        <f aca="false">J292</f>
        <v>-188116.133333333</v>
      </c>
      <c r="K300" s="13" t="n">
        <f aca="false">K292</f>
        <v>-188116.133333333</v>
      </c>
      <c r="L300" s="13" t="n">
        <f aca="false">L292</f>
        <v>-188116.133333333</v>
      </c>
      <c r="M300" s="13" t="n">
        <f aca="false">M292</f>
        <v>-184616.133333333</v>
      </c>
      <c r="N300" s="13" t="n">
        <f aca="false">N292</f>
        <v>-184616.133333333</v>
      </c>
      <c r="O300" s="13" t="n">
        <f aca="false">O292</f>
        <v>-184616.133333333</v>
      </c>
      <c r="P300" s="13" t="n">
        <f aca="false">P292</f>
        <v>-184616.133333333</v>
      </c>
      <c r="Q300" s="13" t="n">
        <f aca="false">Q292</f>
        <v>-188208.456</v>
      </c>
      <c r="R300" s="13" t="n">
        <f aca="false">R292</f>
        <v>-188208.456</v>
      </c>
      <c r="S300" s="13" t="n">
        <f aca="false">S292</f>
        <v>-188208.456</v>
      </c>
      <c r="T300" s="13" t="n">
        <f aca="false">T292</f>
        <v>-188208.456</v>
      </c>
      <c r="U300" s="13" t="n">
        <f aca="false">U292</f>
        <v>-188208.456</v>
      </c>
      <c r="V300" s="13" t="n">
        <f aca="false">V292</f>
        <v>-188208.456</v>
      </c>
      <c r="W300" s="13" t="n">
        <f aca="false">W292</f>
        <v>-188208.456</v>
      </c>
      <c r="X300" s="13" t="n">
        <f aca="false">X292</f>
        <v>-188208.456</v>
      </c>
      <c r="Y300" s="13" t="n">
        <f aca="false">Y292</f>
        <v>-188208.456</v>
      </c>
      <c r="Z300" s="13" t="n">
        <f aca="false">Z292</f>
        <v>-188208.456</v>
      </c>
      <c r="AA300" s="13" t="n">
        <f aca="false">AA292</f>
        <v>-188208.456</v>
      </c>
      <c r="AB300" s="13" t="n">
        <f aca="false">AB292</f>
        <v>-188208.456</v>
      </c>
      <c r="AC300" s="13" t="n">
        <f aca="false">AC292</f>
        <v>-191872.62512</v>
      </c>
      <c r="AD300" s="13" t="n">
        <f aca="false">AD292</f>
        <v>-191872.62512</v>
      </c>
      <c r="AE300" s="13" t="n">
        <f aca="false">AE292</f>
        <v>-191872.62512</v>
      </c>
      <c r="AF300" s="13" t="n">
        <f aca="false">AF292</f>
        <v>-191872.62512</v>
      </c>
      <c r="AG300" s="13" t="n">
        <f aca="false">AG292</f>
        <v>-191872.62512</v>
      </c>
      <c r="AH300" s="13" t="n">
        <f aca="false">AH292</f>
        <v>-191872.62512</v>
      </c>
      <c r="AI300" s="13" t="n">
        <f aca="false">AI292</f>
        <v>-191872.62512</v>
      </c>
      <c r="AJ300" s="13" t="n">
        <f aca="false">AJ292</f>
        <v>-191872.62512</v>
      </c>
      <c r="AK300" s="13" t="n">
        <f aca="false">AK292</f>
        <v>-191872.62512</v>
      </c>
      <c r="AL300" s="13" t="n">
        <f aca="false">AL292</f>
        <v>-191872.62512</v>
      </c>
      <c r="AM300" s="13" t="n">
        <f aca="false">AM292</f>
        <v>-191872.62512</v>
      </c>
      <c r="AN300" s="13" t="n">
        <f aca="false">AN292</f>
        <v>-191872.62512</v>
      </c>
      <c r="AO300" s="13" t="n">
        <f aca="false">AO292</f>
        <v>-195610.0776224</v>
      </c>
      <c r="AP300" s="13" t="n">
        <f aca="false">AP292</f>
        <v>-195610.0776224</v>
      </c>
      <c r="AQ300" s="13" t="n">
        <f aca="false">AQ292</f>
        <v>-195610.0776224</v>
      </c>
      <c r="AR300" s="13" t="n">
        <f aca="false">AR292</f>
        <v>-195610.0776224</v>
      </c>
      <c r="AS300" s="13" t="n">
        <f aca="false">AS292</f>
        <v>-195610.0776224</v>
      </c>
      <c r="AT300" s="13" t="n">
        <f aca="false">AT292</f>
        <v>-277293.0776224</v>
      </c>
      <c r="AU300" s="13" t="n">
        <f aca="false">AU292</f>
        <v>-195610.0776224</v>
      </c>
      <c r="AV300" s="13" t="n">
        <f aca="false">AV292</f>
        <v>-195610.0776224</v>
      </c>
      <c r="AW300" s="13" t="n">
        <f aca="false">AW292</f>
        <v>-277292.0776224</v>
      </c>
      <c r="AX300" s="13" t="n">
        <f aca="false">AX292</f>
        <v>-195610.0776224</v>
      </c>
      <c r="AY300" s="13" t="n">
        <f aca="false">AY292</f>
        <v>-195610.0776224</v>
      </c>
      <c r="AZ300" s="13" t="n">
        <f aca="false">AZ292</f>
        <v>-277292.0776224</v>
      </c>
      <c r="BA300" s="13" t="n">
        <f aca="false">BA292</f>
        <v>-199422.279174848</v>
      </c>
      <c r="BB300" s="13" t="n">
        <f aca="false">BB292</f>
        <v>-199422.279174848</v>
      </c>
      <c r="BC300" s="13" t="n">
        <f aca="false">BC292</f>
        <v>-1132943.27917485</v>
      </c>
      <c r="BD300" s="13" t="n">
        <f aca="false">BD292</f>
        <v>-199422.279174848</v>
      </c>
      <c r="BE300" s="13" t="n">
        <f aca="false">BE292</f>
        <v>-199422.279174848</v>
      </c>
      <c r="BF300" s="13" t="n">
        <f aca="false">BF292</f>
        <v>-330300.279174848</v>
      </c>
      <c r="BG300" s="13" t="n">
        <f aca="false">BG292</f>
        <v>-199422.279174848</v>
      </c>
      <c r="BH300" s="13" t="n">
        <f aca="false">BH292</f>
        <v>-199422.279174848</v>
      </c>
      <c r="BI300" s="13" t="n">
        <f aca="false">BI292</f>
        <v>-330298.279174848</v>
      </c>
      <c r="BJ300" s="13" t="n">
        <f aca="false">BJ292</f>
        <v>-199422.279174848</v>
      </c>
      <c r="BK300" s="13" t="n">
        <f aca="false">BK292</f>
        <v>-199422.279174848</v>
      </c>
      <c r="BL300" s="13" t="n">
        <f aca="false">BL292</f>
        <v>-330298.279174848</v>
      </c>
      <c r="BM300" s="13" t="n">
        <f aca="false">BM292</f>
        <v>-203310.724758345</v>
      </c>
      <c r="BN300" s="13" t="n">
        <f aca="false">BN292</f>
        <v>-203310.724758345</v>
      </c>
      <c r="BO300" s="13" t="n">
        <f aca="false">BO292</f>
        <v>-334186.724758345</v>
      </c>
      <c r="BP300" s="13" t="n">
        <f aca="false">BP292</f>
        <v>-203310.724758345</v>
      </c>
      <c r="BQ300" s="13" t="n">
        <f aca="false">BQ292</f>
        <v>-203310.724758345</v>
      </c>
      <c r="BR300" s="13" t="n">
        <f aca="false">BR292</f>
        <v>-292466.374758345</v>
      </c>
      <c r="BS300" s="13" t="n">
        <f aca="false">BS292</f>
        <v>-203310.724758345</v>
      </c>
      <c r="BT300" s="13" t="n">
        <f aca="false">BT292</f>
        <v>-203310.724758345</v>
      </c>
      <c r="BU300" s="13" t="n">
        <f aca="false">BU292</f>
        <v>-277950.724758345</v>
      </c>
      <c r="BV300" s="13" t="n">
        <f aca="false">BV292</f>
        <v>-203310.724758345</v>
      </c>
      <c r="BW300" s="13" t="n">
        <f aca="false">BW292</f>
        <v>-203310.724758345</v>
      </c>
      <c r="BX300" s="13" t="n">
        <f aca="false">BX292</f>
        <v>-277950.724758345</v>
      </c>
      <c r="BY300" s="13" t="n">
        <f aca="false">BY292</f>
        <v>-207276.939253512</v>
      </c>
      <c r="BZ300" s="13" t="n">
        <f aca="false">BZ292</f>
        <v>-207276.939253512</v>
      </c>
      <c r="CA300" s="13" t="n">
        <f aca="false">CA292</f>
        <v>-355072.939253512</v>
      </c>
      <c r="CB300" s="13" t="n">
        <f aca="false">CB292</f>
        <v>-207276.939253512</v>
      </c>
      <c r="CC300" s="13" t="n">
        <f aca="false">CC292</f>
        <v>-207276.939253512</v>
      </c>
      <c r="CD300" s="13" t="n">
        <f aca="false">CD292</f>
        <v>-361794.939253512</v>
      </c>
      <c r="CE300" s="13" t="n">
        <f aca="false">CE292</f>
        <v>-207276.939253512</v>
      </c>
      <c r="CF300" s="13" t="n">
        <f aca="false">CF292</f>
        <v>-207276.939253512</v>
      </c>
      <c r="CG300" s="13" t="n">
        <f aca="false">CG292</f>
        <v>-361793.939253512</v>
      </c>
      <c r="CH300" s="13" t="n">
        <f aca="false">CH292</f>
        <v>-207276.939253512</v>
      </c>
      <c r="CI300" s="13" t="n">
        <f aca="false">CI292</f>
        <v>-207276.939253512</v>
      </c>
      <c r="CJ300" s="13" t="n">
        <f aca="false">CJ292</f>
        <v>-355185.912647033</v>
      </c>
      <c r="CK300" s="13" t="n">
        <f aca="false">CK292</f>
        <v>-284477.478038582</v>
      </c>
      <c r="CL300" s="13" t="n">
        <f aca="false">CL292</f>
        <v>-284477.478038582</v>
      </c>
      <c r="CM300" s="13" t="n">
        <f aca="false">CM292</f>
        <v>-284477.478038582</v>
      </c>
      <c r="CN300" s="13" t="n">
        <f aca="false">CN292</f>
        <v>-284477.478038582</v>
      </c>
      <c r="CO300" s="13" t="n">
        <f aca="false">CO292</f>
        <v>-284477.478038582</v>
      </c>
      <c r="CP300" s="13" t="n">
        <f aca="false">CP292</f>
        <v>-284477.478038582</v>
      </c>
      <c r="CQ300" s="13" t="n">
        <f aca="false">CQ292</f>
        <v>-284477.478038582</v>
      </c>
      <c r="CR300" s="13" t="n">
        <f aca="false">CR292</f>
        <v>-284477.478038582</v>
      </c>
      <c r="CS300" s="13" t="n">
        <f aca="false">CS292</f>
        <v>-284477.478038582</v>
      </c>
      <c r="CT300" s="13" t="n">
        <f aca="false">CT292</f>
        <v>-275455.509357253</v>
      </c>
      <c r="CU300" s="13" t="n">
        <f aca="false">CU292</f>
        <v>-275455.509357253</v>
      </c>
      <c r="CV300" s="13" t="n">
        <f aca="false">CV292</f>
        <v>-275455.509357253</v>
      </c>
      <c r="CW300" s="13" t="n">
        <f aca="false">CW292</f>
        <v>-223693.368480806</v>
      </c>
      <c r="CX300" s="13" t="n">
        <f aca="false">CX292</f>
        <v>-206246.519544398</v>
      </c>
      <c r="CY300" s="13" t="n">
        <f aca="false">CY292</f>
        <v>-206246.519544398</v>
      </c>
      <c r="CZ300" s="13" t="n">
        <f aca="false">CZ292</f>
        <v>-206246.519544398</v>
      </c>
      <c r="DA300" s="13" t="n">
        <f aca="false">DA292</f>
        <v>-206246.519544398</v>
      </c>
      <c r="DB300" s="13" t="n">
        <f aca="false">DB292</f>
        <v>-206246.519544398</v>
      </c>
      <c r="DC300" s="13" t="n">
        <f aca="false">DC292</f>
        <v>-206246.519544398</v>
      </c>
      <c r="DD300" s="13" t="n">
        <f aca="false">DD292</f>
        <v>-206246.519544398</v>
      </c>
      <c r="DE300" s="13" t="n">
        <f aca="false">DE292</f>
        <v>-206246.519544398</v>
      </c>
    </row>
    <row r="301" customFormat="false" ht="15" hidden="false" customHeight="true" outlineLevel="0" collapsed="false">
      <c r="A301" s="41" t="s">
        <v>143</v>
      </c>
      <c r="B301" s="30" t="n">
        <f aca="false">B299+B300</f>
        <v>-459429.22</v>
      </c>
      <c r="C301" s="30" t="n">
        <f aca="false">C299+C300</f>
        <v>-452810.54</v>
      </c>
      <c r="D301" s="30" t="n">
        <f aca="false">D299+D300</f>
        <v>-606961.84</v>
      </c>
      <c r="E301" s="30" t="n">
        <f aca="false">E299+E300</f>
        <v>-269336.28</v>
      </c>
      <c r="F301" s="30" t="n">
        <f aca="false">F299+F300</f>
        <v>-687944.37</v>
      </c>
      <c r="G301" s="30" t="n">
        <f aca="false">G299+G300</f>
        <v>-471394.68</v>
      </c>
      <c r="H301" s="30" t="n">
        <f aca="false">H299+H300</f>
        <v>-518009.51</v>
      </c>
      <c r="I301" s="30" t="n">
        <f aca="false">I299+I300</f>
        <v>-569578.44</v>
      </c>
      <c r="J301" s="30" t="n">
        <f aca="false">J299+J300</f>
        <v>-592482.068333333</v>
      </c>
      <c r="K301" s="30" t="n">
        <f aca="false">K299+K300</f>
        <v>-582482.068333333</v>
      </c>
      <c r="L301" s="30" t="n">
        <f aca="false">L299+L300</f>
        <v>-582482.068333333</v>
      </c>
      <c r="M301" s="30" t="n">
        <f aca="false">M299+M300</f>
        <v>-648925.818333333</v>
      </c>
      <c r="N301" s="30" t="n">
        <f aca="false">N299+N300</f>
        <v>-677090.401666667</v>
      </c>
      <c r="O301" s="30" t="n">
        <f aca="false">O299+O300</f>
        <v>-791816.256875</v>
      </c>
      <c r="P301" s="30" t="n">
        <f aca="false">P299+P300</f>
        <v>-672092.485</v>
      </c>
      <c r="Q301" s="30" t="n">
        <f aca="false">Q299+Q300</f>
        <v>-755921.9597</v>
      </c>
      <c r="R301" s="30" t="n">
        <f aca="false">R299+R300</f>
        <v>-804682.2097</v>
      </c>
      <c r="S301" s="30" t="n">
        <f aca="false">S299+S300</f>
        <v>-818387.8722</v>
      </c>
      <c r="T301" s="30" t="n">
        <f aca="false">T299+T300</f>
        <v>-820556.9222</v>
      </c>
      <c r="U301" s="30" t="n">
        <f aca="false">U299+U300</f>
        <v>-819620.3822</v>
      </c>
      <c r="V301" s="30" t="n">
        <f aca="false">V299+V300</f>
        <v>-773513.4597</v>
      </c>
      <c r="W301" s="30" t="n">
        <f aca="false">W299+W300</f>
        <v>-773513.4597</v>
      </c>
      <c r="X301" s="30" t="n">
        <f aca="false">X299+X300</f>
        <v>-773513.4597</v>
      </c>
      <c r="Y301" s="30" t="n">
        <f aca="false">Y299+Y300</f>
        <v>-836079.28615</v>
      </c>
      <c r="Z301" s="30" t="n">
        <f aca="false">Z299+Z300</f>
        <v>-770963.219315385</v>
      </c>
      <c r="AA301" s="30" t="n">
        <f aca="false">AA299+AA300</f>
        <v>-761347.8347</v>
      </c>
      <c r="AB301" s="30" t="n">
        <f aca="false">AB299+AB300</f>
        <v>-759715.680853846</v>
      </c>
      <c r="AC301" s="30" t="n">
        <f aca="false">AC299+AC300</f>
        <v>-768533.071394</v>
      </c>
      <c r="AD301" s="30" t="n">
        <f aca="false">AD299+AD300</f>
        <v>-762163.770817077</v>
      </c>
      <c r="AE301" s="30" t="n">
        <f aca="false">AE299+AE300</f>
        <v>-740240.693894</v>
      </c>
      <c r="AF301" s="30" t="n">
        <f aca="false">AF299+AF300</f>
        <v>-740240.693894</v>
      </c>
      <c r="AG301" s="30" t="n">
        <f aca="false">AG299+AG300</f>
        <v>-740240.693894</v>
      </c>
      <c r="AH301" s="30" t="n">
        <f aca="false">AH299+AH300</f>
        <v>-736664.946201692</v>
      </c>
      <c r="AI301" s="30" t="n">
        <f aca="false">AI299+AI300</f>
        <v>-724357.253894</v>
      </c>
      <c r="AJ301" s="30" t="n">
        <f aca="false">AJ299+AJ300</f>
        <v>-724357.253894</v>
      </c>
      <c r="AK301" s="30" t="n">
        <f aca="false">AK299+AK300</f>
        <v>-724357.253894</v>
      </c>
      <c r="AL301" s="30" t="n">
        <f aca="false">AL299+AL300</f>
        <v>-722569.380047846</v>
      </c>
      <c r="AM301" s="30" t="n">
        <f aca="false">AM299+AM300</f>
        <v>-702336.027355539</v>
      </c>
      <c r="AN301" s="30" t="n">
        <f aca="false">AN299+AN300</f>
        <v>-647505.188317077</v>
      </c>
      <c r="AO301" s="30" t="n">
        <f aca="false">AO299+AO300</f>
        <v>-637993.75362188</v>
      </c>
      <c r="AP301" s="30" t="n">
        <f aca="false">AP299+AP300</f>
        <v>-637993.75362188</v>
      </c>
      <c r="AQ301" s="30" t="n">
        <f aca="false">AQ299+AQ300</f>
        <v>-631788.621087265</v>
      </c>
      <c r="AR301" s="30" t="n">
        <f aca="false">AR299+AR300</f>
        <v>-612173.23647188</v>
      </c>
      <c r="AS301" s="30" t="n">
        <f aca="false">AS299+AS300</f>
        <v>-609131.504837265</v>
      </c>
      <c r="AT301" s="30" t="n">
        <f aca="false">AT299+AT300</f>
        <v>-681199.12022188</v>
      </c>
      <c r="AU301" s="30" t="n">
        <f aca="false">AU299+AU300</f>
        <v>-599516.12022188</v>
      </c>
      <c r="AV301" s="30" t="n">
        <f aca="false">AV299+AV300</f>
        <v>-599516.12022188</v>
      </c>
      <c r="AW301" s="30" t="n">
        <f aca="false">AW299+AW300</f>
        <v>-681198.12022188</v>
      </c>
      <c r="AX301" s="30" t="n">
        <f aca="false">AX299+AX300</f>
        <v>-599516.12022188</v>
      </c>
      <c r="AY301" s="30" t="n">
        <f aca="false">AY299+AY300</f>
        <v>-599516.12022188</v>
      </c>
      <c r="AZ301" s="30" t="n">
        <f aca="false">AZ299+AZ300</f>
        <v>-681198.12022188</v>
      </c>
      <c r="BA301" s="30" t="n">
        <f aca="false">BA299+BA300</f>
        <v>-611406.442626318</v>
      </c>
      <c r="BB301" s="30" t="n">
        <f aca="false">BB299+BB300</f>
        <v>-611406.442626318</v>
      </c>
      <c r="BC301" s="30" t="n">
        <f aca="false">BC299+BC300</f>
        <v>-1544927.44262632</v>
      </c>
      <c r="BD301" s="30" t="n">
        <f aca="false">BD299+BD300</f>
        <v>-611406.442626318</v>
      </c>
      <c r="BE301" s="30" t="n">
        <f aca="false">BE299+BE300</f>
        <v>-611406.442626318</v>
      </c>
      <c r="BF301" s="30" t="n">
        <f aca="false">BF299+BF300</f>
        <v>-742284.442626318</v>
      </c>
      <c r="BG301" s="30" t="n">
        <f aca="false">BG299+BG300</f>
        <v>-611406.442626318</v>
      </c>
      <c r="BH301" s="30" t="n">
        <f aca="false">BH299+BH300</f>
        <v>-611406.442626318</v>
      </c>
      <c r="BI301" s="30" t="n">
        <f aca="false">BI299+BI300</f>
        <v>-742282.442626318</v>
      </c>
      <c r="BJ301" s="30" t="n">
        <f aca="false">BJ299+BJ300</f>
        <v>-611406.442626318</v>
      </c>
      <c r="BK301" s="30" t="n">
        <f aca="false">BK299+BK300</f>
        <v>-611406.442626318</v>
      </c>
      <c r="BL301" s="30" t="n">
        <f aca="false">BL299+BL300</f>
        <v>-742282.442626318</v>
      </c>
      <c r="BM301" s="30" t="n">
        <f aca="false">BM299+BM300</f>
        <v>-623534.571478844</v>
      </c>
      <c r="BN301" s="30" t="n">
        <f aca="false">BN299+BN300</f>
        <v>-623534.571478844</v>
      </c>
      <c r="BO301" s="30" t="n">
        <f aca="false">BO299+BO300</f>
        <v>-754410.571478844</v>
      </c>
      <c r="BP301" s="30" t="n">
        <f aca="false">BP299+BP300</f>
        <v>-623534.571478844</v>
      </c>
      <c r="BQ301" s="30" t="n">
        <f aca="false">BQ299+BQ300</f>
        <v>-623534.571478844</v>
      </c>
      <c r="BR301" s="30" t="n">
        <f aca="false">BR299+BR300</f>
        <v>-712690.221478844</v>
      </c>
      <c r="BS301" s="30" t="n">
        <f aca="false">BS299+BS300</f>
        <v>-623534.571478844</v>
      </c>
      <c r="BT301" s="30" t="n">
        <f aca="false">BT299+BT300</f>
        <v>-623534.571478844</v>
      </c>
      <c r="BU301" s="30" t="n">
        <f aca="false">BU299+BU300</f>
        <v>-698174.571478844</v>
      </c>
      <c r="BV301" s="30" t="n">
        <f aca="false">BV299+BV300</f>
        <v>-623534.571478844</v>
      </c>
      <c r="BW301" s="30" t="n">
        <f aca="false">BW299+BW300</f>
        <v>-623534.571478844</v>
      </c>
      <c r="BX301" s="30" t="n">
        <f aca="false">BX299+BX300</f>
        <v>-698174.571478844</v>
      </c>
      <c r="BY301" s="30" t="n">
        <f aca="false">BY299+BY300</f>
        <v>-635905.262908421</v>
      </c>
      <c r="BZ301" s="30" t="n">
        <f aca="false">BZ299+BZ300</f>
        <v>-635905.262908421</v>
      </c>
      <c r="CA301" s="30" t="n">
        <f aca="false">CA299+CA300</f>
        <v>-783701.262908421</v>
      </c>
      <c r="CB301" s="30" t="n">
        <f aca="false">CB299+CB300</f>
        <v>-635905.262908421</v>
      </c>
      <c r="CC301" s="30" t="n">
        <f aca="false">CC299+CC300</f>
        <v>-635905.262908421</v>
      </c>
      <c r="CD301" s="30" t="n">
        <f aca="false">CD299+CD300</f>
        <v>-790423.262908421</v>
      </c>
      <c r="CE301" s="30" t="n">
        <f aca="false">CE299+CE300</f>
        <v>-635905.262908421</v>
      </c>
      <c r="CF301" s="30" t="n">
        <f aca="false">CF299+CF300</f>
        <v>-635905.262908421</v>
      </c>
      <c r="CG301" s="30" t="n">
        <f aca="false">CG299+CG300</f>
        <v>-790422.262908421</v>
      </c>
      <c r="CH301" s="30" t="n">
        <f aca="false">CH299+CH300</f>
        <v>-635905.262908421</v>
      </c>
      <c r="CI301" s="30" t="n">
        <f aca="false">CI299+CI300</f>
        <v>-635905.262908421</v>
      </c>
      <c r="CJ301" s="30" t="n">
        <f aca="false">CJ299+CJ300</f>
        <v>-783814.236301942</v>
      </c>
      <c r="CK301" s="30" t="n">
        <f aca="false">CK299+CK300</f>
        <v>-721678.368166589</v>
      </c>
      <c r="CL301" s="30" t="n">
        <f aca="false">CL299+CL300</f>
        <v>-721678.368166589</v>
      </c>
      <c r="CM301" s="30" t="n">
        <f aca="false">CM299+CM300</f>
        <v>-721678.368166589</v>
      </c>
      <c r="CN301" s="30" t="n">
        <f aca="false">CN299+CN300</f>
        <v>-721678.368166589</v>
      </c>
      <c r="CO301" s="30" t="n">
        <f aca="false">CO299+CO300</f>
        <v>-721678.368166589</v>
      </c>
      <c r="CP301" s="30" t="n">
        <f aca="false">CP299+CP300</f>
        <v>-721678.368166589</v>
      </c>
      <c r="CQ301" s="30" t="n">
        <f aca="false">CQ299+CQ300</f>
        <v>-721678.368166589</v>
      </c>
      <c r="CR301" s="30" t="n">
        <f aca="false">CR299+CR300</f>
        <v>-721678.368166589</v>
      </c>
      <c r="CS301" s="30" t="n">
        <f aca="false">CS299+CS300</f>
        <v>-721678.368166589</v>
      </c>
      <c r="CT301" s="30" t="n">
        <f aca="false">CT299+CT300</f>
        <v>-660876.239873812</v>
      </c>
      <c r="CU301" s="30" t="n">
        <f aca="false">CU299+CU300</f>
        <v>-660876.239873812</v>
      </c>
      <c r="CV301" s="30" t="n">
        <f aca="false">CV299+CV300</f>
        <v>-660876.239873812</v>
      </c>
      <c r="CW301" s="30" t="n">
        <f aca="false">CW299+CW300</f>
        <v>-616822.513607695</v>
      </c>
      <c r="CX301" s="30" t="n">
        <f aca="false">CX299+CX300</f>
        <v>-599375.664671288</v>
      </c>
      <c r="CY301" s="30" t="n">
        <f aca="false">CY299+CY300</f>
        <v>-599375.664671288</v>
      </c>
      <c r="CZ301" s="30" t="n">
        <f aca="false">CZ299+CZ300</f>
        <v>-599375.664671288</v>
      </c>
      <c r="DA301" s="30" t="n">
        <f aca="false">DA299+DA300</f>
        <v>-599375.664671288</v>
      </c>
      <c r="DB301" s="30" t="n">
        <f aca="false">DB299+DB300</f>
        <v>-599375.664671288</v>
      </c>
      <c r="DC301" s="30" t="n">
        <f aca="false">DC299+DC300</f>
        <v>-599375.664671288</v>
      </c>
      <c r="DD301" s="30" t="n">
        <f aca="false">DD299+DD300</f>
        <v>-599375.664671288</v>
      </c>
      <c r="DE301" s="30" t="n">
        <f aca="false">DE299+DE300</f>
        <v>-599375.664671288</v>
      </c>
    </row>
    <row r="302" customFormat="false" ht="19.5" hidden="false" customHeight="true" outlineLevel="0" collapsed="false">
      <c r="A302" s="42" t="s">
        <v>144</v>
      </c>
      <c r="B302" s="37" t="n">
        <f aca="false">B298+B301</f>
        <v>-206557.78</v>
      </c>
      <c r="C302" s="37" t="n">
        <f aca="false">C298+C301</f>
        <v>-469696.73</v>
      </c>
      <c r="D302" s="37" t="n">
        <f aca="false">D298+D301</f>
        <v>21337.26</v>
      </c>
      <c r="E302" s="37" t="n">
        <f aca="false">E298+E301</f>
        <v>212136.55</v>
      </c>
      <c r="F302" s="37" t="n">
        <f aca="false">F298+F301</f>
        <v>-188293.09</v>
      </c>
      <c r="G302" s="37" t="n">
        <f aca="false">G298+G301</f>
        <v>204071.03</v>
      </c>
      <c r="H302" s="37" t="n">
        <f aca="false">H298+H301</f>
        <v>1326754.58</v>
      </c>
      <c r="I302" s="37" t="n">
        <f aca="false">I298+I301</f>
        <v>-521091.365125</v>
      </c>
      <c r="J302" s="37" t="n">
        <f aca="false">J298+J301</f>
        <v>152906.210063631</v>
      </c>
      <c r="K302" s="37" t="n">
        <f aca="false">K298+K301</f>
        <v>230794.571385434</v>
      </c>
      <c r="L302" s="37" t="n">
        <f aca="false">L298+L301</f>
        <v>60226.8097827071</v>
      </c>
      <c r="M302" s="37" t="n">
        <f aca="false">M298+M301</f>
        <v>-412969.336897783</v>
      </c>
      <c r="N302" s="37" t="n">
        <f aca="false">N298+N301</f>
        <v>293030.421551799</v>
      </c>
      <c r="O302" s="37" t="n">
        <f aca="false">O298+O301</f>
        <v>87105.0804183994</v>
      </c>
      <c r="P302" s="37" t="n">
        <f aca="false">P298+P301</f>
        <v>228152.3422934</v>
      </c>
      <c r="Q302" s="37" t="n">
        <f aca="false">Q298+Q301</f>
        <v>-515924.208614409</v>
      </c>
      <c r="R302" s="37" t="n">
        <f aca="false">R298+R301</f>
        <v>-3879.63809504954</v>
      </c>
      <c r="S302" s="37" t="n">
        <f aca="false">S298+S301</f>
        <v>107183.625094509</v>
      </c>
      <c r="T302" s="37" t="n">
        <f aca="false">T298+T301</f>
        <v>141230.036607767</v>
      </c>
      <c r="U302" s="37" t="n">
        <f aca="false">U298+U301</f>
        <v>360374.042654566</v>
      </c>
      <c r="V302" s="37" t="n">
        <f aca="false">V298+V301</f>
        <v>485060.055154564</v>
      </c>
      <c r="W302" s="37" t="n">
        <f aca="false">W298+W301</f>
        <v>389946.017554567</v>
      </c>
      <c r="X302" s="37" t="n">
        <f aca="false">X298+X301</f>
        <v>699857.424813481</v>
      </c>
      <c r="Y302" s="37" t="n">
        <f aca="false">Y298+Y301</f>
        <v>549478.040763481</v>
      </c>
      <c r="Z302" s="37" t="n">
        <f aca="false">Z298+Z301</f>
        <v>686515.263998096</v>
      </c>
      <c r="AA302" s="37" t="n">
        <f aca="false">AA298+AA301</f>
        <v>740905.80397462</v>
      </c>
      <c r="AB302" s="37" t="n">
        <f aca="false">AB298+AB301</f>
        <v>629117.725720272</v>
      </c>
      <c r="AC302" s="37" t="n">
        <f aca="false">AC298+AC301</f>
        <v>349736.355936562</v>
      </c>
      <c r="AD302" s="37" t="n">
        <f aca="false">AD298+AD301</f>
        <v>394592.062513485</v>
      </c>
      <c r="AE302" s="37" t="n">
        <f aca="false">AE298+AE301</f>
        <v>-94855.0506505547</v>
      </c>
      <c r="AF302" s="37" t="n">
        <f aca="false">AF298+AF301</f>
        <v>753054.199419822</v>
      </c>
      <c r="AG302" s="37" t="n">
        <f aca="false">AG298+AG301</f>
        <v>674235.186434506</v>
      </c>
      <c r="AH302" s="37" t="n">
        <f aca="false">AH298+AH301</f>
        <v>571249.841428071</v>
      </c>
      <c r="AI302" s="37" t="n">
        <f aca="false">AI298+AI301</f>
        <v>518765.433735763</v>
      </c>
      <c r="AJ302" s="37" t="n">
        <f aca="false">AJ298+AJ301</f>
        <v>616762.217396764</v>
      </c>
      <c r="AK302" s="37" t="n">
        <f aca="false">AK298+AK301</f>
        <v>246592.482278127</v>
      </c>
      <c r="AL302" s="37" t="n">
        <f aca="false">AL298+AL301</f>
        <v>237886.627004731</v>
      </c>
      <c r="AM302" s="37" t="n">
        <f aca="false">AM298+AM301</f>
        <v>48397.5744291389</v>
      </c>
      <c r="AN302" s="37" t="n">
        <f aca="false">AN298+AN301</f>
        <v>9418.3119676006</v>
      </c>
      <c r="AO302" s="37" t="n">
        <f aca="false">AO298+AO301</f>
        <v>-34810.4853372023</v>
      </c>
      <c r="AP302" s="37" t="n">
        <f aca="false">AP298+AP301</f>
        <v>-48622.1128372023</v>
      </c>
      <c r="AQ302" s="37" t="n">
        <f aca="false">AQ298+AQ301</f>
        <v>-56228.6078025874</v>
      </c>
      <c r="AR302" s="37" t="n">
        <f aca="false">AR298+AR301</f>
        <v>-50424.8561872023</v>
      </c>
      <c r="AS302" s="37" t="n">
        <f aca="false">AS298+AS301</f>
        <v>-69007.5200525874</v>
      </c>
      <c r="AT302" s="37" t="n">
        <f aca="false">AT298+AT301</f>
        <v>200537.424916297</v>
      </c>
      <c r="AU302" s="37" t="n">
        <f aca="false">AU298+AU301</f>
        <v>-106431.14625158</v>
      </c>
      <c r="AV302" s="37" t="n">
        <f aca="false">AV298+AV301</f>
        <v>-388896.819353333</v>
      </c>
      <c r="AW302" s="37" t="n">
        <f aca="false">AW298+AW301</f>
        <v>-401937.430853333</v>
      </c>
      <c r="AX302" s="37" t="n">
        <f aca="false">AX298+AX301</f>
        <v>-361059.429353333</v>
      </c>
      <c r="AY302" s="37" t="n">
        <f aca="false">AY298+AY301</f>
        <v>-374006.504353333</v>
      </c>
      <c r="AZ302" s="37" t="n">
        <f aca="false">AZ298+AZ301</f>
        <v>-399799.866853333</v>
      </c>
      <c r="BA302" s="37" t="n">
        <f aca="false">BA298+BA301</f>
        <v>-412120.349757771</v>
      </c>
      <c r="BB302" s="37" t="n">
        <f aca="false">BB298+BB301</f>
        <v>-412550.515757771</v>
      </c>
      <c r="BC302" s="37" t="n">
        <f aca="false">BC298+BC301</f>
        <v>-412980.670757771</v>
      </c>
      <c r="BD302" s="37" t="n">
        <f aca="false">BD298+BD301</f>
        <v>-413410.831257771</v>
      </c>
      <c r="BE302" s="37" t="n">
        <f aca="false">BE298+BE301</f>
        <v>-413840.991757771</v>
      </c>
      <c r="BF302" s="37" t="n">
        <f aca="false">BF298+BF301</f>
        <v>-414271.152257771</v>
      </c>
      <c r="BG302" s="37" t="n">
        <f aca="false">BG298+BG301</f>
        <v>-414701.312757771</v>
      </c>
      <c r="BH302" s="37" t="n">
        <f aca="false">BH298+BH301</f>
        <v>-166195.198202171</v>
      </c>
      <c r="BI302" s="37" t="n">
        <f aca="false">BI298+BI301</f>
        <v>-573221.274626318</v>
      </c>
      <c r="BJ302" s="37" t="n">
        <f aca="false">BJ298+BJ301</f>
        <v>-573651.435126318</v>
      </c>
      <c r="BK302" s="37" t="n">
        <f aca="false">BK298+BK301</f>
        <v>-574081.595626318</v>
      </c>
      <c r="BL302" s="37" t="n">
        <f aca="false">BL298+BL301</f>
        <v>-574511.750626318</v>
      </c>
      <c r="BM302" s="37" t="n">
        <f aca="false">BM298+BM301</f>
        <v>-563569.545478844</v>
      </c>
      <c r="BN302" s="37" t="n">
        <f aca="false">BN298+BN301</f>
        <v>-563999.705978844</v>
      </c>
      <c r="BO302" s="37" t="n">
        <f aca="false">BO298+BO301</f>
        <v>-510603.576478844</v>
      </c>
      <c r="BP302" s="37" t="n">
        <f aca="false">BP298+BP301</f>
        <v>-623534.571478844</v>
      </c>
      <c r="BQ302" s="37" t="n">
        <f aca="false">BQ298+BQ301</f>
        <v>-623534.571478844</v>
      </c>
      <c r="BR302" s="37" t="n">
        <f aca="false">BR298+BR301</f>
        <v>-570284.221478844</v>
      </c>
      <c r="BS302" s="37" t="n">
        <f aca="false">BS298+BS301</f>
        <v>-623534.571478844</v>
      </c>
      <c r="BT302" s="37" t="n">
        <f aca="false">BT298+BT301</f>
        <v>-623534.571478844</v>
      </c>
      <c r="BU302" s="37" t="n">
        <f aca="false">BU298+BU301</f>
        <v>-555772.571478844</v>
      </c>
      <c r="BV302" s="37" t="n">
        <f aca="false">BV298+BV301</f>
        <v>-623534.571478844</v>
      </c>
      <c r="BW302" s="37" t="n">
        <f aca="false">BW298+BW301</f>
        <v>-623534.571478844</v>
      </c>
      <c r="BX302" s="37" t="n">
        <f aca="false">BX298+BX301</f>
        <v>-555772.571478844</v>
      </c>
      <c r="BY302" s="37" t="n">
        <f aca="false">BY298+BY301</f>
        <v>-635905.262908421</v>
      </c>
      <c r="BZ302" s="37" t="n">
        <f aca="false">BZ298+BZ301</f>
        <v>-635905.262908421</v>
      </c>
      <c r="CA302" s="37" t="n">
        <f aca="false">CA298+CA301</f>
        <v>-568143.262908421</v>
      </c>
      <c r="CB302" s="37" t="n">
        <f aca="false">CB298+CB301</f>
        <v>-635905.262908421</v>
      </c>
      <c r="CC302" s="37" t="n">
        <f aca="false">CC298+CC301</f>
        <v>-635905.262908421</v>
      </c>
      <c r="CD302" s="37" t="n">
        <f aca="false">CD298+CD301</f>
        <v>-559406.262908421</v>
      </c>
      <c r="CE302" s="37" t="n">
        <f aca="false">CE298+CE301</f>
        <v>-635905.262908421</v>
      </c>
      <c r="CF302" s="37" t="n">
        <f aca="false">CF298+CF301</f>
        <v>-635905.262908421</v>
      </c>
      <c r="CG302" s="37" t="n">
        <f aca="false">CG298+CG301</f>
        <v>-559406.262908421</v>
      </c>
      <c r="CH302" s="37" t="n">
        <f aca="false">CH298+CH301</f>
        <v>-635905.262908421</v>
      </c>
      <c r="CI302" s="37" t="n">
        <f aca="false">CI298+CI301</f>
        <v>-635905.262908421</v>
      </c>
      <c r="CJ302" s="37" t="n">
        <f aca="false">CJ298+CJ301</f>
        <v>-552798.236301942</v>
      </c>
      <c r="CK302" s="37" t="n">
        <f aca="false">CK298+CK301</f>
        <v>-490662.368166589</v>
      </c>
      <c r="CL302" s="37" t="n">
        <f aca="false">CL298+CL301</f>
        <v>-490662.368166589</v>
      </c>
      <c r="CM302" s="37" t="n">
        <f aca="false">CM298+CM301</f>
        <v>-490662.368166589</v>
      </c>
      <c r="CN302" s="37" t="n">
        <f aca="false">CN298+CN301</f>
        <v>-490662.368166589</v>
      </c>
      <c r="CO302" s="37" t="n">
        <f aca="false">CO298+CO301</f>
        <v>-490662.368166589</v>
      </c>
      <c r="CP302" s="37" t="n">
        <f aca="false">CP298+CP301</f>
        <v>-490662.368166589</v>
      </c>
      <c r="CQ302" s="37" t="n">
        <f aca="false">CQ298+CQ301</f>
        <v>-490662.368166589</v>
      </c>
      <c r="CR302" s="37" t="n">
        <f aca="false">CR298+CR301</f>
        <v>-490662.368166589</v>
      </c>
      <c r="CS302" s="37" t="n">
        <f aca="false">CS298+CS301</f>
        <v>-490662.368166589</v>
      </c>
      <c r="CT302" s="37" t="n">
        <f aca="false">CT298+CT301</f>
        <v>-429860.239873812</v>
      </c>
      <c r="CU302" s="37" t="n">
        <f aca="false">CU298+CU301</f>
        <v>-429860.239873812</v>
      </c>
      <c r="CV302" s="37" t="n">
        <f aca="false">CV298+CV301</f>
        <v>-429860.239873812</v>
      </c>
      <c r="CW302" s="37" t="n">
        <f aca="false">CW298+CW301</f>
        <v>-385806.513607695</v>
      </c>
      <c r="CX302" s="37" t="n">
        <f aca="false">CX298+CX301</f>
        <v>-368359.664671288</v>
      </c>
      <c r="CY302" s="37" t="n">
        <f aca="false">CY298+CY301</f>
        <v>-368359.664671288</v>
      </c>
      <c r="CZ302" s="37" t="n">
        <f aca="false">CZ298+CZ301</f>
        <v>-368359.664671288</v>
      </c>
      <c r="DA302" s="37" t="n">
        <f aca="false">DA298+DA301</f>
        <v>-368359.664671288</v>
      </c>
      <c r="DB302" s="37" t="n">
        <f aca="false">DB298+DB301</f>
        <v>-368359.664671288</v>
      </c>
      <c r="DC302" s="37" t="n">
        <f aca="false">DC298+DC301</f>
        <v>-368359.664671288</v>
      </c>
      <c r="DD302" s="37" t="n">
        <f aca="false">DD298+DD301</f>
        <v>-368359.664671288</v>
      </c>
      <c r="DE302" s="37" t="n">
        <f aca="false">DE298+DE301</f>
        <v>-368359.664671288</v>
      </c>
    </row>
    <row r="303" customFormat="false" ht="19.5" hidden="false" customHeight="true" outlineLevel="0" collapsed="false">
      <c r="A303" s="43" t="s">
        <v>145</v>
      </c>
      <c r="B303" s="33" t="n">
        <f aca="false">IFERROR(IF(OR(B298&lt;=0,B302/B298&lt;0,B302/B298&gt;1),0,B302/B298),0)</f>
        <v>0</v>
      </c>
      <c r="C303" s="33" t="n">
        <f aca="false">IFERROR(IF(OR(C298&lt;=0,C302/C298&lt;0,C302/C298&gt;1),0,C302/C298),0)</f>
        <v>0</v>
      </c>
      <c r="D303" s="33" t="n">
        <f aca="false">IFERROR(IF(OR(D298&lt;=0,D302/D298&lt;0,D302/D298&gt;1),0,D302/D298),0)</f>
        <v>0.0339603542325622</v>
      </c>
      <c r="E303" s="33" t="n">
        <f aca="false">IFERROR(IF(OR(E298&lt;=0,E302/E298&lt;0,E302/E298&gt;1),0,E302/E298),0)</f>
        <v>0.44059921304386</v>
      </c>
      <c r="F303" s="33" t="n">
        <f aca="false">IFERROR(IF(OR(F298&lt;=0,F302/F298&lt;0,F302/F298&gt;1),0,F302/F298),0)</f>
        <v>0</v>
      </c>
      <c r="G303" s="33" t="n">
        <f aca="false">IFERROR(IF(OR(G298&lt;=0,G302/G298&lt;0,G302/G298&gt;1),0,G302/G298),0)</f>
        <v>0.302119007639929</v>
      </c>
      <c r="H303" s="33" t="n">
        <f aca="false">IFERROR(IF(OR(H298&lt;=0,H302/H298&lt;0,H302/H298&gt;1),0,H302/H298),0)</f>
        <v>0.719200133606244</v>
      </c>
      <c r="I303" s="33" t="n">
        <f aca="false">IFERROR(IF(OR(I298&lt;=0,I302/I298&lt;0,I302/I298&gt;1),0,I302/I298),0)</f>
        <v>0</v>
      </c>
      <c r="J303" s="33" t="n">
        <f aca="false">IFERROR(IF(OR(J298&lt;=0,J302/J298&lt;0,J302/J298&gt;1),0,J302/J298),0)</f>
        <v>0.205136322229901</v>
      </c>
      <c r="K303" s="33" t="n">
        <f aca="false">IFERROR(IF(OR(K298&lt;=0,K302/K298&lt;0,K302/K298&gt;1),0,K302/K298),0)</f>
        <v>0.283783598487771</v>
      </c>
      <c r="L303" s="33" t="n">
        <f aca="false">IFERROR(IF(OR(L298&lt;=0,L302/L298&lt;0,L302/L298&gt;1),0,L302/L298),0)</f>
        <v>0.0937077607504797</v>
      </c>
      <c r="M303" s="33" t="n">
        <f aca="false">IFERROR(IF(OR(M298&lt;=0,M302/M298&lt;0,M302/M298&gt;1),0,M302/M298),0)</f>
        <v>0</v>
      </c>
      <c r="N303" s="33" t="n">
        <f aca="false">IFERROR(IF(OR(N298&lt;=0,N302/N298&lt;0,N302/N298&gt;1),0,N302/N298),0)</f>
        <v>0.302055594044094</v>
      </c>
      <c r="O303" s="33" t="n">
        <f aca="false">IFERROR(IF(OR(O298&lt;=0,O302/O298&lt;0,O302/O298&gt;1),0,O302/O298),0)</f>
        <v>0.0991045236046218</v>
      </c>
      <c r="P303" s="33" t="n">
        <f aca="false">IFERROR(IF(OR(P298&lt;=0,P302/P298&lt;0,P302/P298&gt;1),0,P302/P298),0)</f>
        <v>0.253433660906827</v>
      </c>
      <c r="Q303" s="33" t="n">
        <f aca="false">IFERROR(IF(OR(Q298&lt;=0,Q302/Q298&lt;0,Q302/Q298&gt;1),0,Q302/Q298),0)</f>
        <v>0</v>
      </c>
      <c r="R303" s="33" t="n">
        <f aca="false">IFERROR(IF(OR(R298&lt;=0,R302/R298&lt;0,R302/R298&gt;1),0,R302/R298),0)</f>
        <v>0</v>
      </c>
      <c r="S303" s="33" t="n">
        <f aca="false">IFERROR(IF(OR(S298&lt;=0,S302/S298&lt;0,S302/S298&gt;1),0,S302/S298),0)</f>
        <v>0.115802642375885</v>
      </c>
      <c r="T303" s="33" t="n">
        <f aca="false">IFERROR(IF(OR(T298&lt;=0,T302/T298&lt;0,T302/T298&gt;1),0,T302/T298),0)</f>
        <v>0.146841288826411</v>
      </c>
      <c r="U303" s="33" t="n">
        <f aca="false">IFERROR(IF(OR(U298&lt;=0,U302/U298&lt;0,U302/U298&gt;1),0,U302/U298),0)</f>
        <v>0.305403174001421</v>
      </c>
      <c r="V303" s="33" t="n">
        <f aca="false">IFERROR(IF(OR(V298&lt;=0,V302/V298&lt;0,V302/V298&gt;1),0,V302/V298),0)</f>
        <v>0.38540462629282</v>
      </c>
      <c r="W303" s="33" t="n">
        <f aca="false">IFERROR(IF(OR(W298&lt;=0,W302/W298&lt;0,W302/W298&gt;1),0,W302/W298),0)</f>
        <v>0.335160807211548</v>
      </c>
      <c r="X303" s="33" t="n">
        <f aca="false">IFERROR(IF(OR(X298&lt;=0,X302/X298&lt;0,X302/X298&gt;1),0,X302/X298),0)</f>
        <v>0.475004245142648</v>
      </c>
      <c r="Y303" s="33" t="n">
        <f aca="false">IFERROR(IF(OR(Y298&lt;=0,Y302/Y298&lt;0,Y302/Y298&gt;1),0,Y302/Y298),0)</f>
        <v>0.396575464681435</v>
      </c>
      <c r="Z303" s="33" t="n">
        <f aca="false">IFERROR(IF(OR(Z298&lt;=0,Z302/Z298&lt;0,Z302/Z298&gt;1),0,Z302/Z298),0)</f>
        <v>0.471029433269813</v>
      </c>
      <c r="AA303" s="33" t="n">
        <f aca="false">IFERROR(IF(OR(AA298&lt;=0,AA302/AA298&lt;0,AA302/AA298&gt;1),0,AA302/AA298),0)</f>
        <v>0.493196211944803</v>
      </c>
      <c r="AB303" s="33" t="n">
        <f aca="false">IFERROR(IF(OR(AB298&lt;=0,AB302/AB298&lt;0,AB302/AB298&gt;1),0,AB302/AB298),0)</f>
        <v>0.452982857945603</v>
      </c>
      <c r="AC303" s="33" t="n">
        <f aca="false">IFERROR(IF(OR(AC298&lt;=0,AC302/AC298&lt;0,AC302/AC298&gt;1),0,AC302/AC298),0)</f>
        <v>0.312747847154709</v>
      </c>
      <c r="AD303" s="33" t="n">
        <f aca="false">IFERROR(IF(OR(AD298&lt;=0,AD302/AD298&lt;0,AD302/AD298&gt;1),0,AD302/AD298),0)</f>
        <v>0.341119578690488</v>
      </c>
      <c r="AE303" s="33" t="n">
        <f aca="false">IFERROR(IF(OR(AE298&lt;=0,AE302/AE298&lt;0,AE302/AE298&gt;1),0,AE302/AE298),0)</f>
        <v>0</v>
      </c>
      <c r="AF303" s="33" t="n">
        <f aca="false">IFERROR(IF(OR(AF298&lt;=0,AF302/AF298&lt;0,AF302/AF298&gt;1),0,AF302/AF298),0)</f>
        <v>0.50429034666334</v>
      </c>
      <c r="AG303" s="33" t="n">
        <f aca="false">IFERROR(IF(OR(AG298&lt;=0,AG302/AG298&lt;0,AG302/AG298&gt;1),0,AG302/AG298),0)</f>
        <v>0.476667856844556</v>
      </c>
      <c r="AH303" s="33" t="n">
        <f aca="false">IFERROR(IF(OR(AH298&lt;=0,AH302/AH298&lt;0,AH302/AH298&gt;1),0,AH302/AH298),0)</f>
        <v>0.436763806656934</v>
      </c>
      <c r="AI303" s="33" t="n">
        <f aca="false">IFERROR(IF(OR(AI298&lt;=0,AI302/AI298&lt;0,AI302/AI298&gt;1),0,AI302/AI298),0)</f>
        <v>0.417308314696503</v>
      </c>
      <c r="AJ303" s="33" t="n">
        <f aca="false">IFERROR(IF(OR(AJ298&lt;=0,AJ302/AJ298&lt;0,AJ302/AJ298&gt;1),0,AJ302/AJ298),0)</f>
        <v>0.459886110521652</v>
      </c>
      <c r="AK303" s="33" t="n">
        <f aca="false">IFERROR(IF(OR(AK298&lt;=0,AK302/AK298&lt;0,AK302/AK298&gt;1),0,AK302/AK298),0)</f>
        <v>0.253970389085529</v>
      </c>
      <c r="AL303" s="33" t="n">
        <f aca="false">IFERROR(IF(OR(AL298&lt;=0,AL302/AL298&lt;0,AL302/AL298&gt;1),0,AL302/AL298),0)</f>
        <v>0.247680919540242</v>
      </c>
      <c r="AM303" s="33" t="n">
        <f aca="false">IFERROR(IF(OR(AM298&lt;=0,AM302/AM298&lt;0,AM302/AM298&gt;1),0,AM302/AM298),0)</f>
        <v>0.0644670417230374</v>
      </c>
      <c r="AN303" s="33" t="n">
        <f aca="false">IFERROR(IF(OR(AN298&lt;=0,AN302/AN298&lt;0,AN302/AN298&gt;1),0,AN302/AN298),0)</f>
        <v>0.0143369996103339</v>
      </c>
      <c r="AO303" s="33" t="n">
        <f aca="false">IFERROR(IF(OR(AO298&lt;=0,AO302/AO298&lt;0,AO302/AO298&gt;1),0,AO302/AO298),0)</f>
        <v>0</v>
      </c>
      <c r="AP303" s="33" t="n">
        <f aca="false">IFERROR(IF(OR(AP298&lt;=0,AP302/AP298&lt;0,AP302/AP298&gt;1),0,AP302/AP298),0)</f>
        <v>0</v>
      </c>
      <c r="AQ303" s="33" t="n">
        <f aca="false">IFERROR(IF(OR(AQ298&lt;=0,AQ302/AQ298&lt;0,AQ302/AQ298&gt;1),0,AQ302/AQ298),0)</f>
        <v>0</v>
      </c>
      <c r="AR303" s="33" t="n">
        <f aca="false">IFERROR(IF(OR(AR298&lt;=0,AR302/AR298&lt;0,AR302/AR298&gt;1),0,AR302/AR298),0)</f>
        <v>0</v>
      </c>
      <c r="AS303" s="33" t="n">
        <f aca="false">IFERROR(IF(OR(AS298&lt;=0,AS302/AS298&lt;0,AS302/AS298&gt;1),0,AS302/AS298),0)</f>
        <v>0</v>
      </c>
      <c r="AT303" s="33" t="n">
        <f aca="false">IFERROR(IF(OR(AT298&lt;=0,AT302/AT298&lt;0,AT302/AT298&gt;1),0,AT302/AT298),0)</f>
        <v>0.227434630017372</v>
      </c>
      <c r="AU303" s="33" t="n">
        <f aca="false">IFERROR(IF(OR(AU298&lt;=0,AU302/AU298&lt;0,AU302/AU298&gt;1),0,AU302/AU298),0)</f>
        <v>0</v>
      </c>
      <c r="AV303" s="33" t="n">
        <f aca="false">IFERROR(IF(OR(AV298&lt;=0,AV302/AV298&lt;0,AV302/AV298&gt;1),0,AV302/AV298),0)</f>
        <v>0</v>
      </c>
      <c r="AW303" s="33" t="n">
        <f aca="false">IFERROR(IF(OR(AW298&lt;=0,AW302/AW298&lt;0,AW302/AW298&gt;1),0,AW302/AW298),0)</f>
        <v>0</v>
      </c>
      <c r="AX303" s="33" t="n">
        <f aca="false">IFERROR(IF(OR(AX298&lt;=0,AX302/AX298&lt;0,AX302/AX298&gt;1),0,AX302/AX298),0)</f>
        <v>0</v>
      </c>
      <c r="AY303" s="33" t="n">
        <f aca="false">IFERROR(IF(OR(AY298&lt;=0,AY302/AY298&lt;0,AY302/AY298&gt;1),0,AY302/AY298),0)</f>
        <v>0</v>
      </c>
      <c r="AZ303" s="33" t="n">
        <f aca="false">IFERROR(IF(OR(AZ298&lt;=0,AZ302/AZ298&lt;0,AZ302/AZ298&gt;1),0,AZ302/AZ298),0)</f>
        <v>0</v>
      </c>
      <c r="BA303" s="33" t="n">
        <f aca="false">IFERROR(IF(OR(BA298&lt;=0,BA302/BA298&lt;0,BA302/BA298&gt;1),0,BA302/BA298),0)</f>
        <v>0</v>
      </c>
      <c r="BB303" s="33" t="n">
        <f aca="false">IFERROR(IF(OR(BB298&lt;=0,BB302/BB298&lt;0,BB302/BB298&gt;1),0,BB302/BB298),0)</f>
        <v>0</v>
      </c>
      <c r="BC303" s="33" t="n">
        <f aca="false">IFERROR(IF(OR(BC298&lt;=0,BC302/BC298&lt;0,BC302/BC298&gt;1),0,BC302/BC298),0)</f>
        <v>0</v>
      </c>
      <c r="BD303" s="33" t="n">
        <f aca="false">IFERROR(IF(OR(BD298&lt;=0,BD302/BD298&lt;0,BD302/BD298&gt;1),0,BD302/BD298),0)</f>
        <v>0</v>
      </c>
      <c r="BE303" s="33" t="n">
        <f aca="false">IFERROR(IF(OR(BE298&lt;=0,BE302/BE298&lt;0,BE302/BE298&gt;1),0,BE302/BE298),0)</f>
        <v>0</v>
      </c>
      <c r="BF303" s="33" t="n">
        <f aca="false">IFERROR(IF(OR(BF298&lt;=0,BF302/BF298&lt;0,BF302/BF298&gt;1),0,BF302/BF298),0)</f>
        <v>0</v>
      </c>
      <c r="BG303" s="33" t="n">
        <f aca="false">IFERROR(IF(OR(BG298&lt;=0,BG302/BG298&lt;0,BG302/BG298&gt;1),0,BG302/BG298),0)</f>
        <v>0</v>
      </c>
      <c r="BH303" s="33" t="n">
        <f aca="false">IFERROR(IF(OR(BH298&lt;=0,BH302/BH298&lt;0,BH302/BH298&gt;1),0,BH302/BH298),0)</f>
        <v>0</v>
      </c>
      <c r="BI303" s="33" t="n">
        <f aca="false">IFERROR(IF(OR(BI298&lt;=0,BI302/BI298&lt;0,BI302/BI298&gt;1),0,BI302/BI298),0)</f>
        <v>0</v>
      </c>
      <c r="BJ303" s="33" t="n">
        <f aca="false">IFERROR(IF(OR(BJ298&lt;=0,BJ302/BJ298&lt;0,BJ302/BJ298&gt;1),0,BJ302/BJ298),0)</f>
        <v>0</v>
      </c>
      <c r="BK303" s="33" t="n">
        <f aca="false">IFERROR(IF(OR(BK298&lt;=0,BK302/BK298&lt;0,BK302/BK298&gt;1),0,BK302/BK298),0)</f>
        <v>0</v>
      </c>
      <c r="BL303" s="33" t="n">
        <f aca="false">IFERROR(IF(OR(BL298&lt;=0,BL302/BL298&lt;0,BL302/BL298&gt;1),0,BL302/BL298),0)</f>
        <v>0</v>
      </c>
      <c r="BM303" s="33" t="n">
        <f aca="false">IFERROR(IF(OR(BM298&lt;=0,BM302/BM298&lt;0,BM302/BM298&gt;1),0,BM302/BM298),0)</f>
        <v>0</v>
      </c>
      <c r="BN303" s="33" t="n">
        <f aca="false">IFERROR(IF(OR(BN298&lt;=0,BN302/BN298&lt;0,BN302/BN298&gt;1),0,BN302/BN298),0)</f>
        <v>0</v>
      </c>
      <c r="BO303" s="33" t="n">
        <f aca="false">IFERROR(IF(OR(BO298&lt;=0,BO302/BO298&lt;0,BO302/BO298&gt;1),0,BO302/BO298),0)</f>
        <v>0</v>
      </c>
      <c r="BP303" s="33" t="n">
        <f aca="false">IFERROR(IF(OR(BP298&lt;=0,BP302/BP298&lt;0,BP302/BP298&gt;1),0,BP302/BP298),0)</f>
        <v>0</v>
      </c>
      <c r="BQ303" s="33" t="n">
        <f aca="false">IFERROR(IF(OR(BQ298&lt;=0,BQ302/BQ298&lt;0,BQ302/BQ298&gt;1),0,BQ302/BQ298),0)</f>
        <v>0</v>
      </c>
      <c r="BR303" s="33" t="n">
        <f aca="false">IFERROR(IF(OR(BR298&lt;=0,BR302/BR298&lt;0,BR302/BR298&gt;1),0,BR302/BR298),0)</f>
        <v>0</v>
      </c>
      <c r="BS303" s="33" t="n">
        <f aca="false">IFERROR(IF(OR(BS298&lt;=0,BS302/BS298&lt;0,BS302/BS298&gt;1),0,BS302/BS298),0)</f>
        <v>0</v>
      </c>
      <c r="BT303" s="33" t="n">
        <f aca="false">IFERROR(IF(OR(BT298&lt;=0,BT302/BT298&lt;0,BT302/BT298&gt;1),0,BT302/BT298),0)</f>
        <v>0</v>
      </c>
      <c r="BU303" s="33" t="n">
        <f aca="false">IFERROR(IF(OR(BU298&lt;=0,BU302/BU298&lt;0,BU302/BU298&gt;1),0,BU302/BU298),0)</f>
        <v>0</v>
      </c>
      <c r="BV303" s="33" t="n">
        <f aca="false">IFERROR(IF(OR(BV298&lt;=0,BV302/BV298&lt;0,BV302/BV298&gt;1),0,BV302/BV298),0)</f>
        <v>0</v>
      </c>
      <c r="BW303" s="33" t="n">
        <f aca="false">IFERROR(IF(OR(BW298&lt;=0,BW302/BW298&lt;0,BW302/BW298&gt;1),0,BW302/BW298),0)</f>
        <v>0</v>
      </c>
      <c r="BX303" s="33" t="n">
        <f aca="false">IFERROR(IF(OR(BX298&lt;=0,BX302/BX298&lt;0,BX302/BX298&gt;1),0,BX302/BX298),0)</f>
        <v>0</v>
      </c>
      <c r="BY303" s="33" t="n">
        <f aca="false">IFERROR(IF(OR(BY298&lt;=0,BY302/BY298&lt;0,BY302/BY298&gt;1),0,BY302/BY298),0)</f>
        <v>0</v>
      </c>
      <c r="BZ303" s="33" t="n">
        <f aca="false">IFERROR(IF(OR(BZ298&lt;=0,BZ302/BZ298&lt;0,BZ302/BZ298&gt;1),0,BZ302/BZ298),0)</f>
        <v>0</v>
      </c>
      <c r="CA303" s="33" t="n">
        <f aca="false">IFERROR(IF(OR(CA298&lt;=0,CA302/CA298&lt;0,CA302/CA298&gt;1),0,CA302/CA298),0)</f>
        <v>0</v>
      </c>
      <c r="CB303" s="33" t="n">
        <f aca="false">IFERROR(IF(OR(CB298&lt;=0,CB302/CB298&lt;0,CB302/CB298&gt;1),0,CB302/CB298),0)</f>
        <v>0</v>
      </c>
      <c r="CC303" s="33" t="n">
        <f aca="false">IFERROR(IF(OR(CC298&lt;=0,CC302/CC298&lt;0,CC302/CC298&gt;1),0,CC302/CC298),0)</f>
        <v>0</v>
      </c>
      <c r="CD303" s="33" t="n">
        <f aca="false">IFERROR(IF(OR(CD298&lt;=0,CD302/CD298&lt;0,CD302/CD298&gt;1),0,CD302/CD298),0)</f>
        <v>0</v>
      </c>
      <c r="CE303" s="33" t="n">
        <f aca="false">IFERROR(IF(OR(CE298&lt;=0,CE302/CE298&lt;0,CE302/CE298&gt;1),0,CE302/CE298),0)</f>
        <v>0</v>
      </c>
      <c r="CF303" s="33" t="n">
        <f aca="false">IFERROR(IF(OR(CF298&lt;=0,CF302/CF298&lt;0,CF302/CF298&gt;1),0,CF302/CF298),0)</f>
        <v>0</v>
      </c>
      <c r="CG303" s="33" t="n">
        <f aca="false">IFERROR(IF(OR(CG298&lt;=0,CG302/CG298&lt;0,CG302/CG298&gt;1),0,CG302/CG298),0)</f>
        <v>0</v>
      </c>
      <c r="CH303" s="33" t="n">
        <f aca="false">IFERROR(IF(OR(CH298&lt;=0,CH302/CH298&lt;0,CH302/CH298&gt;1),0,CH302/CH298),0)</f>
        <v>0</v>
      </c>
      <c r="CI303" s="33" t="n">
        <f aca="false">IFERROR(IF(OR(CI298&lt;=0,CI302/CI298&lt;0,CI302/CI298&gt;1),0,CI302/CI298),0)</f>
        <v>0</v>
      </c>
      <c r="CJ303" s="33" t="n">
        <f aca="false">IFERROR(IF(OR(CJ298&lt;=0,CJ302/CJ298&lt;0,CJ302/CJ298&gt;1),0,CJ302/CJ298),0)</f>
        <v>0</v>
      </c>
      <c r="CK303" s="33" t="n">
        <f aca="false">IFERROR(IF(OR(CK298&lt;=0,CK302/CK298&lt;0,CK302/CK298&gt;1),0,CK302/CK298),0)</f>
        <v>0</v>
      </c>
      <c r="CL303" s="33" t="n">
        <f aca="false">IFERROR(IF(OR(CL298&lt;=0,CL302/CL298&lt;0,CL302/CL298&gt;1),0,CL302/CL298),0)</f>
        <v>0</v>
      </c>
      <c r="CM303" s="33" t="n">
        <f aca="false">IFERROR(IF(OR(CM298&lt;=0,CM302/CM298&lt;0,CM302/CM298&gt;1),0,CM302/CM298),0)</f>
        <v>0</v>
      </c>
      <c r="CN303" s="33" t="n">
        <f aca="false">IFERROR(IF(OR(CN298&lt;=0,CN302/CN298&lt;0,CN302/CN298&gt;1),0,CN302/CN298),0)</f>
        <v>0</v>
      </c>
      <c r="CO303" s="33" t="n">
        <f aca="false">IFERROR(IF(OR(CO298&lt;=0,CO302/CO298&lt;0,CO302/CO298&gt;1),0,CO302/CO298),0)</f>
        <v>0</v>
      </c>
      <c r="CP303" s="33" t="n">
        <f aca="false">IFERROR(IF(OR(CP298&lt;=0,CP302/CP298&lt;0,CP302/CP298&gt;1),0,CP302/CP298),0)</f>
        <v>0</v>
      </c>
      <c r="CQ303" s="33" t="n">
        <f aca="false">IFERROR(IF(OR(CQ298&lt;=0,CQ302/CQ298&lt;0,CQ302/CQ298&gt;1),0,CQ302/CQ298),0)</f>
        <v>0</v>
      </c>
      <c r="CR303" s="33" t="n">
        <f aca="false">IFERROR(IF(OR(CR298&lt;=0,CR302/CR298&lt;0,CR302/CR298&gt;1),0,CR302/CR298),0)</f>
        <v>0</v>
      </c>
      <c r="CS303" s="33" t="n">
        <f aca="false">IFERROR(IF(OR(CS298&lt;=0,CS302/CS298&lt;0,CS302/CS298&gt;1),0,CS302/CS298),0)</f>
        <v>0</v>
      </c>
      <c r="CT303" s="33" t="n">
        <f aca="false">IFERROR(IF(OR(CT298&lt;=0,CT302/CT298&lt;0,CT302/CT298&gt;1),0,CT302/CT298),0)</f>
        <v>0</v>
      </c>
      <c r="CU303" s="33" t="n">
        <f aca="false">IFERROR(IF(OR(CU298&lt;=0,CU302/CU298&lt;0,CU302/CU298&gt;1),0,CU302/CU298),0)</f>
        <v>0</v>
      </c>
      <c r="CV303" s="33" t="n">
        <f aca="false">IFERROR(IF(OR(CV298&lt;=0,CV302/CV298&lt;0,CV302/CV298&gt;1),0,CV302/CV298),0)</f>
        <v>0</v>
      </c>
      <c r="CW303" s="33" t="n">
        <f aca="false">IFERROR(IF(OR(CW298&lt;=0,CW302/CW298&lt;0,CW302/CW298&gt;1),0,CW302/CW298),0)</f>
        <v>0</v>
      </c>
      <c r="CX303" s="33" t="n">
        <f aca="false">IFERROR(IF(OR(CX298&lt;=0,CX302/CX298&lt;0,CX302/CX298&gt;1),0,CX302/CX298),0)</f>
        <v>0</v>
      </c>
      <c r="CY303" s="33" t="n">
        <f aca="false">IFERROR(IF(OR(CY298&lt;=0,CY302/CY298&lt;0,CY302/CY298&gt;1),0,CY302/CY298),0)</f>
        <v>0</v>
      </c>
      <c r="CZ303" s="33" t="n">
        <f aca="false">IFERROR(IF(OR(CZ298&lt;=0,CZ302/CZ298&lt;0,CZ302/CZ298&gt;1),0,CZ302/CZ298),0)</f>
        <v>0</v>
      </c>
      <c r="DA303" s="33" t="n">
        <f aca="false">IFERROR(IF(OR(DA298&lt;=0,DA302/DA298&lt;0,DA302/DA298&gt;1),0,DA302/DA298),0)</f>
        <v>0</v>
      </c>
      <c r="DB303" s="33" t="n">
        <f aca="false">IFERROR(IF(OR(DB298&lt;=0,DB302/DB298&lt;0,DB302/DB298&gt;1),0,DB302/DB298),0)</f>
        <v>0</v>
      </c>
      <c r="DC303" s="33" t="n">
        <f aca="false">IFERROR(IF(OR(DC298&lt;=0,DC302/DC298&lt;0,DC302/DC298&gt;1),0,DC302/DC298),0)</f>
        <v>0</v>
      </c>
      <c r="DD303" s="33" t="n">
        <f aca="false">IFERROR(IF(OR(DD298&lt;=0,DD302/DD298&lt;0,DD302/DD298&gt;1),0,DD302/DD298),0)</f>
        <v>0</v>
      </c>
      <c r="DE303" s="33" t="n">
        <f aca="false">IFERROR(IF(OR(DE298&lt;=0,DE302/DE298&lt;0,DE302/DE298&gt;1),0,DE302/DE298),0)</f>
        <v>0</v>
      </c>
    </row>
    <row r="304" customFormat="false" ht="1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row>
    <row r="305" customFormat="false" ht="15" hidden="false" customHeight="true" outlineLevel="0" collapsed="false">
      <c r="A305" s="40" t="s">
        <v>146</v>
      </c>
      <c r="B305" s="13" t="n">
        <f aca="false">ROUND(B302-(Budget!C57+Budget!C114),2)</f>
        <v>-118338.95</v>
      </c>
      <c r="C305" s="13" t="n">
        <f aca="false">ROUND(C302-(Budget!D57+Budget!D114),2)</f>
        <v>-396722.56</v>
      </c>
      <c r="D305" s="13" t="n">
        <f aca="false">ROUND(D302-(Budget!E57+Budget!E114),2)</f>
        <v>79136.02</v>
      </c>
      <c r="E305" s="13" t="n">
        <f aca="false">ROUND(E302-(Budget!F57+Budget!F114),2)</f>
        <v>243557.91</v>
      </c>
      <c r="F305" s="13" t="n">
        <f aca="false">ROUND(F302-(Budget!G57+Budget!G114),2)</f>
        <v>-311031.92</v>
      </c>
      <c r="G305" s="13" t="n">
        <f aca="false">ROUND(G302-(Budget!H57+Budget!H114),2)</f>
        <v>64656.62</v>
      </c>
      <c r="H305" s="13" t="n">
        <f aca="false">ROUND(H302-(Budget!I57+Budget!I114),2)</f>
        <v>1173237.17</v>
      </c>
      <c r="I305" s="13" t="n">
        <f aca="false">ROUND(I302-(Budget!J57+Budget!J114),2)</f>
        <v>-685720.92</v>
      </c>
      <c r="J305" s="13" t="n">
        <f aca="false">ROUND(J302-(Budget!K57+Budget!K114),2)</f>
        <v>-19182.7</v>
      </c>
      <c r="K305" s="13" t="n">
        <f aca="false">ROUND(K302-(Budget!L57+Budget!L114),2)</f>
        <v>65452</v>
      </c>
      <c r="L305" s="13" t="n">
        <f aca="false">ROUND(L302-(Budget!M57+Budget!M114),2)</f>
        <v>-104532.86</v>
      </c>
      <c r="M305" s="13" t="n">
        <f aca="false">ROUND(M302-(Budget!N57+Budget!N114),2)</f>
        <v>-528846.69</v>
      </c>
      <c r="N305" s="13" t="n">
        <f aca="false">ROUND(N302-(Budget!O57+Budget!O114),2)</f>
        <v>293030.42</v>
      </c>
      <c r="O305" s="13" t="n">
        <f aca="false">ROUND(O302-(Budget!P57+Budget!P114),2)</f>
        <v>87105.08</v>
      </c>
      <c r="P305" s="13" t="n">
        <f aca="false">ROUND(P302-(Budget!Q57+Budget!Q114),2)</f>
        <v>228152.34</v>
      </c>
      <c r="Q305" s="13" t="n">
        <f aca="false">ROUND(Q302-(Budget!R57+Budget!R114),2)</f>
        <v>-515924.21</v>
      </c>
      <c r="R305" s="13" t="n">
        <f aca="false">ROUND(R302-(Budget!S57+Budget!S114),2)</f>
        <v>-3879.64</v>
      </c>
      <c r="S305" s="13" t="n">
        <f aca="false">ROUND(S302-(Budget!T57+Budget!T114),2)</f>
        <v>107183.63</v>
      </c>
      <c r="T305" s="13" t="n">
        <f aca="false">ROUND(T302-(Budget!U57+Budget!U114),2)</f>
        <v>141230.04</v>
      </c>
      <c r="U305" s="13" t="n">
        <f aca="false">ROUND(U302-(Budget!V57+Budget!V114),2)</f>
        <v>360374.04</v>
      </c>
      <c r="V305" s="13" t="n">
        <f aca="false">ROUND(V302-(Budget!W57+Budget!W114),2)</f>
        <v>485060.06</v>
      </c>
      <c r="W305" s="13" t="n">
        <f aca="false">ROUND(W302-(Budget!X57+Budget!X114),2)</f>
        <v>389946.02</v>
      </c>
      <c r="X305" s="13" t="n">
        <f aca="false">ROUND(X302-(Budget!Y57+Budget!Y114),2)</f>
        <v>699857.42</v>
      </c>
      <c r="Y305" s="13" t="n">
        <f aca="false">ROUND(Y302-(Budget!Z57+Budget!Z114),2)</f>
        <v>549478.04</v>
      </c>
      <c r="Z305" s="13" t="n">
        <f aca="false">ROUND(Z302-(Budget!AA57+Budget!AA114),2)</f>
        <v>686515.26</v>
      </c>
      <c r="AA305" s="13" t="n">
        <f aca="false">ROUND(AA302-(Budget!AB57+Budget!AB114),2)</f>
        <v>740905.8</v>
      </c>
      <c r="AB305" s="13" t="n">
        <f aca="false">ROUND(AB302-(Budget!AC57+Budget!AC114),2)</f>
        <v>629117.73</v>
      </c>
      <c r="AC305" s="13" t="n">
        <f aca="false">ROUND(AC302-(Budget!AD57+Budget!AD114),2)</f>
        <v>349736.36</v>
      </c>
      <c r="AD305" s="13" t="n">
        <f aca="false">ROUND(AD302-(Budget!AE57+Budget!AE114),2)</f>
        <v>394592.06</v>
      </c>
      <c r="AE305" s="13" t="n">
        <f aca="false">ROUND(AE302-(Budget!AF57+Budget!AF114),2)</f>
        <v>-94855.05</v>
      </c>
      <c r="AF305" s="13" t="n">
        <f aca="false">ROUND(AF302-(Budget!AG57+Budget!AG114),2)</f>
        <v>753054.2</v>
      </c>
      <c r="AG305" s="13" t="n">
        <f aca="false">ROUND(AG302-(Budget!AH57+Budget!AH114),2)</f>
        <v>674235.19</v>
      </c>
      <c r="AH305" s="13" t="n">
        <f aca="false">ROUND(AH302-(Budget!AI57+Budget!AI114),2)</f>
        <v>571249.84</v>
      </c>
      <c r="AI305" s="13" t="n">
        <f aca="false">ROUND(AI302-(Budget!AJ57+Budget!AJ114),2)</f>
        <v>518765.43</v>
      </c>
      <c r="AJ305" s="13" t="n">
        <f aca="false">ROUND(AJ302-(Budget!AK57+Budget!AK114),2)</f>
        <v>616762.22</v>
      </c>
      <c r="AK305" s="13" t="n">
        <f aca="false">ROUND(AK302-(Budget!AL57+Budget!AL114),2)</f>
        <v>246592.48</v>
      </c>
      <c r="AL305" s="13" t="n">
        <f aca="false">ROUND(AL302-(Budget!AM57+Budget!AM114),2)</f>
        <v>237886.63</v>
      </c>
      <c r="AM305" s="13" t="n">
        <f aca="false">ROUND(AM302-(Budget!AN57+Budget!AN114),2)</f>
        <v>48397.57</v>
      </c>
      <c r="AN305" s="13" t="n">
        <f aca="false">ROUND(AN302-(Budget!AO57+Budget!AO114),2)</f>
        <v>9418.31</v>
      </c>
      <c r="AO305" s="13" t="n">
        <f aca="false">ROUND(AO302-(Budget!AP57+Budget!AP114),2)</f>
        <v>-34810.49</v>
      </c>
      <c r="AP305" s="13" t="n">
        <f aca="false">ROUND(AP302-(Budget!AQ57+Budget!AQ114),2)</f>
        <v>-48622.11</v>
      </c>
      <c r="AQ305" s="13" t="n">
        <f aca="false">ROUND(AQ302-(Budget!AR57+Budget!AR114),2)</f>
        <v>-56228.61</v>
      </c>
      <c r="AR305" s="13" t="n">
        <f aca="false">ROUND(AR302-(Budget!AS57+Budget!AS114),2)</f>
        <v>-50424.86</v>
      </c>
      <c r="AS305" s="13" t="n">
        <f aca="false">ROUND(AS302-(Budget!AT57+Budget!AT114),2)</f>
        <v>-69007.52</v>
      </c>
      <c r="AT305" s="13" t="n">
        <f aca="false">ROUND(AT302-(Budget!AU57+Budget!AU114),2)</f>
        <v>200537.42</v>
      </c>
      <c r="AU305" s="13" t="n">
        <f aca="false">ROUND(AU302-(Budget!AV57+Budget!AV114),2)</f>
        <v>-106431.15</v>
      </c>
      <c r="AV305" s="13" t="n">
        <f aca="false">ROUND(AV302-(Budget!AW57+Budget!AW114),2)</f>
        <v>-388896.82</v>
      </c>
      <c r="AW305" s="13" t="n">
        <f aca="false">ROUND(AW302-(Budget!AX57+Budget!AX114),2)</f>
        <v>-401937.43</v>
      </c>
      <c r="AX305" s="13" t="n">
        <f aca="false">ROUND(AX302-(Budget!AY57+Budget!AY114),2)</f>
        <v>-361059.43</v>
      </c>
      <c r="AY305" s="13" t="n">
        <f aca="false">ROUND(AY302-(Budget!AZ57+Budget!AZ114),2)</f>
        <v>-374006.5</v>
      </c>
      <c r="AZ305" s="13" t="n">
        <f aca="false">ROUND(AZ302-(Budget!BA57+Budget!BA114),2)</f>
        <v>-399799.87</v>
      </c>
      <c r="BA305" s="13" t="n">
        <f aca="false">ROUND(BA302-(Budget!BB57+Budget!BB114),2)</f>
        <v>-412120.35</v>
      </c>
      <c r="BB305" s="13" t="n">
        <f aca="false">ROUND(BB302-(Budget!BC57+Budget!BC114),2)</f>
        <v>-412550.52</v>
      </c>
      <c r="BC305" s="13" t="n">
        <f aca="false">ROUND(BC302-(Budget!BD57+Budget!BD114),2)</f>
        <v>-412980.67</v>
      </c>
      <c r="BD305" s="13" t="n">
        <f aca="false">ROUND(BD302-(Budget!BE57+Budget!BE114),2)</f>
        <v>-413410.83</v>
      </c>
      <c r="BE305" s="13" t="n">
        <f aca="false">ROUND(BE302-(Budget!BF57+Budget!BF114),2)</f>
        <v>-413840.99</v>
      </c>
      <c r="BF305" s="13" t="n">
        <f aca="false">ROUND(BF302-(Budget!BG57+Budget!BG114),2)</f>
        <v>-414271.15</v>
      </c>
      <c r="BG305" s="13" t="n">
        <f aca="false">ROUND(BG302-(Budget!BH57+Budget!BH114),2)</f>
        <v>-414701.31</v>
      </c>
      <c r="BH305" s="13" t="n">
        <f aca="false">ROUND(BH302-(Budget!BI57+Budget!BI114),2)</f>
        <v>-166195.2</v>
      </c>
      <c r="BI305" s="13" t="n">
        <f aca="false">ROUND(BI302-(Budget!BJ57+Budget!BJ114),2)</f>
        <v>-573221.27</v>
      </c>
      <c r="BJ305" s="13" t="n">
        <f aca="false">ROUND(BJ302-(Budget!BK57+Budget!BK114),2)</f>
        <v>-573651.44</v>
      </c>
      <c r="BK305" s="13" t="n">
        <f aca="false">ROUND(BK302-(Budget!BL57+Budget!BL114),2)</f>
        <v>-574081.6</v>
      </c>
      <c r="BL305" s="13" t="n">
        <f aca="false">ROUND(BL302-(Budget!BM57+Budget!BM114),2)</f>
        <v>-574511.75</v>
      </c>
      <c r="BM305" s="13" t="n">
        <f aca="false">ROUND(BM302-(Budget!BN57+Budget!BN114),2)</f>
        <v>-563569.55</v>
      </c>
      <c r="BN305" s="13" t="n">
        <f aca="false">ROUND(BN302-(Budget!BO57+Budget!BO114),2)</f>
        <v>-563999.71</v>
      </c>
      <c r="BO305" s="13" t="n">
        <f aca="false">ROUND(BO302-(Budget!BP57+Budget!BP114),2)</f>
        <v>-510603.58</v>
      </c>
      <c r="BP305" s="13" t="n">
        <f aca="false">ROUND(BP302-(Budget!BQ57+Budget!BQ114),2)</f>
        <v>-623534.57</v>
      </c>
      <c r="BQ305" s="13" t="n">
        <f aca="false">ROUND(BQ302-(Budget!BR57+Budget!BR114),2)</f>
        <v>-623534.57</v>
      </c>
      <c r="BR305" s="13" t="n">
        <f aca="false">ROUND(BR302-(Budget!BS57+Budget!BS114),2)</f>
        <v>-570284.22</v>
      </c>
      <c r="BS305" s="13" t="n">
        <f aca="false">ROUND(BS302-(Budget!BT57+Budget!BT114),2)</f>
        <v>-623534.57</v>
      </c>
      <c r="BT305" s="13" t="n">
        <f aca="false">ROUND(BT302-(Budget!BU57+Budget!BU114),2)</f>
        <v>-623534.57</v>
      </c>
      <c r="BU305" s="13" t="n">
        <f aca="false">ROUND(BU302-(Budget!BV57+Budget!BV114),2)</f>
        <v>-555772.57</v>
      </c>
      <c r="BV305" s="13" t="n">
        <f aca="false">ROUND(BV302-(Budget!BW57+Budget!BW114),2)</f>
        <v>-623534.57</v>
      </c>
      <c r="BW305" s="13" t="n">
        <f aca="false">ROUND(BW302-(Budget!BX57+Budget!BX114),2)</f>
        <v>-623534.57</v>
      </c>
      <c r="BX305" s="13" t="n">
        <f aca="false">ROUND(BX302-(Budget!BY57+Budget!BY114),2)</f>
        <v>-555772.57</v>
      </c>
      <c r="BY305" s="13" t="n">
        <f aca="false">ROUND(BY302-(Budget!BZ57+Budget!BZ114),2)</f>
        <v>-635905.26</v>
      </c>
      <c r="BZ305" s="13" t="n">
        <f aca="false">ROUND(BZ302-(Budget!CA57+Budget!CA114),2)</f>
        <v>-635905.26</v>
      </c>
      <c r="CA305" s="13" t="n">
        <f aca="false">ROUND(CA302-(Budget!CB57+Budget!CB114),2)</f>
        <v>-568143.26</v>
      </c>
      <c r="CB305" s="13" t="n">
        <f aca="false">ROUND(CB302-(Budget!CC57+Budget!CC114),2)</f>
        <v>-635905.26</v>
      </c>
      <c r="CC305" s="13" t="n">
        <f aca="false">ROUND(CC302-(Budget!CD57+Budget!CD114),2)</f>
        <v>-635905.26</v>
      </c>
      <c r="CD305" s="13" t="n">
        <f aca="false">ROUND(CD302-(Budget!CE57+Budget!CE114),2)</f>
        <v>-559406.26</v>
      </c>
      <c r="CE305" s="13" t="n">
        <f aca="false">ROUND(CE302-(Budget!CF57+Budget!CF114),2)</f>
        <v>-635905.26</v>
      </c>
      <c r="CF305" s="13" t="n">
        <f aca="false">ROUND(CF302-(Budget!CG57+Budget!CG114),2)</f>
        <v>-635905.26</v>
      </c>
      <c r="CG305" s="13" t="n">
        <f aca="false">ROUND(CG302-(Budget!CH57+Budget!CH114),2)</f>
        <v>-559406.26</v>
      </c>
      <c r="CH305" s="13" t="n">
        <f aca="false">ROUND(CH302-(Budget!CI57+Budget!CI114),2)</f>
        <v>-635905.26</v>
      </c>
      <c r="CI305" s="13" t="n">
        <f aca="false">ROUND(CI302-(Budget!CJ57+Budget!CJ114),2)</f>
        <v>-635905.26</v>
      </c>
      <c r="CJ305" s="13" t="n">
        <f aca="false">ROUND(CJ302-(Budget!CK57+Budget!CK114),2)</f>
        <v>-552798.24</v>
      </c>
      <c r="CK305" s="13" t="n">
        <f aca="false">ROUND(CK302-(Budget!CL57+Budget!CL114),2)</f>
        <v>-490662.37</v>
      </c>
      <c r="CL305" s="13" t="n">
        <f aca="false">ROUND(CL302-(Budget!CM57+Budget!CM114),2)</f>
        <v>-490662.37</v>
      </c>
      <c r="CM305" s="13" t="n">
        <f aca="false">ROUND(CM302-(Budget!CN57+Budget!CN114),2)</f>
        <v>-490662.37</v>
      </c>
      <c r="CN305" s="13" t="n">
        <f aca="false">ROUND(CN302-(Budget!CO57+Budget!CO114),2)</f>
        <v>-490662.37</v>
      </c>
      <c r="CO305" s="13" t="n">
        <f aca="false">ROUND(CO302-(Budget!CP57+Budget!CP114),2)</f>
        <v>-490662.37</v>
      </c>
      <c r="CP305" s="13" t="n">
        <f aca="false">ROUND(CP302-(Budget!CQ57+Budget!CQ114),2)</f>
        <v>-490662.37</v>
      </c>
      <c r="CQ305" s="13" t="n">
        <f aca="false">ROUND(CQ302-(Budget!CR57+Budget!CR114),2)</f>
        <v>-490662.37</v>
      </c>
      <c r="CR305" s="13" t="n">
        <f aca="false">ROUND(CR302-(Budget!CS57+Budget!CS114),2)</f>
        <v>-490662.37</v>
      </c>
      <c r="CS305" s="13" t="n">
        <f aca="false">ROUND(CS302-(Budget!CT57+Budget!CT114),2)</f>
        <v>-490662.37</v>
      </c>
      <c r="CT305" s="13" t="n">
        <f aca="false">ROUND(CT302-(Budget!CU57+Budget!CU114),2)</f>
        <v>-429860.24</v>
      </c>
      <c r="CU305" s="13" t="n">
        <f aca="false">ROUND(CU302-(Budget!CV57+Budget!CV114),2)</f>
        <v>-429860.24</v>
      </c>
      <c r="CV305" s="13" t="n">
        <f aca="false">ROUND(CV302-(Budget!CW57+Budget!CW114),2)</f>
        <v>-429860.24</v>
      </c>
      <c r="CW305" s="13" t="n">
        <f aca="false">ROUND(CW302-(Budget!CX57+Budget!CX114),2)</f>
        <v>-385806.51</v>
      </c>
      <c r="CX305" s="13" t="n">
        <f aca="false">ROUND(CX302-(Budget!CY57+Budget!CY114),2)</f>
        <v>-368359.66</v>
      </c>
      <c r="CY305" s="13" t="n">
        <f aca="false">ROUND(CY302-(Budget!CZ57+Budget!CZ114),2)</f>
        <v>-368359.66</v>
      </c>
      <c r="CZ305" s="13" t="n">
        <f aca="false">ROUND(CZ302-(Budget!DA57+Budget!DA114),2)</f>
        <v>-368359.66</v>
      </c>
      <c r="DA305" s="13" t="n">
        <f aca="false">ROUND(DA302-(Budget!DB57+Budget!DB114),2)</f>
        <v>-368359.66</v>
      </c>
      <c r="DB305" s="13" t="n">
        <f aca="false">ROUND(DB302-(Budget!DC57+Budget!DC114),2)</f>
        <v>-368359.66</v>
      </c>
      <c r="DC305" s="13" t="n">
        <f aca="false">ROUND(DC302-(Budget!DD57+Budget!DD114),2)</f>
        <v>-368359.66</v>
      </c>
      <c r="DD305" s="13" t="n">
        <f aca="false">ROUND(DD302-(Budget!DE57+Budget!DE114),2)</f>
        <v>-368359.66</v>
      </c>
      <c r="DE305" s="13" t="n">
        <f aca="false">ROUND(DE302-(Budget!DF57+Budget!DF114),2)</f>
        <v>-368359.66</v>
      </c>
    </row>
    <row r="306" customFormat="false" ht="1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row>
    <row r="307" customFormat="false" ht="15" hidden="false" customHeight="true" outlineLevel="0" collapsed="false">
      <c r="A307" s="44" t="s">
        <v>147</v>
      </c>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c r="BZ307" s="39"/>
      <c r="CA307" s="39"/>
      <c r="CB307" s="39"/>
      <c r="CC307" s="39"/>
      <c r="CD307" s="39"/>
      <c r="CE307" s="39"/>
      <c r="CF307" s="39"/>
      <c r="CG307" s="39"/>
      <c r="CH307" s="39"/>
      <c r="CI307" s="39"/>
      <c r="CJ307" s="39"/>
      <c r="CK307" s="39"/>
      <c r="CL307" s="39"/>
      <c r="CM307" s="39"/>
      <c r="CN307" s="39"/>
      <c r="CO307" s="39"/>
      <c r="CP307" s="39"/>
      <c r="CQ307" s="39"/>
      <c r="CR307" s="39"/>
      <c r="CS307" s="39"/>
      <c r="CT307" s="39"/>
      <c r="CU307" s="39"/>
      <c r="CV307" s="39"/>
      <c r="CW307" s="39"/>
      <c r="CX307" s="39"/>
      <c r="CY307" s="39"/>
      <c r="CZ307" s="39"/>
      <c r="DA307" s="39"/>
      <c r="DB307" s="39"/>
      <c r="DC307" s="39"/>
      <c r="DD307" s="39"/>
      <c r="DE307" s="39"/>
    </row>
    <row r="308" customFormat="false" ht="19.5" hidden="false" customHeight="true" outlineLevel="0" collapsed="false">
      <c r="A308" s="22" t="s">
        <v>148</v>
      </c>
      <c r="B308" s="13"/>
      <c r="C308" s="13"/>
      <c r="D308" s="13"/>
      <c r="E308" s="13" t="n">
        <f aca="false">Assumptions!$B$33</f>
        <v>1615485</v>
      </c>
      <c r="F308" s="13" t="n">
        <f aca="false">E311</f>
        <v>1615485</v>
      </c>
      <c r="G308" s="13" t="n">
        <f aca="false">F311</f>
        <v>1615485</v>
      </c>
      <c r="H308" s="13" t="n">
        <f aca="false">G311</f>
        <v>1676065.6875</v>
      </c>
      <c r="I308" s="13" t="n">
        <f aca="false">H311</f>
        <v>1676065.6875</v>
      </c>
      <c r="J308" s="13" t="n">
        <f aca="false">I311</f>
        <v>1676065.6875</v>
      </c>
      <c r="K308" s="13" t="n">
        <f aca="false">J311</f>
        <v>1738918.15078125</v>
      </c>
      <c r="L308" s="13" t="n">
        <f aca="false">K311</f>
        <v>1738918.15078125</v>
      </c>
      <c r="M308" s="13" t="n">
        <f aca="false">L311</f>
        <v>1738918.15078125</v>
      </c>
      <c r="N308" s="13" t="n">
        <f aca="false">M311</f>
        <v>1804127.58143555</v>
      </c>
      <c r="O308" s="13" t="n">
        <f aca="false">N311</f>
        <v>1692127.58143555</v>
      </c>
      <c r="P308" s="13" t="n">
        <f aca="false">O311</f>
        <v>1580127.58143555</v>
      </c>
      <c r="Q308" s="13" t="n">
        <f aca="false">P311</f>
        <v>1527382.36573938</v>
      </c>
      <c r="R308" s="13" t="n">
        <f aca="false">Q311</f>
        <v>1415382.36573938</v>
      </c>
      <c r="S308" s="13" t="n">
        <f aca="false">R311</f>
        <v>1303382.36573938</v>
      </c>
      <c r="T308" s="13" t="n">
        <f aca="false">S311</f>
        <v>1240259.20445461</v>
      </c>
      <c r="U308" s="13" t="n">
        <f aca="false">T311</f>
        <v>1128259.20445461</v>
      </c>
      <c r="V308" s="13" t="n">
        <f aca="false">U311</f>
        <v>1016259.20445461</v>
      </c>
      <c r="W308" s="13" t="n">
        <f aca="false">V311</f>
        <v>942368.924621655</v>
      </c>
      <c r="X308" s="13" t="n">
        <f aca="false">W311</f>
        <v>830368.924621655</v>
      </c>
      <c r="Y308" s="13" t="n">
        <f aca="false">X311</f>
        <v>718368.924621655</v>
      </c>
      <c r="Z308" s="13" t="n">
        <f aca="false">Y311</f>
        <v>633307.759294967</v>
      </c>
      <c r="AA308" s="13" t="n">
        <f aca="false">Z311</f>
        <v>521307.759294967</v>
      </c>
      <c r="AB308" s="13" t="n">
        <f aca="false">AA311</f>
        <v>409307.759294967</v>
      </c>
      <c r="AC308" s="13" t="n">
        <f aca="false">AB311</f>
        <v>312656.800268528</v>
      </c>
      <c r="AD308" s="13" t="n">
        <f aca="false">AC311</f>
        <v>200656.800268528</v>
      </c>
      <c r="AE308" s="13" t="n">
        <f aca="false">AD311</f>
        <v>88656.8002685279</v>
      </c>
      <c r="AF308" s="13" t="n">
        <f aca="false">AE311</f>
        <v>0</v>
      </c>
      <c r="AG308" s="13" t="n">
        <f aca="false">AF311</f>
        <v>0</v>
      </c>
      <c r="AH308" s="13" t="n">
        <f aca="false">AG311</f>
        <v>0</v>
      </c>
      <c r="AI308" s="13" t="n">
        <f aca="false">AH311</f>
        <v>0</v>
      </c>
      <c r="AJ308" s="13" t="n">
        <f aca="false">AI311</f>
        <v>0</v>
      </c>
      <c r="AK308" s="13" t="n">
        <f aca="false">AJ311</f>
        <v>0</v>
      </c>
      <c r="AL308" s="13" t="n">
        <f aca="false">AK311</f>
        <v>0</v>
      </c>
      <c r="AM308" s="13" t="n">
        <f aca="false">AL311</f>
        <v>0</v>
      </c>
      <c r="AN308" s="13" t="n">
        <f aca="false">AM311</f>
        <v>0</v>
      </c>
      <c r="AO308" s="13" t="n">
        <f aca="false">AN311</f>
        <v>0</v>
      </c>
      <c r="AP308" s="13" t="n">
        <f aca="false">AO311</f>
        <v>0</v>
      </c>
      <c r="AQ308" s="13" t="n">
        <f aca="false">AP311</f>
        <v>0</v>
      </c>
      <c r="AR308" s="13" t="n">
        <f aca="false">AQ311</f>
        <v>0</v>
      </c>
      <c r="AS308" s="13" t="n">
        <f aca="false">AR311</f>
        <v>0</v>
      </c>
      <c r="AT308" s="13" t="n">
        <f aca="false">AS311</f>
        <v>0</v>
      </c>
      <c r="AU308" s="13" t="n">
        <f aca="false">AT311</f>
        <v>0</v>
      </c>
      <c r="AV308" s="13" t="n">
        <f aca="false">AU311</f>
        <v>0</v>
      </c>
      <c r="AW308" s="13" t="n">
        <f aca="false">AV311</f>
        <v>0</v>
      </c>
      <c r="AX308" s="13" t="n">
        <f aca="false">AW311</f>
        <v>0</v>
      </c>
      <c r="AY308" s="13" t="n">
        <f aca="false">AX311</f>
        <v>0</v>
      </c>
      <c r="AZ308" s="13" t="n">
        <f aca="false">AY311</f>
        <v>0</v>
      </c>
      <c r="BA308" s="13" t="n">
        <f aca="false">AZ311</f>
        <v>0</v>
      </c>
      <c r="BB308" s="13" t="n">
        <f aca="false">BA311</f>
        <v>0</v>
      </c>
      <c r="BC308" s="13" t="n">
        <f aca="false">BB311</f>
        <v>0</v>
      </c>
      <c r="BD308" s="13" t="n">
        <f aca="false">BC311</f>
        <v>0</v>
      </c>
      <c r="BE308" s="13" t="n">
        <f aca="false">BD311</f>
        <v>0</v>
      </c>
      <c r="BF308" s="13" t="n">
        <f aca="false">BE311</f>
        <v>0</v>
      </c>
      <c r="BG308" s="13" t="n">
        <f aca="false">BF311</f>
        <v>0</v>
      </c>
      <c r="BH308" s="13" t="n">
        <f aca="false">BG311</f>
        <v>0</v>
      </c>
      <c r="BI308" s="13" t="n">
        <f aca="false">BH311</f>
        <v>0</v>
      </c>
      <c r="BJ308" s="13" t="n">
        <f aca="false">BI311</f>
        <v>0</v>
      </c>
      <c r="BK308" s="13" t="n">
        <f aca="false">BJ311</f>
        <v>0</v>
      </c>
      <c r="BL308" s="13" t="n">
        <f aca="false">BK311</f>
        <v>0</v>
      </c>
      <c r="BM308" s="13" t="n">
        <f aca="false">BL311</f>
        <v>0</v>
      </c>
      <c r="BN308" s="13" t="n">
        <f aca="false">BM311</f>
        <v>0</v>
      </c>
      <c r="BO308" s="13" t="n">
        <f aca="false">BN311</f>
        <v>0</v>
      </c>
      <c r="BP308" s="13" t="n">
        <f aca="false">BO311</f>
        <v>0</v>
      </c>
      <c r="BQ308" s="13" t="n">
        <f aca="false">BP311</f>
        <v>0</v>
      </c>
      <c r="BR308" s="13" t="n">
        <f aca="false">BQ311</f>
        <v>0</v>
      </c>
      <c r="BS308" s="13" t="n">
        <f aca="false">BR311</f>
        <v>0</v>
      </c>
      <c r="BT308" s="13" t="n">
        <f aca="false">BS311</f>
        <v>0</v>
      </c>
      <c r="BU308" s="13" t="n">
        <f aca="false">BT311</f>
        <v>0</v>
      </c>
      <c r="BV308" s="13" t="n">
        <f aca="false">BU311</f>
        <v>0</v>
      </c>
      <c r="BW308" s="13" t="n">
        <f aca="false">BV311</f>
        <v>0</v>
      </c>
      <c r="BX308" s="13" t="n">
        <f aca="false">BW311</f>
        <v>0</v>
      </c>
      <c r="BY308" s="13" t="n">
        <f aca="false">BX311</f>
        <v>0</v>
      </c>
      <c r="BZ308" s="13" t="n">
        <f aca="false">BY311</f>
        <v>0</v>
      </c>
      <c r="CA308" s="13" t="n">
        <f aca="false">BZ311</f>
        <v>0</v>
      </c>
      <c r="CB308" s="13" t="n">
        <f aca="false">CA311</f>
        <v>0</v>
      </c>
      <c r="CC308" s="13" t="n">
        <f aca="false">CB311</f>
        <v>0</v>
      </c>
      <c r="CD308" s="13" t="n">
        <f aca="false">CC311</f>
        <v>0</v>
      </c>
      <c r="CE308" s="13" t="n">
        <f aca="false">CD311</f>
        <v>0</v>
      </c>
      <c r="CF308" s="13" t="n">
        <f aca="false">CE311</f>
        <v>0</v>
      </c>
      <c r="CG308" s="13" t="n">
        <f aca="false">CF311</f>
        <v>0</v>
      </c>
      <c r="CH308" s="13" t="n">
        <f aca="false">CG311</f>
        <v>0</v>
      </c>
      <c r="CI308" s="13" t="n">
        <f aca="false">CH311</f>
        <v>0</v>
      </c>
      <c r="CJ308" s="13" t="n">
        <f aca="false">CI311</f>
        <v>0</v>
      </c>
      <c r="CK308" s="13" t="n">
        <f aca="false">CJ311</f>
        <v>0</v>
      </c>
      <c r="CL308" s="13" t="n">
        <f aca="false">CK311</f>
        <v>0</v>
      </c>
      <c r="CM308" s="13" t="n">
        <f aca="false">CL311</f>
        <v>0</v>
      </c>
      <c r="CN308" s="13" t="n">
        <f aca="false">CM311</f>
        <v>0</v>
      </c>
      <c r="CO308" s="13" t="n">
        <f aca="false">CN311</f>
        <v>0</v>
      </c>
      <c r="CP308" s="13" t="n">
        <f aca="false">CO311</f>
        <v>0</v>
      </c>
      <c r="CQ308" s="13" t="n">
        <f aca="false">CP311</f>
        <v>0</v>
      </c>
      <c r="CR308" s="13" t="n">
        <f aca="false">CQ311</f>
        <v>0</v>
      </c>
      <c r="CS308" s="13" t="n">
        <f aca="false">CR311</f>
        <v>0</v>
      </c>
      <c r="CT308" s="13" t="n">
        <f aca="false">CS311</f>
        <v>0</v>
      </c>
      <c r="CU308" s="13" t="n">
        <f aca="false">CT311</f>
        <v>0</v>
      </c>
      <c r="CV308" s="13" t="n">
        <f aca="false">CU311</f>
        <v>0</v>
      </c>
      <c r="CW308" s="13" t="n">
        <f aca="false">CV311</f>
        <v>0</v>
      </c>
      <c r="CX308" s="13" t="n">
        <f aca="false">CW311</f>
        <v>0</v>
      </c>
      <c r="CY308" s="13" t="n">
        <f aca="false">CX311</f>
        <v>0</v>
      </c>
      <c r="CZ308" s="13" t="n">
        <f aca="false">CY311</f>
        <v>0</v>
      </c>
      <c r="DA308" s="13" t="n">
        <f aca="false">CZ311</f>
        <v>0</v>
      </c>
      <c r="DB308" s="13" t="n">
        <f aca="false">DA311</f>
        <v>0</v>
      </c>
      <c r="DC308" s="13" t="n">
        <f aca="false">DB311</f>
        <v>0</v>
      </c>
      <c r="DD308" s="13" t="n">
        <f aca="false">DC311</f>
        <v>0</v>
      </c>
      <c r="DE308" s="13" t="n">
        <f aca="false">DD311</f>
        <v>0</v>
      </c>
    </row>
    <row r="309" customFormat="false" ht="15" hidden="false" customHeight="true" outlineLevel="0" collapsed="false">
      <c r="A309" s="22" t="s">
        <v>149</v>
      </c>
      <c r="B309" s="13"/>
      <c r="C309" s="13"/>
      <c r="D309" s="13"/>
      <c r="E309" s="13" t="n">
        <f aca="false">IF(AND(MOD(1,3)=0,E308&gt;0),E308*Assumptions!$B$35,0)</f>
        <v>0</v>
      </c>
      <c r="F309" s="13" t="n">
        <f aca="false">IF(AND(MOD(2,3)=0,F308&gt;0),F308*Assumptions!$B$35,0)</f>
        <v>0</v>
      </c>
      <c r="G309" s="13" t="n">
        <f aca="false">IF(AND(MOD(3,3)=0,G308&gt;0),G308*Assumptions!$B$35,0)</f>
        <v>60580.6875</v>
      </c>
      <c r="H309" s="13" t="n">
        <f aca="false">IF(AND(MOD(4,3)=0,H308&gt;0),H308*Assumptions!$B$35,0)</f>
        <v>0</v>
      </c>
      <c r="I309" s="13" t="n">
        <f aca="false">IF(AND(MOD(5,3)=0,I308&gt;0),I308*Assumptions!$B$35,0)</f>
        <v>0</v>
      </c>
      <c r="J309" s="13" t="n">
        <f aca="false">IF(AND(MOD(6,3)=0,J308&gt;0),J308*Assumptions!$B$35,0)</f>
        <v>62852.46328125</v>
      </c>
      <c r="K309" s="13" t="n">
        <f aca="false">IF(AND(MOD(7,3)=0,K308&gt;0),K308*Assumptions!$B$35,0)</f>
        <v>0</v>
      </c>
      <c r="L309" s="13" t="n">
        <f aca="false">IF(AND(MOD(8,3)=0,L308&gt;0),L308*Assumptions!$B$35,0)</f>
        <v>0</v>
      </c>
      <c r="M309" s="13" t="n">
        <f aca="false">IF(AND(MOD(9,3)=0,M308&gt;0),M308*Assumptions!$B$35,0)</f>
        <v>65209.4306542969</v>
      </c>
      <c r="N309" s="13" t="n">
        <f aca="false">IF(AND(MOD(10,3)=0,N308&gt;0),N308*Assumptions!$B$35,0)</f>
        <v>0</v>
      </c>
      <c r="O309" s="13" t="n">
        <f aca="false">IF(AND(MOD(11,3)=0,O308&gt;0),O308*Assumptions!$B$35,0)</f>
        <v>0</v>
      </c>
      <c r="P309" s="13" t="n">
        <f aca="false">IF(AND(MOD(12,3)=0,P308&gt;0),P308*Assumptions!$B$35,0)</f>
        <v>59254.784303833</v>
      </c>
      <c r="Q309" s="13" t="n">
        <f aca="false">IF(AND(MOD(13,3)=0,Q308&gt;0),Q308*Assumptions!$B$35,0)</f>
        <v>0</v>
      </c>
      <c r="R309" s="13" t="n">
        <f aca="false">IF(AND(MOD(14,3)=0,R308&gt;0),R308*Assumptions!$B$35,0)</f>
        <v>0</v>
      </c>
      <c r="S309" s="13" t="n">
        <f aca="false">IF(AND(MOD(15,3)=0,S308&gt;0),S308*Assumptions!$B$35,0)</f>
        <v>48876.8387152267</v>
      </c>
      <c r="T309" s="13" t="n">
        <f aca="false">IF(AND(MOD(16,3)=0,T308&gt;0),T308*Assumptions!$B$35,0)</f>
        <v>0</v>
      </c>
      <c r="U309" s="13" t="n">
        <f aca="false">IF(AND(MOD(17,3)=0,U308&gt;0),U308*Assumptions!$B$35,0)</f>
        <v>0</v>
      </c>
      <c r="V309" s="13" t="n">
        <f aca="false">IF(AND(MOD(18,3)=0,V308&gt;0),V308*Assumptions!$B$35,0)</f>
        <v>38109.7201670478</v>
      </c>
      <c r="W309" s="13" t="n">
        <f aca="false">IF(AND(MOD(19,3)=0,W308&gt;0),W308*Assumptions!$B$35,0)</f>
        <v>0</v>
      </c>
      <c r="X309" s="13" t="n">
        <f aca="false">IF(AND(MOD(20,3)=0,X308&gt;0),X308*Assumptions!$B$35,0)</f>
        <v>0</v>
      </c>
      <c r="Y309" s="13" t="n">
        <f aca="false">IF(AND(MOD(21,3)=0,Y308&gt;0),Y308*Assumptions!$B$35,0)</f>
        <v>26938.8346733121</v>
      </c>
      <c r="Z309" s="13" t="n">
        <f aca="false">IF(AND(MOD(22,3)=0,Z308&gt;0),Z308*Assumptions!$B$35,0)</f>
        <v>0</v>
      </c>
      <c r="AA309" s="13" t="n">
        <f aca="false">IF(AND(MOD(23,3)=0,AA308&gt;0),AA308*Assumptions!$B$35,0)</f>
        <v>0</v>
      </c>
      <c r="AB309" s="13" t="n">
        <f aca="false">IF(AND(MOD(24,3)=0,AB308&gt;0),AB308*Assumptions!$B$35,0)</f>
        <v>15349.0409735613</v>
      </c>
      <c r="AC309" s="13" t="n">
        <f aca="false">IF(AND(MOD(25,3)=0,AC308&gt;0),AC308*Assumptions!$B$35,0)</f>
        <v>0</v>
      </c>
      <c r="AD309" s="13" t="n">
        <f aca="false">IF(AND(MOD(26,3)=0,AD308&gt;0),AD308*Assumptions!$B$35,0)</f>
        <v>0</v>
      </c>
      <c r="AE309" s="13" t="n">
        <f aca="false">IF(AND(MOD(27,3)=0,AE308&gt;0),AE308*Assumptions!$B$35,0)</f>
        <v>3324.6300100698</v>
      </c>
      <c r="AF309" s="13" t="n">
        <f aca="false">IF(AND(MOD(28,3)=0,AF308&gt;0),AF308*Assumptions!$B$35,0)</f>
        <v>0</v>
      </c>
      <c r="AG309" s="13" t="n">
        <f aca="false">IF(AND(MOD(29,3)=0,AG308&gt;0),AG308*Assumptions!$B$35,0)</f>
        <v>0</v>
      </c>
      <c r="AH309" s="13" t="n">
        <f aca="false">IF(AND(MOD(30,3)=0,AH308&gt;0),AH308*Assumptions!$B$35,0)</f>
        <v>0</v>
      </c>
      <c r="AI309" s="13" t="n">
        <f aca="false">IF(AND(MOD(31,3)=0,AI308&gt;0),AI308*Assumptions!$B$35,0)</f>
        <v>0</v>
      </c>
      <c r="AJ309" s="13" t="n">
        <f aca="false">IF(AND(MOD(32,3)=0,AJ308&gt;0),AJ308*Assumptions!$B$35,0)</f>
        <v>0</v>
      </c>
      <c r="AK309" s="13" t="n">
        <f aca="false">IF(AND(MOD(33,3)=0,AK308&gt;0),AK308*Assumptions!$B$35,0)</f>
        <v>0</v>
      </c>
      <c r="AL309" s="13" t="n">
        <f aca="false">IF(AND(MOD(34,3)=0,AL308&gt;0),AL308*Assumptions!$B$35,0)</f>
        <v>0</v>
      </c>
      <c r="AM309" s="13" t="n">
        <f aca="false">IF(AND(MOD(35,3)=0,AM308&gt;0),AM308*Assumptions!$B$35,0)</f>
        <v>0</v>
      </c>
      <c r="AN309" s="13" t="n">
        <f aca="false">IF(AND(MOD(36,3)=0,AN308&gt;0),AN308*Assumptions!$B$35,0)</f>
        <v>0</v>
      </c>
      <c r="AO309" s="13" t="n">
        <f aca="false">IF(AND(MOD(37,3)=0,AO308&gt;0),AO308*Assumptions!$B$35,0)</f>
        <v>0</v>
      </c>
      <c r="AP309" s="13" t="n">
        <f aca="false">IF(AND(MOD(38,3)=0,AP308&gt;0),AP308*Assumptions!$B$35,0)</f>
        <v>0</v>
      </c>
      <c r="AQ309" s="13" t="n">
        <f aca="false">IF(AND(MOD(39,3)=0,AQ308&gt;0),AQ308*Assumptions!$B$35,0)</f>
        <v>0</v>
      </c>
      <c r="AR309" s="13" t="n">
        <f aca="false">IF(AND(MOD(40,3)=0,AR308&gt;0),AR308*Assumptions!$B$35,0)</f>
        <v>0</v>
      </c>
      <c r="AS309" s="13" t="n">
        <f aca="false">IF(AND(MOD(41,3)=0,AS308&gt;0),AS308*Assumptions!$B$35,0)</f>
        <v>0</v>
      </c>
      <c r="AT309" s="13" t="n">
        <f aca="false">IF(AND(MOD(42,3)=0,AT308&gt;0),AT308*Assumptions!$B$35,0)</f>
        <v>0</v>
      </c>
      <c r="AU309" s="13" t="n">
        <f aca="false">IF(AND(MOD(43,3)=0,AU308&gt;0),AU308*Assumptions!$B$35,0)</f>
        <v>0</v>
      </c>
      <c r="AV309" s="13" t="n">
        <f aca="false">IF(AND(MOD(44,3)=0,AV308&gt;0),AV308*Assumptions!$B$35,0)</f>
        <v>0</v>
      </c>
      <c r="AW309" s="13" t="n">
        <f aca="false">IF(AND(MOD(45,3)=0,AW308&gt;0),AW308*Assumptions!$B$35,0)</f>
        <v>0</v>
      </c>
      <c r="AX309" s="13" t="n">
        <f aca="false">IF(AND(MOD(46,3)=0,AX308&gt;0),AX308*Assumptions!$B$35,0)</f>
        <v>0</v>
      </c>
      <c r="AY309" s="13" t="n">
        <f aca="false">IF(AND(MOD(47,3)=0,AY308&gt;0),AY308*Assumptions!$B$35,0)</f>
        <v>0</v>
      </c>
      <c r="AZ309" s="13" t="n">
        <f aca="false">IF(AND(MOD(48,3)=0,AZ308&gt;0),AZ308*Assumptions!$B$35,0)</f>
        <v>0</v>
      </c>
      <c r="BA309" s="13" t="n">
        <f aca="false">IF(AND(MOD(49,3)=0,BA308&gt;0),BA308*Assumptions!$B$35,0)</f>
        <v>0</v>
      </c>
      <c r="BB309" s="13" t="n">
        <f aca="false">IF(AND(MOD(50,3)=0,BB308&gt;0),BB308*Assumptions!$B$35,0)</f>
        <v>0</v>
      </c>
      <c r="BC309" s="13" t="n">
        <f aca="false">IF(AND(MOD(51,3)=0,BC308&gt;0),BC308*Assumptions!$B$35,0)</f>
        <v>0</v>
      </c>
      <c r="BD309" s="13" t="n">
        <f aca="false">IF(AND(MOD(52,3)=0,BD308&gt;0),BD308*Assumptions!$B$35,0)</f>
        <v>0</v>
      </c>
      <c r="BE309" s="13" t="n">
        <f aca="false">IF(AND(MOD(53,3)=0,BE308&gt;0),BE308*Assumptions!$B$35,0)</f>
        <v>0</v>
      </c>
      <c r="BF309" s="13" t="n">
        <f aca="false">IF(AND(MOD(54,3)=0,BF308&gt;0),BF308*Assumptions!$B$35,0)</f>
        <v>0</v>
      </c>
      <c r="BG309" s="13" t="n">
        <f aca="false">IF(AND(MOD(55,3)=0,BG308&gt;0),BG308*Assumptions!$B$35,0)</f>
        <v>0</v>
      </c>
      <c r="BH309" s="13" t="n">
        <f aca="false">IF(AND(MOD(56,3)=0,BH308&gt;0),BH308*Assumptions!$B$35,0)</f>
        <v>0</v>
      </c>
      <c r="BI309" s="13" t="n">
        <f aca="false">IF(AND(MOD(57,3)=0,BI308&gt;0),BI308*Assumptions!$B$35,0)</f>
        <v>0</v>
      </c>
      <c r="BJ309" s="13" t="n">
        <f aca="false">IF(AND(MOD(58,3)=0,BJ308&gt;0),BJ308*Assumptions!$B$35,0)</f>
        <v>0</v>
      </c>
      <c r="BK309" s="13" t="n">
        <f aca="false">IF(AND(MOD(59,3)=0,BK308&gt;0),BK308*Assumptions!$B$35,0)</f>
        <v>0</v>
      </c>
      <c r="BL309" s="13" t="n">
        <f aca="false">IF(AND(MOD(60,3)=0,BL308&gt;0),BL308*Assumptions!$B$35,0)</f>
        <v>0</v>
      </c>
      <c r="BM309" s="13" t="n">
        <f aca="false">IF(AND(MOD(61,3)=0,BM308&gt;0),BM308*Assumptions!$B$35,0)</f>
        <v>0</v>
      </c>
      <c r="BN309" s="13" t="n">
        <f aca="false">IF(AND(MOD(62,3)=0,BN308&gt;0),BN308*Assumptions!$B$35,0)</f>
        <v>0</v>
      </c>
      <c r="BO309" s="13" t="n">
        <f aca="false">IF(AND(MOD(63,3)=0,BO308&gt;0),BO308*Assumptions!$B$35,0)</f>
        <v>0</v>
      </c>
      <c r="BP309" s="13" t="n">
        <f aca="false">IF(AND(MOD(64,3)=0,BP308&gt;0),BP308*Assumptions!$B$35,0)</f>
        <v>0</v>
      </c>
      <c r="BQ309" s="13" t="n">
        <f aca="false">IF(AND(MOD(65,3)=0,BQ308&gt;0),BQ308*Assumptions!$B$35,0)</f>
        <v>0</v>
      </c>
      <c r="BR309" s="13" t="n">
        <f aca="false">IF(AND(MOD(66,3)=0,BR308&gt;0),BR308*Assumptions!$B$35,0)</f>
        <v>0</v>
      </c>
      <c r="BS309" s="13" t="n">
        <f aca="false">IF(AND(MOD(67,3)=0,BS308&gt;0),BS308*Assumptions!$B$35,0)</f>
        <v>0</v>
      </c>
      <c r="BT309" s="13" t="n">
        <f aca="false">IF(AND(MOD(68,3)=0,BT308&gt;0),BT308*Assumptions!$B$35,0)</f>
        <v>0</v>
      </c>
      <c r="BU309" s="13" t="n">
        <f aca="false">IF(AND(MOD(69,3)=0,BU308&gt;0),BU308*Assumptions!$B$35,0)</f>
        <v>0</v>
      </c>
      <c r="BV309" s="13" t="n">
        <f aca="false">IF(AND(MOD(70,3)=0,BV308&gt;0),BV308*Assumptions!$B$35,0)</f>
        <v>0</v>
      </c>
      <c r="BW309" s="13" t="n">
        <f aca="false">IF(AND(MOD(71,3)=0,BW308&gt;0),BW308*Assumptions!$B$35,0)</f>
        <v>0</v>
      </c>
      <c r="BX309" s="13" t="n">
        <f aca="false">IF(AND(MOD(72,3)=0,BX308&gt;0),BX308*Assumptions!$B$35,0)</f>
        <v>0</v>
      </c>
      <c r="BY309" s="13" t="n">
        <f aca="false">IF(AND(MOD(73,3)=0,BY308&gt;0),BY308*Assumptions!$B$35,0)</f>
        <v>0</v>
      </c>
      <c r="BZ309" s="13" t="n">
        <f aca="false">IF(AND(MOD(74,3)=0,BZ308&gt;0),BZ308*Assumptions!$B$35,0)</f>
        <v>0</v>
      </c>
      <c r="CA309" s="13" t="n">
        <f aca="false">IF(AND(MOD(75,3)=0,CA308&gt;0),CA308*Assumptions!$B$35,0)</f>
        <v>0</v>
      </c>
      <c r="CB309" s="13" t="n">
        <f aca="false">IF(AND(MOD(76,3)=0,CB308&gt;0),CB308*Assumptions!$B$35,0)</f>
        <v>0</v>
      </c>
      <c r="CC309" s="13" t="n">
        <f aca="false">IF(AND(MOD(77,3)=0,CC308&gt;0),CC308*Assumptions!$B$35,0)</f>
        <v>0</v>
      </c>
      <c r="CD309" s="13" t="n">
        <f aca="false">IF(AND(MOD(78,3)=0,CD308&gt;0),CD308*Assumptions!$B$35,0)</f>
        <v>0</v>
      </c>
      <c r="CE309" s="13" t="n">
        <f aca="false">IF(AND(MOD(79,3)=0,CE308&gt;0),CE308*Assumptions!$B$35,0)</f>
        <v>0</v>
      </c>
      <c r="CF309" s="13" t="n">
        <f aca="false">IF(AND(MOD(80,3)=0,CF308&gt;0),CF308*Assumptions!$B$35,0)</f>
        <v>0</v>
      </c>
      <c r="CG309" s="13" t="n">
        <f aca="false">IF(AND(MOD(81,3)=0,CG308&gt;0),CG308*Assumptions!$B$35,0)</f>
        <v>0</v>
      </c>
      <c r="CH309" s="13" t="n">
        <f aca="false">IF(AND(MOD(82,3)=0,CH308&gt;0),CH308*Assumptions!$B$35,0)</f>
        <v>0</v>
      </c>
      <c r="CI309" s="13" t="n">
        <f aca="false">IF(AND(MOD(83,3)=0,CI308&gt;0),CI308*Assumptions!$B$35,0)</f>
        <v>0</v>
      </c>
      <c r="CJ309" s="13" t="n">
        <f aca="false">IF(AND(MOD(84,3)=0,CJ308&gt;0),CJ308*Assumptions!$B$35,0)</f>
        <v>0</v>
      </c>
      <c r="CK309" s="13" t="n">
        <f aca="false">IF(AND(MOD(85,3)=0,CK308&gt;0),CK308*Assumptions!$B$35,0)</f>
        <v>0</v>
      </c>
      <c r="CL309" s="13" t="n">
        <f aca="false">IF(AND(MOD(86,3)=0,CL308&gt;0),CL308*Assumptions!$B$35,0)</f>
        <v>0</v>
      </c>
      <c r="CM309" s="13" t="n">
        <f aca="false">IF(AND(MOD(87,3)=0,CM308&gt;0),CM308*Assumptions!$B$35,0)</f>
        <v>0</v>
      </c>
      <c r="CN309" s="13" t="n">
        <f aca="false">IF(AND(MOD(88,3)=0,CN308&gt;0),CN308*Assumptions!$B$35,0)</f>
        <v>0</v>
      </c>
      <c r="CO309" s="13" t="n">
        <f aca="false">IF(AND(MOD(89,3)=0,CO308&gt;0),CO308*Assumptions!$B$35,0)</f>
        <v>0</v>
      </c>
      <c r="CP309" s="13" t="n">
        <f aca="false">IF(AND(MOD(90,3)=0,CP308&gt;0),CP308*Assumptions!$B$35,0)</f>
        <v>0</v>
      </c>
      <c r="CQ309" s="13" t="n">
        <f aca="false">IF(AND(MOD(91,3)=0,CQ308&gt;0),CQ308*Assumptions!$B$35,0)</f>
        <v>0</v>
      </c>
      <c r="CR309" s="13" t="n">
        <f aca="false">IF(AND(MOD(92,3)=0,CR308&gt;0),CR308*Assumptions!$B$35,0)</f>
        <v>0</v>
      </c>
      <c r="CS309" s="13" t="n">
        <f aca="false">IF(AND(MOD(93,3)=0,CS308&gt;0),CS308*Assumptions!$B$35,0)</f>
        <v>0</v>
      </c>
      <c r="CT309" s="13" t="n">
        <f aca="false">IF(AND(MOD(94,3)=0,CT308&gt;0),CT308*Assumptions!$B$35,0)</f>
        <v>0</v>
      </c>
      <c r="CU309" s="13" t="n">
        <f aca="false">IF(AND(MOD(95,3)=0,CU308&gt;0),CU308*Assumptions!$B$35,0)</f>
        <v>0</v>
      </c>
      <c r="CV309" s="13" t="n">
        <f aca="false">IF(AND(MOD(96,3)=0,CV308&gt;0),CV308*Assumptions!$B$35,0)</f>
        <v>0</v>
      </c>
      <c r="CW309" s="13" t="n">
        <f aca="false">IF(AND(MOD(97,3)=0,CW308&gt;0),CW308*Assumptions!$B$35,0)</f>
        <v>0</v>
      </c>
      <c r="CX309" s="13" t="n">
        <f aca="false">IF(AND(MOD(98,3)=0,CX308&gt;0),CX308*Assumptions!$B$35,0)</f>
        <v>0</v>
      </c>
      <c r="CY309" s="13" t="n">
        <f aca="false">IF(AND(MOD(99,3)=0,CY308&gt;0),CY308*Assumptions!$B$35,0)</f>
        <v>0</v>
      </c>
      <c r="CZ309" s="13" t="n">
        <f aca="false">IF(AND(MOD(100,3)=0,CZ308&gt;0),CZ308*Assumptions!$B$35,0)</f>
        <v>0</v>
      </c>
      <c r="DA309" s="13" t="n">
        <f aca="false">IF(AND(MOD(101,3)=0,DA308&gt;0),DA308*Assumptions!$B$35,0)</f>
        <v>0</v>
      </c>
      <c r="DB309" s="13" t="n">
        <f aca="false">IF(AND(MOD(102,3)=0,DB308&gt;0),DB308*Assumptions!$B$35,0)</f>
        <v>0</v>
      </c>
      <c r="DC309" s="13" t="n">
        <f aca="false">IF(AND(MOD(103,3)=0,DC308&gt;0),DC308*Assumptions!$B$35,0)</f>
        <v>0</v>
      </c>
      <c r="DD309" s="13" t="n">
        <f aca="false">IF(AND(MOD(104,3)=0,DD308&gt;0),DD308*Assumptions!$B$35,0)</f>
        <v>0</v>
      </c>
      <c r="DE309" s="13" t="n">
        <f aca="false">IF(AND(MOD(105,3)=0,DE308&gt;0),DE308*Assumptions!$B$35,0)</f>
        <v>0</v>
      </c>
    </row>
    <row r="310" customFormat="false" ht="15" hidden="false" customHeight="true" outlineLevel="0" collapsed="false">
      <c r="A310" s="22" t="s">
        <v>150</v>
      </c>
      <c r="B310" s="13"/>
      <c r="C310" s="13"/>
      <c r="D310" s="13"/>
      <c r="E310" s="13" t="n">
        <f aca="false">IF(AND(1&gt;=Assumptions!$B$37,E308+E309&gt;0),-MIN(Assumptions!$B$36,E308+E309),0)</f>
        <v>0</v>
      </c>
      <c r="F310" s="13" t="n">
        <f aca="false">IF(AND(2&gt;=Assumptions!$B$37,F308+F309&gt;0),-MIN(Assumptions!$B$36,F308+F309),0)</f>
        <v>0</v>
      </c>
      <c r="G310" s="13" t="n">
        <f aca="false">IF(AND(3&gt;=Assumptions!$B$37,G308+G309&gt;0),-MIN(Assumptions!$B$36,G308+G309),0)</f>
        <v>0</v>
      </c>
      <c r="H310" s="13" t="n">
        <f aca="false">IF(AND(4&gt;=Assumptions!$B$37,H308+H309&gt;0),-MIN(Assumptions!$B$36,H308+H309),0)</f>
        <v>0</v>
      </c>
      <c r="I310" s="13" t="n">
        <f aca="false">IF(AND(5&gt;=Assumptions!$B$37,I308+I309&gt;0),-MIN(Assumptions!$B$36,I308+I309),0)</f>
        <v>0</v>
      </c>
      <c r="J310" s="13" t="n">
        <f aca="false">IF(AND(6&gt;=Assumptions!$B$37,J308+J309&gt;0),-MIN(Assumptions!$B$36,J308+J309),0)</f>
        <v>0</v>
      </c>
      <c r="K310" s="13" t="n">
        <f aca="false">IF(AND(7&gt;=Assumptions!$B$37,K308+K309&gt;0),-MIN(Assumptions!$B$36,K308+K309),0)</f>
        <v>0</v>
      </c>
      <c r="L310" s="13" t="n">
        <f aca="false">IF(AND(8&gt;=Assumptions!$B$37,L308+L309&gt;0),-MIN(Assumptions!$B$36,L308+L309),0)</f>
        <v>0</v>
      </c>
      <c r="M310" s="13" t="n">
        <f aca="false">IF(AND(9&gt;=Assumptions!$B$37,M308+M309&gt;0),-MIN(Assumptions!$B$36,M308+M309),0)</f>
        <v>0</v>
      </c>
      <c r="N310" s="13" t="n">
        <f aca="false">IF(AND(10&gt;=Assumptions!$B$37,N308+N309&gt;0),-MIN(Assumptions!$B$36,N308+N309),0)</f>
        <v>-112000</v>
      </c>
      <c r="O310" s="13" t="n">
        <f aca="false">IF(AND(11&gt;=Assumptions!$B$37,O308+O309&gt;0),-MIN(Assumptions!$B$36,O308+O309),0)</f>
        <v>-112000</v>
      </c>
      <c r="P310" s="13" t="n">
        <f aca="false">IF(AND(12&gt;=Assumptions!$B$37,P308+P309&gt;0),-MIN(Assumptions!$B$36,P308+P309),0)</f>
        <v>-112000</v>
      </c>
      <c r="Q310" s="13" t="n">
        <f aca="false">IF(AND(13&gt;=Assumptions!$B$37,Q308+Q309&gt;0),-MIN(Assumptions!$B$36,Q308+Q309),0)</f>
        <v>-112000</v>
      </c>
      <c r="R310" s="13" t="n">
        <f aca="false">IF(AND(14&gt;=Assumptions!$B$37,R308+R309&gt;0),-MIN(Assumptions!$B$36,R308+R309),0)</f>
        <v>-112000</v>
      </c>
      <c r="S310" s="13" t="n">
        <f aca="false">IF(AND(15&gt;=Assumptions!$B$37,S308+S309&gt;0),-MIN(Assumptions!$B$36,S308+S309),0)</f>
        <v>-112000</v>
      </c>
      <c r="T310" s="13" t="n">
        <f aca="false">IF(AND(16&gt;=Assumptions!$B$37,T308+T309&gt;0),-MIN(Assumptions!$B$36,T308+T309),0)</f>
        <v>-112000</v>
      </c>
      <c r="U310" s="13" t="n">
        <f aca="false">IF(AND(17&gt;=Assumptions!$B$37,U308+U309&gt;0),-MIN(Assumptions!$B$36,U308+U309),0)</f>
        <v>-112000</v>
      </c>
      <c r="V310" s="13" t="n">
        <f aca="false">IF(AND(18&gt;=Assumptions!$B$37,V308+V309&gt;0),-MIN(Assumptions!$B$36,V308+V309),0)</f>
        <v>-112000</v>
      </c>
      <c r="W310" s="13" t="n">
        <f aca="false">IF(AND(19&gt;=Assumptions!$B$37,W308+W309&gt;0),-MIN(Assumptions!$B$36,W308+W309),0)</f>
        <v>-112000</v>
      </c>
      <c r="X310" s="13" t="n">
        <f aca="false">IF(AND(20&gt;=Assumptions!$B$37,X308+X309&gt;0),-MIN(Assumptions!$B$36,X308+X309),0)</f>
        <v>-112000</v>
      </c>
      <c r="Y310" s="13" t="n">
        <f aca="false">IF(AND(21&gt;=Assumptions!$B$37,Y308+Y309&gt;0),-MIN(Assumptions!$B$36,Y308+Y309),0)</f>
        <v>-112000</v>
      </c>
      <c r="Z310" s="13" t="n">
        <f aca="false">IF(AND(22&gt;=Assumptions!$B$37,Z308+Z309&gt;0),-MIN(Assumptions!$B$36,Z308+Z309),0)</f>
        <v>-112000</v>
      </c>
      <c r="AA310" s="13" t="n">
        <f aca="false">IF(AND(23&gt;=Assumptions!$B$37,AA308+AA309&gt;0),-MIN(Assumptions!$B$36,AA308+AA309),0)</f>
        <v>-112000</v>
      </c>
      <c r="AB310" s="13" t="n">
        <f aca="false">IF(AND(24&gt;=Assumptions!$B$37,AB308+AB309&gt;0),-MIN(Assumptions!$B$36,AB308+AB309),0)</f>
        <v>-112000</v>
      </c>
      <c r="AC310" s="13" t="n">
        <f aca="false">IF(AND(25&gt;=Assumptions!$B$37,AC308+AC309&gt;0),-MIN(Assumptions!$B$36,AC308+AC309),0)</f>
        <v>-112000</v>
      </c>
      <c r="AD310" s="13" t="n">
        <f aca="false">IF(AND(26&gt;=Assumptions!$B$37,AD308+AD309&gt;0),-MIN(Assumptions!$B$36,AD308+AD309),0)</f>
        <v>-112000</v>
      </c>
      <c r="AE310" s="13" t="n">
        <f aca="false">IF(AND(27&gt;=Assumptions!$B$37,AE308+AE309&gt;0),-MIN(Assumptions!$B$36,AE308+AE309),0)</f>
        <v>-91981.4302785977</v>
      </c>
      <c r="AF310" s="13" t="n">
        <f aca="false">IF(AND(28&gt;=Assumptions!$B$37,AF308+AF309&gt;0),-MIN(Assumptions!$B$36,AF308+AF309),0)</f>
        <v>0</v>
      </c>
      <c r="AG310" s="13" t="n">
        <f aca="false">IF(AND(29&gt;=Assumptions!$B$37,AG308+AG309&gt;0),-MIN(Assumptions!$B$36,AG308+AG309),0)</f>
        <v>0</v>
      </c>
      <c r="AH310" s="13" t="n">
        <f aca="false">IF(AND(30&gt;=Assumptions!$B$37,AH308+AH309&gt;0),-MIN(Assumptions!$B$36,AH308+AH309),0)</f>
        <v>0</v>
      </c>
      <c r="AI310" s="13" t="n">
        <f aca="false">IF(AND(31&gt;=Assumptions!$B$37,AI308+AI309&gt;0),-MIN(Assumptions!$B$36,AI308+AI309),0)</f>
        <v>0</v>
      </c>
      <c r="AJ310" s="13" t="n">
        <f aca="false">IF(AND(32&gt;=Assumptions!$B$37,AJ308+AJ309&gt;0),-MIN(Assumptions!$B$36,AJ308+AJ309),0)</f>
        <v>0</v>
      </c>
      <c r="AK310" s="13" t="n">
        <f aca="false">IF(AND(33&gt;=Assumptions!$B$37,AK308+AK309&gt;0),-MIN(Assumptions!$B$36,AK308+AK309),0)</f>
        <v>0</v>
      </c>
      <c r="AL310" s="13" t="n">
        <f aca="false">IF(AND(34&gt;=Assumptions!$B$37,AL308+AL309&gt;0),-MIN(Assumptions!$B$36,AL308+AL309),0)</f>
        <v>0</v>
      </c>
      <c r="AM310" s="13" t="n">
        <f aca="false">IF(AND(35&gt;=Assumptions!$B$37,AM308+AM309&gt;0),-MIN(Assumptions!$B$36,AM308+AM309),0)</f>
        <v>0</v>
      </c>
      <c r="AN310" s="13" t="n">
        <f aca="false">IF(AND(36&gt;=Assumptions!$B$37,AN308+AN309&gt;0),-MIN(Assumptions!$B$36,AN308+AN309),0)</f>
        <v>0</v>
      </c>
      <c r="AO310" s="13" t="n">
        <f aca="false">IF(AND(37&gt;=Assumptions!$B$37,AO308+AO309&gt;0),-MIN(Assumptions!$B$36,AO308+AO309),0)</f>
        <v>0</v>
      </c>
      <c r="AP310" s="13" t="n">
        <f aca="false">IF(AND(38&gt;=Assumptions!$B$37,AP308+AP309&gt;0),-MIN(Assumptions!$B$36,AP308+AP309),0)</f>
        <v>0</v>
      </c>
      <c r="AQ310" s="13" t="n">
        <f aca="false">IF(AND(39&gt;=Assumptions!$B$37,AQ308+AQ309&gt;0),-MIN(Assumptions!$B$36,AQ308+AQ309),0)</f>
        <v>0</v>
      </c>
      <c r="AR310" s="13" t="n">
        <f aca="false">IF(AND(40&gt;=Assumptions!$B$37,AR308+AR309&gt;0),-MIN(Assumptions!$B$36,AR308+AR309),0)</f>
        <v>0</v>
      </c>
      <c r="AS310" s="13" t="n">
        <f aca="false">IF(AND(41&gt;=Assumptions!$B$37,AS308+AS309&gt;0),-MIN(Assumptions!$B$36,AS308+AS309),0)</f>
        <v>0</v>
      </c>
      <c r="AT310" s="13" t="n">
        <f aca="false">IF(AND(42&gt;=Assumptions!$B$37,AT308+AT309&gt;0),-MIN(Assumptions!$B$36,AT308+AT309),0)</f>
        <v>0</v>
      </c>
      <c r="AU310" s="13" t="n">
        <f aca="false">IF(AND(43&gt;=Assumptions!$B$37,AU308+AU309&gt;0),-MIN(Assumptions!$B$36,AU308+AU309),0)</f>
        <v>0</v>
      </c>
      <c r="AV310" s="13" t="n">
        <f aca="false">IF(AND(44&gt;=Assumptions!$B$37,AV308+AV309&gt;0),-MIN(Assumptions!$B$36,AV308+AV309),0)</f>
        <v>0</v>
      </c>
      <c r="AW310" s="13" t="n">
        <f aca="false">IF(AND(45&gt;=Assumptions!$B$37,AW308+AW309&gt;0),-MIN(Assumptions!$B$36,AW308+AW309),0)</f>
        <v>0</v>
      </c>
      <c r="AX310" s="13" t="n">
        <f aca="false">IF(AND(46&gt;=Assumptions!$B$37,AX308+AX309&gt;0),-MIN(Assumptions!$B$36,AX308+AX309),0)</f>
        <v>0</v>
      </c>
      <c r="AY310" s="13" t="n">
        <f aca="false">IF(AND(47&gt;=Assumptions!$B$37,AY308+AY309&gt;0),-MIN(Assumptions!$B$36,AY308+AY309),0)</f>
        <v>0</v>
      </c>
      <c r="AZ310" s="13" t="n">
        <f aca="false">IF(AND(48&gt;=Assumptions!$B$37,AZ308+AZ309&gt;0),-MIN(Assumptions!$B$36,AZ308+AZ309),0)</f>
        <v>0</v>
      </c>
      <c r="BA310" s="13" t="n">
        <f aca="false">IF(AND(49&gt;=Assumptions!$B$37,BA308+BA309&gt;0),-MIN(Assumptions!$B$36,BA308+BA309),0)</f>
        <v>0</v>
      </c>
      <c r="BB310" s="13" t="n">
        <f aca="false">IF(AND(50&gt;=Assumptions!$B$37,BB308+BB309&gt;0),-MIN(Assumptions!$B$36,BB308+BB309),0)</f>
        <v>0</v>
      </c>
      <c r="BC310" s="13" t="n">
        <f aca="false">IF(AND(51&gt;=Assumptions!$B$37,BC308+BC309&gt;0),-MIN(Assumptions!$B$36,BC308+BC309),0)</f>
        <v>0</v>
      </c>
      <c r="BD310" s="13" t="n">
        <f aca="false">IF(AND(52&gt;=Assumptions!$B$37,BD308+BD309&gt;0),-MIN(Assumptions!$B$36,BD308+BD309),0)</f>
        <v>0</v>
      </c>
      <c r="BE310" s="13" t="n">
        <f aca="false">IF(AND(53&gt;=Assumptions!$B$37,BE308+BE309&gt;0),-MIN(Assumptions!$B$36,BE308+BE309),0)</f>
        <v>0</v>
      </c>
      <c r="BF310" s="13" t="n">
        <f aca="false">IF(AND(54&gt;=Assumptions!$B$37,BF308+BF309&gt;0),-MIN(Assumptions!$B$36,BF308+BF309),0)</f>
        <v>0</v>
      </c>
      <c r="BG310" s="13" t="n">
        <f aca="false">IF(AND(55&gt;=Assumptions!$B$37,BG308+BG309&gt;0),-MIN(Assumptions!$B$36,BG308+BG309),0)</f>
        <v>0</v>
      </c>
      <c r="BH310" s="13" t="n">
        <f aca="false">IF(AND(56&gt;=Assumptions!$B$37,BH308+BH309&gt;0),-MIN(Assumptions!$B$36,BH308+BH309),0)</f>
        <v>0</v>
      </c>
      <c r="BI310" s="13" t="n">
        <f aca="false">IF(AND(57&gt;=Assumptions!$B$37,BI308+BI309&gt;0),-MIN(Assumptions!$B$36,BI308+BI309),0)</f>
        <v>0</v>
      </c>
      <c r="BJ310" s="13" t="n">
        <f aca="false">IF(AND(58&gt;=Assumptions!$B$37,BJ308+BJ309&gt;0),-MIN(Assumptions!$B$36,BJ308+BJ309),0)</f>
        <v>0</v>
      </c>
      <c r="BK310" s="13" t="n">
        <f aca="false">IF(AND(59&gt;=Assumptions!$B$37,BK308+BK309&gt;0),-MIN(Assumptions!$B$36,BK308+BK309),0)</f>
        <v>0</v>
      </c>
      <c r="BL310" s="13" t="n">
        <f aca="false">IF(AND(60&gt;=Assumptions!$B$37,BL308+BL309&gt;0),-MIN(Assumptions!$B$36,BL308+BL309),0)</f>
        <v>0</v>
      </c>
      <c r="BM310" s="13" t="n">
        <f aca="false">IF(AND(61&gt;=Assumptions!$B$37,BM308+BM309&gt;0),-MIN(Assumptions!$B$36,BM308+BM309),0)</f>
        <v>0</v>
      </c>
      <c r="BN310" s="13" t="n">
        <f aca="false">IF(AND(62&gt;=Assumptions!$B$37,BN308+BN309&gt;0),-MIN(Assumptions!$B$36,BN308+BN309),0)</f>
        <v>0</v>
      </c>
      <c r="BO310" s="13" t="n">
        <f aca="false">IF(AND(63&gt;=Assumptions!$B$37,BO308+BO309&gt;0),-MIN(Assumptions!$B$36,BO308+BO309),0)</f>
        <v>0</v>
      </c>
      <c r="BP310" s="13" t="n">
        <f aca="false">IF(AND(64&gt;=Assumptions!$B$37,BP308+BP309&gt;0),-MIN(Assumptions!$B$36,BP308+BP309),0)</f>
        <v>0</v>
      </c>
      <c r="BQ310" s="13" t="n">
        <f aca="false">IF(AND(65&gt;=Assumptions!$B$37,BQ308+BQ309&gt;0),-MIN(Assumptions!$B$36,BQ308+BQ309),0)</f>
        <v>0</v>
      </c>
      <c r="BR310" s="13" t="n">
        <f aca="false">IF(AND(66&gt;=Assumptions!$B$37,BR308+BR309&gt;0),-MIN(Assumptions!$B$36,BR308+BR309),0)</f>
        <v>0</v>
      </c>
      <c r="BS310" s="13" t="n">
        <f aca="false">IF(AND(67&gt;=Assumptions!$B$37,BS308+BS309&gt;0),-MIN(Assumptions!$B$36,BS308+BS309),0)</f>
        <v>0</v>
      </c>
      <c r="BT310" s="13" t="n">
        <f aca="false">IF(AND(68&gt;=Assumptions!$B$37,BT308+BT309&gt;0),-MIN(Assumptions!$B$36,BT308+BT309),0)</f>
        <v>0</v>
      </c>
      <c r="BU310" s="13" t="n">
        <f aca="false">IF(AND(69&gt;=Assumptions!$B$37,BU308+BU309&gt;0),-MIN(Assumptions!$B$36,BU308+BU309),0)</f>
        <v>0</v>
      </c>
      <c r="BV310" s="13" t="n">
        <f aca="false">IF(AND(70&gt;=Assumptions!$B$37,BV308+BV309&gt;0),-MIN(Assumptions!$B$36,BV308+BV309),0)</f>
        <v>0</v>
      </c>
      <c r="BW310" s="13" t="n">
        <f aca="false">IF(AND(71&gt;=Assumptions!$B$37,BW308+BW309&gt;0),-MIN(Assumptions!$B$36,BW308+BW309),0)</f>
        <v>0</v>
      </c>
      <c r="BX310" s="13" t="n">
        <f aca="false">IF(AND(72&gt;=Assumptions!$B$37,BX308+BX309&gt;0),-MIN(Assumptions!$B$36,BX308+BX309),0)</f>
        <v>0</v>
      </c>
      <c r="BY310" s="13" t="n">
        <f aca="false">IF(AND(73&gt;=Assumptions!$B$37,BY308+BY309&gt;0),-MIN(Assumptions!$B$36,BY308+BY309),0)</f>
        <v>0</v>
      </c>
      <c r="BZ310" s="13" t="n">
        <f aca="false">IF(AND(74&gt;=Assumptions!$B$37,BZ308+BZ309&gt;0),-MIN(Assumptions!$B$36,BZ308+BZ309),0)</f>
        <v>0</v>
      </c>
      <c r="CA310" s="13" t="n">
        <f aca="false">IF(AND(75&gt;=Assumptions!$B$37,CA308+CA309&gt;0),-MIN(Assumptions!$B$36,CA308+CA309),0)</f>
        <v>0</v>
      </c>
      <c r="CB310" s="13" t="n">
        <f aca="false">IF(AND(76&gt;=Assumptions!$B$37,CB308+CB309&gt;0),-MIN(Assumptions!$B$36,CB308+CB309),0)</f>
        <v>0</v>
      </c>
      <c r="CC310" s="13" t="n">
        <f aca="false">IF(AND(77&gt;=Assumptions!$B$37,CC308+CC309&gt;0),-MIN(Assumptions!$B$36,CC308+CC309),0)</f>
        <v>0</v>
      </c>
      <c r="CD310" s="13" t="n">
        <f aca="false">IF(AND(78&gt;=Assumptions!$B$37,CD308+CD309&gt;0),-MIN(Assumptions!$B$36,CD308+CD309),0)</f>
        <v>0</v>
      </c>
      <c r="CE310" s="13" t="n">
        <f aca="false">IF(AND(79&gt;=Assumptions!$B$37,CE308+CE309&gt;0),-MIN(Assumptions!$B$36,CE308+CE309),0)</f>
        <v>0</v>
      </c>
      <c r="CF310" s="13" t="n">
        <f aca="false">IF(AND(80&gt;=Assumptions!$B$37,CF308+CF309&gt;0),-MIN(Assumptions!$B$36,CF308+CF309),0)</f>
        <v>0</v>
      </c>
      <c r="CG310" s="13" t="n">
        <f aca="false">IF(AND(81&gt;=Assumptions!$B$37,CG308+CG309&gt;0),-MIN(Assumptions!$B$36,CG308+CG309),0)</f>
        <v>0</v>
      </c>
      <c r="CH310" s="13" t="n">
        <f aca="false">IF(AND(82&gt;=Assumptions!$B$37,CH308+CH309&gt;0),-MIN(Assumptions!$B$36,CH308+CH309),0)</f>
        <v>0</v>
      </c>
      <c r="CI310" s="13" t="n">
        <f aca="false">IF(AND(83&gt;=Assumptions!$B$37,CI308+CI309&gt;0),-MIN(Assumptions!$B$36,CI308+CI309),0)</f>
        <v>0</v>
      </c>
      <c r="CJ310" s="13" t="n">
        <f aca="false">IF(AND(84&gt;=Assumptions!$B$37,CJ308+CJ309&gt;0),-MIN(Assumptions!$B$36,CJ308+CJ309),0)</f>
        <v>0</v>
      </c>
      <c r="CK310" s="13" t="n">
        <f aca="false">IF(AND(85&gt;=Assumptions!$B$37,CK308+CK309&gt;0),-MIN(Assumptions!$B$36,CK308+CK309),0)</f>
        <v>0</v>
      </c>
      <c r="CL310" s="13" t="n">
        <f aca="false">IF(AND(86&gt;=Assumptions!$B$37,CL308+CL309&gt;0),-MIN(Assumptions!$B$36,CL308+CL309),0)</f>
        <v>0</v>
      </c>
      <c r="CM310" s="13" t="n">
        <f aca="false">IF(AND(87&gt;=Assumptions!$B$37,CM308+CM309&gt;0),-MIN(Assumptions!$B$36,CM308+CM309),0)</f>
        <v>0</v>
      </c>
      <c r="CN310" s="13" t="n">
        <f aca="false">IF(AND(88&gt;=Assumptions!$B$37,CN308+CN309&gt;0),-MIN(Assumptions!$B$36,CN308+CN309),0)</f>
        <v>0</v>
      </c>
      <c r="CO310" s="13" t="n">
        <f aca="false">IF(AND(89&gt;=Assumptions!$B$37,CO308+CO309&gt;0),-MIN(Assumptions!$B$36,CO308+CO309),0)</f>
        <v>0</v>
      </c>
      <c r="CP310" s="13" t="n">
        <f aca="false">IF(AND(90&gt;=Assumptions!$B$37,CP308+CP309&gt;0),-MIN(Assumptions!$B$36,CP308+CP309),0)</f>
        <v>0</v>
      </c>
      <c r="CQ310" s="13" t="n">
        <f aca="false">IF(AND(91&gt;=Assumptions!$B$37,CQ308+CQ309&gt;0),-MIN(Assumptions!$B$36,CQ308+CQ309),0)</f>
        <v>0</v>
      </c>
      <c r="CR310" s="13" t="n">
        <f aca="false">IF(AND(92&gt;=Assumptions!$B$37,CR308+CR309&gt;0),-MIN(Assumptions!$B$36,CR308+CR309),0)</f>
        <v>0</v>
      </c>
      <c r="CS310" s="13" t="n">
        <f aca="false">IF(AND(93&gt;=Assumptions!$B$37,CS308+CS309&gt;0),-MIN(Assumptions!$B$36,CS308+CS309),0)</f>
        <v>0</v>
      </c>
      <c r="CT310" s="13" t="n">
        <f aca="false">IF(AND(94&gt;=Assumptions!$B$37,CT308+CT309&gt;0),-MIN(Assumptions!$B$36,CT308+CT309),0)</f>
        <v>0</v>
      </c>
      <c r="CU310" s="13" t="n">
        <f aca="false">IF(AND(95&gt;=Assumptions!$B$37,CU308+CU309&gt;0),-MIN(Assumptions!$B$36,CU308+CU309),0)</f>
        <v>0</v>
      </c>
      <c r="CV310" s="13" t="n">
        <f aca="false">IF(AND(96&gt;=Assumptions!$B$37,CV308+CV309&gt;0),-MIN(Assumptions!$B$36,CV308+CV309),0)</f>
        <v>0</v>
      </c>
      <c r="CW310" s="13" t="n">
        <f aca="false">IF(AND(97&gt;=Assumptions!$B$37,CW308+CW309&gt;0),-MIN(Assumptions!$B$36,CW308+CW309),0)</f>
        <v>0</v>
      </c>
      <c r="CX310" s="13" t="n">
        <f aca="false">IF(AND(98&gt;=Assumptions!$B$37,CX308+CX309&gt;0),-MIN(Assumptions!$B$36,CX308+CX309),0)</f>
        <v>0</v>
      </c>
      <c r="CY310" s="13" t="n">
        <f aca="false">IF(AND(99&gt;=Assumptions!$B$37,CY308+CY309&gt;0),-MIN(Assumptions!$B$36,CY308+CY309),0)</f>
        <v>0</v>
      </c>
      <c r="CZ310" s="13" t="n">
        <f aca="false">IF(AND(100&gt;=Assumptions!$B$37,CZ308+CZ309&gt;0),-MIN(Assumptions!$B$36,CZ308+CZ309),0)</f>
        <v>0</v>
      </c>
      <c r="DA310" s="13" t="n">
        <f aca="false">IF(AND(101&gt;=Assumptions!$B$37,DA308+DA309&gt;0),-MIN(Assumptions!$B$36,DA308+DA309),0)</f>
        <v>0</v>
      </c>
      <c r="DB310" s="13" t="n">
        <f aca="false">IF(AND(102&gt;=Assumptions!$B$37,DB308+DB309&gt;0),-MIN(Assumptions!$B$36,DB308+DB309),0)</f>
        <v>0</v>
      </c>
      <c r="DC310" s="13" t="n">
        <f aca="false">IF(AND(103&gt;=Assumptions!$B$37,DC308+DC309&gt;0),-MIN(Assumptions!$B$36,DC308+DC309),0)</f>
        <v>0</v>
      </c>
      <c r="DD310" s="13" t="n">
        <f aca="false">IF(AND(104&gt;=Assumptions!$B$37,DD308+DD309&gt;0),-MIN(Assumptions!$B$36,DD308+DD309),0)</f>
        <v>0</v>
      </c>
      <c r="DE310" s="13" t="n">
        <f aca="false">IF(AND(105&gt;=Assumptions!$B$37,DE308+DE309&gt;0),-MIN(Assumptions!$B$36,DE308+DE309),0)</f>
        <v>0</v>
      </c>
    </row>
    <row r="311" customFormat="false" ht="15" hidden="false" customHeight="true" outlineLevel="0" collapsed="false">
      <c r="A311" s="45" t="s">
        <v>151</v>
      </c>
      <c r="B311" s="46"/>
      <c r="C311" s="46"/>
      <c r="D311" s="46"/>
      <c r="E311" s="46" t="n">
        <f aca="false">MAX(0,E308+E309+E310)</f>
        <v>1615485</v>
      </c>
      <c r="F311" s="46" t="n">
        <f aca="false">MAX(0,F308+F309+F310)</f>
        <v>1615485</v>
      </c>
      <c r="G311" s="46" t="n">
        <f aca="false">MAX(0,G308+G309+G310)</f>
        <v>1676065.6875</v>
      </c>
      <c r="H311" s="46" t="n">
        <f aca="false">MAX(0,H308+H309+H310)</f>
        <v>1676065.6875</v>
      </c>
      <c r="I311" s="46" t="n">
        <f aca="false">MAX(0,I308+I309+I310)</f>
        <v>1676065.6875</v>
      </c>
      <c r="J311" s="46" t="n">
        <f aca="false">MAX(0,J308+J309+J310)</f>
        <v>1738918.15078125</v>
      </c>
      <c r="K311" s="46" t="n">
        <f aca="false">MAX(0,K308+K309+K310)</f>
        <v>1738918.15078125</v>
      </c>
      <c r="L311" s="46" t="n">
        <f aca="false">MAX(0,L308+L309+L310)</f>
        <v>1738918.15078125</v>
      </c>
      <c r="M311" s="46" t="n">
        <f aca="false">MAX(0,M308+M309+M310)</f>
        <v>1804127.58143555</v>
      </c>
      <c r="N311" s="46" t="n">
        <f aca="false">MAX(0,N308+N309+N310)</f>
        <v>1692127.58143555</v>
      </c>
      <c r="O311" s="46" t="n">
        <f aca="false">MAX(0,O308+O309+O310)</f>
        <v>1580127.58143555</v>
      </c>
      <c r="P311" s="46" t="n">
        <f aca="false">MAX(0,P308+P309+P310)</f>
        <v>1527382.36573938</v>
      </c>
      <c r="Q311" s="46" t="n">
        <f aca="false">MAX(0,Q308+Q309+Q310)</f>
        <v>1415382.36573938</v>
      </c>
      <c r="R311" s="46" t="n">
        <f aca="false">MAX(0,R308+R309+R310)</f>
        <v>1303382.36573938</v>
      </c>
      <c r="S311" s="46" t="n">
        <f aca="false">MAX(0,S308+S309+S310)</f>
        <v>1240259.20445461</v>
      </c>
      <c r="T311" s="46" t="n">
        <f aca="false">MAX(0,T308+T309+T310)</f>
        <v>1128259.20445461</v>
      </c>
      <c r="U311" s="46" t="n">
        <f aca="false">MAX(0,U308+U309+U310)</f>
        <v>1016259.20445461</v>
      </c>
      <c r="V311" s="46" t="n">
        <f aca="false">MAX(0,V308+V309+V310)</f>
        <v>942368.924621655</v>
      </c>
      <c r="W311" s="46" t="n">
        <f aca="false">MAX(0,W308+W309+W310)</f>
        <v>830368.924621655</v>
      </c>
      <c r="X311" s="46" t="n">
        <f aca="false">MAX(0,X308+X309+X310)</f>
        <v>718368.924621655</v>
      </c>
      <c r="Y311" s="46" t="n">
        <f aca="false">MAX(0,Y308+Y309+Y310)</f>
        <v>633307.759294967</v>
      </c>
      <c r="Z311" s="46" t="n">
        <f aca="false">MAX(0,Z308+Z309+Z310)</f>
        <v>521307.759294967</v>
      </c>
      <c r="AA311" s="46" t="n">
        <f aca="false">MAX(0,AA308+AA309+AA310)</f>
        <v>409307.759294967</v>
      </c>
      <c r="AB311" s="46" t="n">
        <f aca="false">MAX(0,AB308+AB309+AB310)</f>
        <v>312656.800268528</v>
      </c>
      <c r="AC311" s="46" t="n">
        <f aca="false">MAX(0,AC308+AC309+AC310)</f>
        <v>200656.800268528</v>
      </c>
      <c r="AD311" s="46" t="n">
        <f aca="false">MAX(0,AD308+AD309+AD310)</f>
        <v>88656.8002685279</v>
      </c>
      <c r="AE311" s="46" t="n">
        <f aca="false">MAX(0,AE308+AE309+AE310)</f>
        <v>0</v>
      </c>
      <c r="AF311" s="46" t="n">
        <f aca="false">MAX(0,AF308+AF309+AF310)</f>
        <v>0</v>
      </c>
      <c r="AG311" s="46" t="n">
        <f aca="false">MAX(0,AG308+AG309+AG310)</f>
        <v>0</v>
      </c>
      <c r="AH311" s="46" t="n">
        <f aca="false">MAX(0,AH308+AH309+AH310)</f>
        <v>0</v>
      </c>
      <c r="AI311" s="46" t="n">
        <f aca="false">MAX(0,AI308+AI309+AI310)</f>
        <v>0</v>
      </c>
      <c r="AJ311" s="46" t="n">
        <f aca="false">MAX(0,AJ308+AJ309+AJ310)</f>
        <v>0</v>
      </c>
      <c r="AK311" s="46" t="n">
        <f aca="false">MAX(0,AK308+AK309+AK310)</f>
        <v>0</v>
      </c>
      <c r="AL311" s="46" t="n">
        <f aca="false">MAX(0,AL308+AL309+AL310)</f>
        <v>0</v>
      </c>
      <c r="AM311" s="46" t="n">
        <f aca="false">MAX(0,AM308+AM309+AM310)</f>
        <v>0</v>
      </c>
      <c r="AN311" s="46" t="n">
        <f aca="false">MAX(0,AN308+AN309+AN310)</f>
        <v>0</v>
      </c>
      <c r="AO311" s="46" t="n">
        <f aca="false">MAX(0,AO308+AO309+AO310)</f>
        <v>0</v>
      </c>
      <c r="AP311" s="46" t="n">
        <f aca="false">MAX(0,AP308+AP309+AP310)</f>
        <v>0</v>
      </c>
      <c r="AQ311" s="46" t="n">
        <f aca="false">MAX(0,AQ308+AQ309+AQ310)</f>
        <v>0</v>
      </c>
      <c r="AR311" s="46" t="n">
        <f aca="false">MAX(0,AR308+AR309+AR310)</f>
        <v>0</v>
      </c>
      <c r="AS311" s="46" t="n">
        <f aca="false">MAX(0,AS308+AS309+AS310)</f>
        <v>0</v>
      </c>
      <c r="AT311" s="46" t="n">
        <f aca="false">MAX(0,AT308+AT309+AT310)</f>
        <v>0</v>
      </c>
      <c r="AU311" s="46" t="n">
        <f aca="false">MAX(0,AU308+AU309+AU310)</f>
        <v>0</v>
      </c>
      <c r="AV311" s="46" t="n">
        <f aca="false">MAX(0,AV308+AV309+AV310)</f>
        <v>0</v>
      </c>
      <c r="AW311" s="46" t="n">
        <f aca="false">MAX(0,AW308+AW309+AW310)</f>
        <v>0</v>
      </c>
      <c r="AX311" s="46" t="n">
        <f aca="false">MAX(0,AX308+AX309+AX310)</f>
        <v>0</v>
      </c>
      <c r="AY311" s="46" t="n">
        <f aca="false">MAX(0,AY308+AY309+AY310)</f>
        <v>0</v>
      </c>
      <c r="AZ311" s="46" t="n">
        <f aca="false">MAX(0,AZ308+AZ309+AZ310)</f>
        <v>0</v>
      </c>
      <c r="BA311" s="46" t="n">
        <f aca="false">MAX(0,BA308+BA309+BA310)</f>
        <v>0</v>
      </c>
      <c r="BB311" s="46" t="n">
        <f aca="false">MAX(0,BB308+BB309+BB310)</f>
        <v>0</v>
      </c>
      <c r="BC311" s="46" t="n">
        <f aca="false">MAX(0,BC308+BC309+BC310)</f>
        <v>0</v>
      </c>
      <c r="BD311" s="46" t="n">
        <f aca="false">MAX(0,BD308+BD309+BD310)</f>
        <v>0</v>
      </c>
      <c r="BE311" s="46" t="n">
        <f aca="false">MAX(0,BE308+BE309+BE310)</f>
        <v>0</v>
      </c>
      <c r="BF311" s="46" t="n">
        <f aca="false">MAX(0,BF308+BF309+BF310)</f>
        <v>0</v>
      </c>
      <c r="BG311" s="46" t="n">
        <f aca="false">MAX(0,BG308+BG309+BG310)</f>
        <v>0</v>
      </c>
      <c r="BH311" s="46" t="n">
        <f aca="false">MAX(0,BH308+BH309+BH310)</f>
        <v>0</v>
      </c>
      <c r="BI311" s="46" t="n">
        <f aca="false">MAX(0,BI308+BI309+BI310)</f>
        <v>0</v>
      </c>
      <c r="BJ311" s="46" t="n">
        <f aca="false">MAX(0,BJ308+BJ309+BJ310)</f>
        <v>0</v>
      </c>
      <c r="BK311" s="46" t="n">
        <f aca="false">MAX(0,BK308+BK309+BK310)</f>
        <v>0</v>
      </c>
      <c r="BL311" s="46" t="n">
        <f aca="false">MAX(0,BL308+BL309+BL310)</f>
        <v>0</v>
      </c>
      <c r="BM311" s="46" t="n">
        <f aca="false">MAX(0,BM308+BM309+BM310)</f>
        <v>0</v>
      </c>
      <c r="BN311" s="46" t="n">
        <f aca="false">MAX(0,BN308+BN309+BN310)</f>
        <v>0</v>
      </c>
      <c r="BO311" s="46" t="n">
        <f aca="false">MAX(0,BO308+BO309+BO310)</f>
        <v>0</v>
      </c>
      <c r="BP311" s="46" t="n">
        <f aca="false">MAX(0,BP308+BP309+BP310)</f>
        <v>0</v>
      </c>
      <c r="BQ311" s="46" t="n">
        <f aca="false">MAX(0,BQ308+BQ309+BQ310)</f>
        <v>0</v>
      </c>
      <c r="BR311" s="46" t="n">
        <f aca="false">MAX(0,BR308+BR309+BR310)</f>
        <v>0</v>
      </c>
      <c r="BS311" s="46" t="n">
        <f aca="false">MAX(0,BS308+BS309+BS310)</f>
        <v>0</v>
      </c>
      <c r="BT311" s="46" t="n">
        <f aca="false">MAX(0,BT308+BT309+BT310)</f>
        <v>0</v>
      </c>
      <c r="BU311" s="46" t="n">
        <f aca="false">MAX(0,BU308+BU309+BU310)</f>
        <v>0</v>
      </c>
      <c r="BV311" s="46" t="n">
        <f aca="false">MAX(0,BV308+BV309+BV310)</f>
        <v>0</v>
      </c>
      <c r="BW311" s="46" t="n">
        <f aca="false">MAX(0,BW308+BW309+BW310)</f>
        <v>0</v>
      </c>
      <c r="BX311" s="46" t="n">
        <f aca="false">MAX(0,BX308+BX309+BX310)</f>
        <v>0</v>
      </c>
      <c r="BY311" s="46" t="n">
        <f aca="false">MAX(0,BY308+BY309+BY310)</f>
        <v>0</v>
      </c>
      <c r="BZ311" s="46" t="n">
        <f aca="false">MAX(0,BZ308+BZ309+BZ310)</f>
        <v>0</v>
      </c>
      <c r="CA311" s="46" t="n">
        <f aca="false">MAX(0,CA308+CA309+CA310)</f>
        <v>0</v>
      </c>
      <c r="CB311" s="46" t="n">
        <f aca="false">MAX(0,CB308+CB309+CB310)</f>
        <v>0</v>
      </c>
      <c r="CC311" s="46" t="n">
        <f aca="false">MAX(0,CC308+CC309+CC310)</f>
        <v>0</v>
      </c>
      <c r="CD311" s="46" t="n">
        <f aca="false">MAX(0,CD308+CD309+CD310)</f>
        <v>0</v>
      </c>
      <c r="CE311" s="46" t="n">
        <f aca="false">MAX(0,CE308+CE309+CE310)</f>
        <v>0</v>
      </c>
      <c r="CF311" s="46" t="n">
        <f aca="false">MAX(0,CF308+CF309+CF310)</f>
        <v>0</v>
      </c>
      <c r="CG311" s="46" t="n">
        <f aca="false">MAX(0,CG308+CG309+CG310)</f>
        <v>0</v>
      </c>
      <c r="CH311" s="46" t="n">
        <f aca="false">MAX(0,CH308+CH309+CH310)</f>
        <v>0</v>
      </c>
      <c r="CI311" s="46" t="n">
        <f aca="false">MAX(0,CI308+CI309+CI310)</f>
        <v>0</v>
      </c>
      <c r="CJ311" s="46" t="n">
        <f aca="false">MAX(0,CJ308+CJ309+CJ310)</f>
        <v>0</v>
      </c>
      <c r="CK311" s="46" t="n">
        <f aca="false">MAX(0,CK308+CK309+CK310)</f>
        <v>0</v>
      </c>
      <c r="CL311" s="46" t="n">
        <f aca="false">MAX(0,CL308+CL309+CL310)</f>
        <v>0</v>
      </c>
      <c r="CM311" s="46" t="n">
        <f aca="false">MAX(0,CM308+CM309+CM310)</f>
        <v>0</v>
      </c>
      <c r="CN311" s="46" t="n">
        <f aca="false">MAX(0,CN308+CN309+CN310)</f>
        <v>0</v>
      </c>
      <c r="CO311" s="46" t="n">
        <f aca="false">MAX(0,CO308+CO309+CO310)</f>
        <v>0</v>
      </c>
      <c r="CP311" s="46" t="n">
        <f aca="false">MAX(0,CP308+CP309+CP310)</f>
        <v>0</v>
      </c>
      <c r="CQ311" s="46" t="n">
        <f aca="false">MAX(0,CQ308+CQ309+CQ310)</f>
        <v>0</v>
      </c>
      <c r="CR311" s="46" t="n">
        <f aca="false">MAX(0,CR308+CR309+CR310)</f>
        <v>0</v>
      </c>
      <c r="CS311" s="46" t="n">
        <f aca="false">MAX(0,CS308+CS309+CS310)</f>
        <v>0</v>
      </c>
      <c r="CT311" s="46" t="n">
        <f aca="false">MAX(0,CT308+CT309+CT310)</f>
        <v>0</v>
      </c>
      <c r="CU311" s="46" t="n">
        <f aca="false">MAX(0,CU308+CU309+CU310)</f>
        <v>0</v>
      </c>
      <c r="CV311" s="46" t="n">
        <f aca="false">MAX(0,CV308+CV309+CV310)</f>
        <v>0</v>
      </c>
      <c r="CW311" s="46" t="n">
        <f aca="false">MAX(0,CW308+CW309+CW310)</f>
        <v>0</v>
      </c>
      <c r="CX311" s="46" t="n">
        <f aca="false">MAX(0,CX308+CX309+CX310)</f>
        <v>0</v>
      </c>
      <c r="CY311" s="46" t="n">
        <f aca="false">MAX(0,CY308+CY309+CY310)</f>
        <v>0</v>
      </c>
      <c r="CZ311" s="46" t="n">
        <f aca="false">MAX(0,CZ308+CZ309+CZ310)</f>
        <v>0</v>
      </c>
      <c r="DA311" s="46" t="n">
        <f aca="false">MAX(0,DA308+DA309+DA310)</f>
        <v>0</v>
      </c>
      <c r="DB311" s="46" t="n">
        <f aca="false">MAX(0,DB308+DB309+DB310)</f>
        <v>0</v>
      </c>
      <c r="DC311" s="46" t="n">
        <f aca="false">MAX(0,DC308+DC309+DC310)</f>
        <v>0</v>
      </c>
      <c r="DD311" s="46" t="n">
        <f aca="false">MAX(0,DD308+DD309+DD310)</f>
        <v>0</v>
      </c>
      <c r="DE311" s="46" t="n">
        <f aca="false">MAX(0,DE308+DE309+DE310)</f>
        <v>0</v>
      </c>
    </row>
    <row r="312" customFormat="false" ht="13.5" hidden="false" customHeight="true" outlineLevel="0" collapsed="false">
      <c r="A312" s="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row>
    <row r="313" customFormat="false" ht="16.5" hidden="false" customHeight="true" outlineLevel="0" collapsed="false">
      <c r="A313" s="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row>
    <row r="314" customFormat="false" ht="15" hidden="false" customHeight="true" outlineLevel="0" collapsed="false">
      <c r="A314" s="44" t="s">
        <v>152</v>
      </c>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c r="BZ314" s="39"/>
      <c r="CA314" s="39"/>
      <c r="CB314" s="39"/>
      <c r="CC314" s="39"/>
      <c r="CD314" s="39"/>
      <c r="CE314" s="39"/>
      <c r="CF314" s="39"/>
      <c r="CG314" s="39"/>
      <c r="CH314" s="39"/>
      <c r="CI314" s="39"/>
      <c r="CJ314" s="39"/>
      <c r="CK314" s="39"/>
      <c r="CL314" s="39"/>
      <c r="CM314" s="39"/>
      <c r="CN314" s="39"/>
      <c r="CO314" s="39"/>
      <c r="CP314" s="39"/>
      <c r="CQ314" s="39"/>
      <c r="CR314" s="39"/>
      <c r="CS314" s="39"/>
      <c r="CT314" s="39"/>
      <c r="CU314" s="39"/>
      <c r="CV314" s="39"/>
      <c r="CW314" s="39"/>
      <c r="CX314" s="39"/>
      <c r="CY314" s="39"/>
      <c r="CZ314" s="39"/>
      <c r="DA314" s="39"/>
      <c r="DB314" s="39"/>
      <c r="DC314" s="39"/>
      <c r="DD314" s="39"/>
      <c r="DE314" s="39"/>
    </row>
    <row r="315" customFormat="false" ht="15" hidden="false" customHeight="true" outlineLevel="0" collapsed="false">
      <c r="A315" s="22" t="s">
        <v>148</v>
      </c>
      <c r="B315" s="13"/>
      <c r="C315" s="13"/>
      <c r="D315" s="13"/>
      <c r="E315" s="13" t="n">
        <f aca="false">Assumptions!$B$41</f>
        <v>1000000</v>
      </c>
      <c r="F315" s="13" t="n">
        <f aca="false">E317</f>
        <v>1000000</v>
      </c>
      <c r="G315" s="13" t="n">
        <f aca="false">F317</f>
        <v>1000000</v>
      </c>
      <c r="H315" s="13" t="n">
        <f aca="false">G317</f>
        <v>1000000</v>
      </c>
      <c r="I315" s="13" t="n">
        <f aca="false">H317</f>
        <v>1000000</v>
      </c>
      <c r="J315" s="13" t="n">
        <f aca="false">I317</f>
        <v>1000000</v>
      </c>
      <c r="K315" s="13" t="n">
        <f aca="false">J317</f>
        <v>1000000</v>
      </c>
      <c r="L315" s="13" t="n">
        <f aca="false">K317</f>
        <v>1000000</v>
      </c>
      <c r="M315" s="13" t="n">
        <f aca="false">L317</f>
        <v>1000000</v>
      </c>
      <c r="N315" s="13" t="n">
        <f aca="false">M317</f>
        <v>1000000</v>
      </c>
      <c r="O315" s="13" t="n">
        <f aca="false">N317</f>
        <v>1000000</v>
      </c>
      <c r="P315" s="13" t="n">
        <f aca="false">O317</f>
        <v>1000000</v>
      </c>
      <c r="Q315" s="13" t="n">
        <f aca="false">P317</f>
        <v>1000000</v>
      </c>
      <c r="R315" s="13" t="n">
        <f aca="false">Q317</f>
        <v>1000000</v>
      </c>
      <c r="S315" s="13" t="n">
        <f aca="false">R317</f>
        <v>1000000</v>
      </c>
      <c r="T315" s="13" t="n">
        <f aca="false">S317</f>
        <v>1000000</v>
      </c>
      <c r="U315" s="13" t="n">
        <f aca="false">T317</f>
        <v>1000000</v>
      </c>
      <c r="V315" s="13" t="n">
        <f aca="false">U317</f>
        <v>1000000</v>
      </c>
      <c r="W315" s="13" t="n">
        <f aca="false">V317</f>
        <v>1000000</v>
      </c>
      <c r="X315" s="13" t="n">
        <f aca="false">W317</f>
        <v>1000000</v>
      </c>
      <c r="Y315" s="13" t="n">
        <f aca="false">X317</f>
        <v>1000000</v>
      </c>
      <c r="Z315" s="13" t="n">
        <f aca="false">Y317</f>
        <v>1000000</v>
      </c>
      <c r="AA315" s="13" t="n">
        <f aca="false">Z317</f>
        <v>1000000</v>
      </c>
      <c r="AB315" s="13" t="n">
        <f aca="false">AA317</f>
        <v>750000</v>
      </c>
      <c r="AC315" s="13" t="n">
        <f aca="false">AB317</f>
        <v>750000</v>
      </c>
      <c r="AD315" s="13" t="n">
        <f aca="false">AC317</f>
        <v>750000</v>
      </c>
      <c r="AE315" s="13" t="n">
        <f aca="false">AD317</f>
        <v>750000</v>
      </c>
      <c r="AF315" s="13" t="n">
        <f aca="false">AE317</f>
        <v>750000</v>
      </c>
      <c r="AG315" s="13" t="n">
        <f aca="false">AF317</f>
        <v>750000</v>
      </c>
      <c r="AH315" s="13" t="n">
        <f aca="false">AG317</f>
        <v>750000</v>
      </c>
      <c r="AI315" s="13" t="n">
        <f aca="false">AH317</f>
        <v>750000</v>
      </c>
      <c r="AJ315" s="13" t="n">
        <f aca="false">AI317</f>
        <v>750000</v>
      </c>
      <c r="AK315" s="13" t="n">
        <f aca="false">AJ317</f>
        <v>750000</v>
      </c>
      <c r="AL315" s="13" t="n">
        <f aca="false">AK317</f>
        <v>750000</v>
      </c>
      <c r="AM315" s="13" t="n">
        <f aca="false">AL317</f>
        <v>750000</v>
      </c>
      <c r="AN315" s="13" t="n">
        <f aca="false">AM317</f>
        <v>500000</v>
      </c>
      <c r="AO315" s="13" t="n">
        <f aca="false">AN317</f>
        <v>500000</v>
      </c>
      <c r="AP315" s="13" t="n">
        <f aca="false">AO317</f>
        <v>500000</v>
      </c>
      <c r="AQ315" s="13" t="n">
        <f aca="false">AP317</f>
        <v>500000</v>
      </c>
      <c r="AR315" s="13" t="n">
        <f aca="false">AQ317</f>
        <v>500000</v>
      </c>
      <c r="AS315" s="13" t="n">
        <f aca="false">AR317</f>
        <v>500000</v>
      </c>
      <c r="AT315" s="13" t="n">
        <f aca="false">AS317</f>
        <v>500000</v>
      </c>
      <c r="AU315" s="13" t="n">
        <f aca="false">AT317</f>
        <v>500000</v>
      </c>
      <c r="AV315" s="13" t="n">
        <f aca="false">AU317</f>
        <v>500000</v>
      </c>
      <c r="AW315" s="13" t="n">
        <f aca="false">AV317</f>
        <v>500000</v>
      </c>
      <c r="AX315" s="13" t="n">
        <f aca="false">AW317</f>
        <v>500000</v>
      </c>
      <c r="AY315" s="13" t="n">
        <f aca="false">AX317</f>
        <v>500000</v>
      </c>
      <c r="AZ315" s="13" t="n">
        <f aca="false">AY317</f>
        <v>500000</v>
      </c>
      <c r="BA315" s="13" t="n">
        <f aca="false">AZ317</f>
        <v>500000</v>
      </c>
      <c r="BB315" s="13" t="n">
        <f aca="false">BA317</f>
        <v>500000</v>
      </c>
      <c r="BC315" s="13" t="n">
        <f aca="false">BB317</f>
        <v>500000</v>
      </c>
      <c r="BD315" s="13" t="n">
        <f aca="false">BC317</f>
        <v>500000</v>
      </c>
      <c r="BE315" s="13" t="n">
        <f aca="false">BD317</f>
        <v>500000</v>
      </c>
      <c r="BF315" s="13" t="n">
        <f aca="false">BE317</f>
        <v>500000</v>
      </c>
      <c r="BG315" s="13" t="n">
        <f aca="false">BF317</f>
        <v>500000</v>
      </c>
      <c r="BH315" s="13" t="n">
        <f aca="false">BG317</f>
        <v>500000</v>
      </c>
      <c r="BI315" s="13" t="n">
        <f aca="false">BH317</f>
        <v>500000</v>
      </c>
      <c r="BJ315" s="13" t="n">
        <f aca="false">BI317</f>
        <v>500000</v>
      </c>
      <c r="BK315" s="13" t="n">
        <f aca="false">BJ317</f>
        <v>500000</v>
      </c>
      <c r="BL315" s="13" t="n">
        <f aca="false">BK317</f>
        <v>500000</v>
      </c>
      <c r="BM315" s="13" t="n">
        <f aca="false">BL317</f>
        <v>500000</v>
      </c>
      <c r="BN315" s="13" t="n">
        <f aca="false">BM317</f>
        <v>500000</v>
      </c>
      <c r="BO315" s="13" t="n">
        <f aca="false">BN317</f>
        <v>500000</v>
      </c>
      <c r="BP315" s="13" t="n">
        <f aca="false">BO317</f>
        <v>500000</v>
      </c>
      <c r="BQ315" s="13" t="n">
        <f aca="false">BP317</f>
        <v>500000</v>
      </c>
      <c r="BR315" s="13" t="n">
        <f aca="false">BQ317</f>
        <v>500000</v>
      </c>
      <c r="BS315" s="13" t="n">
        <f aca="false">BR317</f>
        <v>500000</v>
      </c>
      <c r="BT315" s="13" t="n">
        <f aca="false">BS317</f>
        <v>500000</v>
      </c>
      <c r="BU315" s="13" t="n">
        <f aca="false">BT317</f>
        <v>500000</v>
      </c>
      <c r="BV315" s="13" t="n">
        <f aca="false">BU317</f>
        <v>500000</v>
      </c>
      <c r="BW315" s="13" t="n">
        <f aca="false">BV317</f>
        <v>500000</v>
      </c>
      <c r="BX315" s="13" t="n">
        <f aca="false">BW317</f>
        <v>500000</v>
      </c>
      <c r="BY315" s="13" t="n">
        <f aca="false">BX317</f>
        <v>500000</v>
      </c>
      <c r="BZ315" s="13" t="n">
        <f aca="false">BY317</f>
        <v>500000</v>
      </c>
      <c r="CA315" s="13" t="n">
        <f aca="false">BZ317</f>
        <v>500000</v>
      </c>
      <c r="CB315" s="13" t="n">
        <f aca="false">CA317</f>
        <v>500000</v>
      </c>
      <c r="CC315" s="13" t="n">
        <f aca="false">CB317</f>
        <v>500000</v>
      </c>
      <c r="CD315" s="13" t="n">
        <f aca="false">CC317</f>
        <v>500000</v>
      </c>
      <c r="CE315" s="13" t="n">
        <f aca="false">CD317</f>
        <v>500000</v>
      </c>
      <c r="CF315" s="13" t="n">
        <f aca="false">CE317</f>
        <v>500000</v>
      </c>
      <c r="CG315" s="13" t="n">
        <f aca="false">CF317</f>
        <v>500000</v>
      </c>
      <c r="CH315" s="13" t="n">
        <f aca="false">CG317</f>
        <v>500000</v>
      </c>
      <c r="CI315" s="13" t="n">
        <f aca="false">CH317</f>
        <v>500000</v>
      </c>
      <c r="CJ315" s="13" t="n">
        <f aca="false">CI317</f>
        <v>500000</v>
      </c>
      <c r="CK315" s="13" t="n">
        <f aca="false">CJ317</f>
        <v>500000</v>
      </c>
      <c r="CL315" s="13" t="n">
        <f aca="false">CK317</f>
        <v>500000</v>
      </c>
      <c r="CM315" s="13" t="n">
        <f aca="false">CL317</f>
        <v>500000</v>
      </c>
      <c r="CN315" s="13" t="n">
        <f aca="false">CM317</f>
        <v>500000</v>
      </c>
      <c r="CO315" s="13" t="n">
        <f aca="false">CN317</f>
        <v>500000</v>
      </c>
      <c r="CP315" s="13" t="n">
        <f aca="false">CO317</f>
        <v>500000</v>
      </c>
      <c r="CQ315" s="13" t="n">
        <f aca="false">CP317</f>
        <v>500000</v>
      </c>
      <c r="CR315" s="13" t="n">
        <f aca="false">CQ317</f>
        <v>500000</v>
      </c>
      <c r="CS315" s="13" t="n">
        <f aca="false">CR317</f>
        <v>500000</v>
      </c>
      <c r="CT315" s="13" t="n">
        <f aca="false">CS317</f>
        <v>500000</v>
      </c>
      <c r="CU315" s="13" t="n">
        <f aca="false">CT317</f>
        <v>500000</v>
      </c>
      <c r="CV315" s="13" t="n">
        <f aca="false">CU317</f>
        <v>500000</v>
      </c>
      <c r="CW315" s="13" t="n">
        <f aca="false">CV317</f>
        <v>500000</v>
      </c>
      <c r="CX315" s="13" t="n">
        <f aca="false">CW317</f>
        <v>500000</v>
      </c>
      <c r="CY315" s="13" t="n">
        <f aca="false">CX317</f>
        <v>500000</v>
      </c>
      <c r="CZ315" s="13" t="n">
        <f aca="false">CY317</f>
        <v>500000</v>
      </c>
      <c r="DA315" s="13" t="n">
        <f aca="false">CZ317</f>
        <v>500000</v>
      </c>
      <c r="DB315" s="13" t="n">
        <f aca="false">DA317</f>
        <v>500000</v>
      </c>
      <c r="DC315" s="13" t="n">
        <f aca="false">DB317</f>
        <v>500000</v>
      </c>
      <c r="DD315" s="13" t="n">
        <f aca="false">DC317</f>
        <v>500000</v>
      </c>
      <c r="DE315" s="13" t="n">
        <f aca="false">DD317</f>
        <v>500000</v>
      </c>
    </row>
    <row r="316" customFormat="false" ht="15" hidden="false" customHeight="true" outlineLevel="0" collapsed="false">
      <c r="A316" s="22" t="s">
        <v>153</v>
      </c>
      <c r="B316" s="13"/>
      <c r="C316" s="13"/>
      <c r="D316" s="13"/>
      <c r="E316" s="13" t="n">
        <v>0</v>
      </c>
      <c r="F316" s="13" t="n">
        <v>0</v>
      </c>
      <c r="G316" s="13" t="n">
        <v>0</v>
      </c>
      <c r="H316" s="13" t="n">
        <v>0</v>
      </c>
      <c r="I316" s="13" t="n">
        <v>0</v>
      </c>
      <c r="J316" s="13" t="n">
        <v>0</v>
      </c>
      <c r="K316" s="13" t="n">
        <v>0</v>
      </c>
      <c r="L316" s="13" t="n">
        <v>0</v>
      </c>
      <c r="M316" s="13" t="n">
        <v>0</v>
      </c>
      <c r="N316" s="13" t="n">
        <v>0</v>
      </c>
      <c r="O316" s="13" t="n">
        <f aca="false">IF(AND(O315&gt;0,SUM(B302:M302)&gt;=Assumptions!$B$43),-MIN(Assumptions!$B$42,O315),0)</f>
        <v>0</v>
      </c>
      <c r="P316" s="13" t="n">
        <v>0</v>
      </c>
      <c r="Q316" s="13" t="n">
        <v>0</v>
      </c>
      <c r="R316" s="13" t="n">
        <v>0</v>
      </c>
      <c r="S316" s="13" t="n">
        <v>0</v>
      </c>
      <c r="T316" s="13" t="n">
        <v>0</v>
      </c>
      <c r="U316" s="13" t="n">
        <v>0</v>
      </c>
      <c r="V316" s="13" t="n">
        <v>0</v>
      </c>
      <c r="W316" s="13" t="n">
        <v>0</v>
      </c>
      <c r="X316" s="13" t="n">
        <v>0</v>
      </c>
      <c r="Y316" s="13" t="n">
        <v>0</v>
      </c>
      <c r="Z316" s="13" t="n">
        <v>0</v>
      </c>
      <c r="AA316" s="13" t="n">
        <f aca="false">IF(AND(AA315&gt;0,SUM(N302:Y302)&gt;=Assumptions!$B$43),-MIN(Assumptions!$B$42,AA315),0)</f>
        <v>-250000</v>
      </c>
      <c r="AB316" s="13" t="n">
        <v>0</v>
      </c>
      <c r="AC316" s="13" t="n">
        <v>0</v>
      </c>
      <c r="AD316" s="13" t="n">
        <v>0</v>
      </c>
      <c r="AE316" s="13" t="n">
        <v>0</v>
      </c>
      <c r="AF316" s="13" t="n">
        <v>0</v>
      </c>
      <c r="AG316" s="13" t="n">
        <v>0</v>
      </c>
      <c r="AH316" s="13" t="n">
        <v>0</v>
      </c>
      <c r="AI316" s="13" t="n">
        <v>0</v>
      </c>
      <c r="AJ316" s="13" t="n">
        <v>0</v>
      </c>
      <c r="AK316" s="13" t="n">
        <v>0</v>
      </c>
      <c r="AL316" s="13" t="n">
        <v>0</v>
      </c>
      <c r="AM316" s="13" t="n">
        <f aca="false">IF(AND(AM315&gt;0,SUM(Z302:AK302)&gt;=Assumptions!$B$43),-MIN(Assumptions!$B$42,AM315),0)</f>
        <v>-250000</v>
      </c>
      <c r="AN316" s="13" t="n">
        <v>0</v>
      </c>
      <c r="AO316" s="13" t="n">
        <v>0</v>
      </c>
      <c r="AP316" s="13" t="n">
        <v>0</v>
      </c>
      <c r="AQ316" s="13" t="n">
        <v>0</v>
      </c>
      <c r="AR316" s="13" t="n">
        <v>0</v>
      </c>
      <c r="AS316" s="13" t="n">
        <v>0</v>
      </c>
      <c r="AT316" s="13" t="n">
        <v>0</v>
      </c>
      <c r="AU316" s="13" t="n">
        <v>0</v>
      </c>
      <c r="AV316" s="13" t="n">
        <v>0</v>
      </c>
      <c r="AW316" s="13" t="n">
        <v>0</v>
      </c>
      <c r="AX316" s="13" t="n">
        <v>0</v>
      </c>
      <c r="AY316" s="13" t="n">
        <f aca="false">IF(AND(AY315&gt;0,SUM(AL302:AW302)&gt;=Assumptions!$B$43),-MIN(Assumptions!$B$42,AY315),0)</f>
        <v>0</v>
      </c>
      <c r="AZ316" s="13" t="n">
        <v>0</v>
      </c>
      <c r="BA316" s="13" t="n">
        <v>0</v>
      </c>
      <c r="BB316" s="13" t="n">
        <v>0</v>
      </c>
      <c r="BC316" s="13" t="n">
        <v>0</v>
      </c>
      <c r="BD316" s="13" t="n">
        <v>0</v>
      </c>
      <c r="BE316" s="13" t="n">
        <v>0</v>
      </c>
      <c r="BF316" s="13" t="n">
        <v>0</v>
      </c>
      <c r="BG316" s="13" t="n">
        <v>0</v>
      </c>
      <c r="BH316" s="13" t="n">
        <v>0</v>
      </c>
      <c r="BI316" s="13" t="n">
        <v>0</v>
      </c>
      <c r="BJ316" s="13" t="n">
        <v>0</v>
      </c>
      <c r="BK316" s="13" t="n">
        <f aca="false">IF(AND(BK315&gt;0,SUM(AX302:BI302)&gt;=Assumptions!$B$43),-MIN(Assumptions!$B$42,BK315),0)</f>
        <v>0</v>
      </c>
      <c r="BL316" s="13" t="n">
        <v>0</v>
      </c>
      <c r="BM316" s="13" t="n">
        <v>0</v>
      </c>
      <c r="BN316" s="13" t="n">
        <v>0</v>
      </c>
      <c r="BO316" s="13" t="n">
        <v>0</v>
      </c>
      <c r="BP316" s="13" t="n">
        <v>0</v>
      </c>
      <c r="BQ316" s="13" t="n">
        <v>0</v>
      </c>
      <c r="BR316" s="13" t="n">
        <v>0</v>
      </c>
      <c r="BS316" s="13" t="n">
        <v>0</v>
      </c>
      <c r="BT316" s="13" t="n">
        <v>0</v>
      </c>
      <c r="BU316" s="13" t="n">
        <v>0</v>
      </c>
      <c r="BV316" s="13" t="n">
        <v>0</v>
      </c>
      <c r="BW316" s="13" t="n">
        <f aca="false">IF(AND(BW315&gt;0,SUM(BJ302:BU302)&gt;=Assumptions!$B$43),-MIN(Assumptions!$B$42,BW315),0)</f>
        <v>0</v>
      </c>
      <c r="BX316" s="13" t="n">
        <v>0</v>
      </c>
      <c r="BY316" s="13" t="n">
        <v>0</v>
      </c>
      <c r="BZ316" s="13" t="n">
        <v>0</v>
      </c>
      <c r="CA316" s="13" t="n">
        <v>0</v>
      </c>
      <c r="CB316" s="13" t="n">
        <v>0</v>
      </c>
      <c r="CC316" s="13" t="n">
        <v>0</v>
      </c>
      <c r="CD316" s="13" t="n">
        <v>0</v>
      </c>
      <c r="CE316" s="13" t="n">
        <v>0</v>
      </c>
      <c r="CF316" s="13" t="n">
        <v>0</v>
      </c>
      <c r="CG316" s="13" t="n">
        <v>0</v>
      </c>
      <c r="CH316" s="13" t="n">
        <v>0</v>
      </c>
      <c r="CI316" s="13" t="n">
        <f aca="false">IF(AND(CI315&gt;0,SUM(BV302:CG302)&gt;=Assumptions!$B$43),-MIN(Assumptions!$B$42,CI315),0)</f>
        <v>0</v>
      </c>
      <c r="CJ316" s="13" t="n">
        <v>0</v>
      </c>
      <c r="CK316" s="13" t="n">
        <v>0</v>
      </c>
      <c r="CL316" s="13" t="n">
        <v>0</v>
      </c>
      <c r="CM316" s="13" t="n">
        <v>0</v>
      </c>
      <c r="CN316" s="13" t="n">
        <v>0</v>
      </c>
      <c r="CO316" s="13" t="n">
        <v>0</v>
      </c>
      <c r="CP316" s="13" t="n">
        <v>0</v>
      </c>
      <c r="CQ316" s="13" t="n">
        <v>0</v>
      </c>
      <c r="CR316" s="13" t="n">
        <v>0</v>
      </c>
      <c r="CS316" s="13" t="n">
        <v>0</v>
      </c>
      <c r="CT316" s="13"/>
      <c r="CU316" s="13"/>
      <c r="CV316" s="13"/>
      <c r="CW316" s="13"/>
      <c r="CX316" s="13"/>
      <c r="CY316" s="13"/>
      <c r="CZ316" s="13"/>
      <c r="DA316" s="13"/>
      <c r="DB316" s="13"/>
      <c r="DC316" s="13"/>
      <c r="DD316" s="13"/>
      <c r="DE316" s="13"/>
    </row>
    <row r="317" customFormat="false" ht="15" hidden="false" customHeight="true" outlineLevel="0" collapsed="false">
      <c r="A317" s="45" t="s">
        <v>151</v>
      </c>
      <c r="B317" s="46"/>
      <c r="C317" s="46"/>
      <c r="D317" s="46"/>
      <c r="E317" s="46" t="n">
        <f aca="false">MAX(0,E315+E316)</f>
        <v>1000000</v>
      </c>
      <c r="F317" s="46" t="n">
        <f aca="false">MAX(0,F315+F316)</f>
        <v>1000000</v>
      </c>
      <c r="G317" s="46" t="n">
        <f aca="false">MAX(0,G315+G316)</f>
        <v>1000000</v>
      </c>
      <c r="H317" s="46" t="n">
        <f aca="false">MAX(0,H315+H316)</f>
        <v>1000000</v>
      </c>
      <c r="I317" s="46" t="n">
        <f aca="false">MAX(0,I315+I316)</f>
        <v>1000000</v>
      </c>
      <c r="J317" s="46" t="n">
        <f aca="false">MAX(0,J315+J316)</f>
        <v>1000000</v>
      </c>
      <c r="K317" s="46" t="n">
        <f aca="false">MAX(0,K315+K316)</f>
        <v>1000000</v>
      </c>
      <c r="L317" s="46" t="n">
        <f aca="false">MAX(0,L315+L316)</f>
        <v>1000000</v>
      </c>
      <c r="M317" s="46" t="n">
        <f aca="false">MAX(0,M315+M316)</f>
        <v>1000000</v>
      </c>
      <c r="N317" s="46" t="n">
        <f aca="false">MAX(0,N315+N316)</f>
        <v>1000000</v>
      </c>
      <c r="O317" s="46" t="n">
        <f aca="false">MAX(0,O315+O316)</f>
        <v>1000000</v>
      </c>
      <c r="P317" s="46" t="n">
        <f aca="false">MAX(0,P315+P316)</f>
        <v>1000000</v>
      </c>
      <c r="Q317" s="46" t="n">
        <f aca="false">MAX(0,Q315+Q316)</f>
        <v>1000000</v>
      </c>
      <c r="R317" s="46" t="n">
        <f aca="false">MAX(0,R315+R316)</f>
        <v>1000000</v>
      </c>
      <c r="S317" s="46" t="n">
        <f aca="false">MAX(0,S315+S316)</f>
        <v>1000000</v>
      </c>
      <c r="T317" s="46" t="n">
        <f aca="false">MAX(0,T315+T316)</f>
        <v>1000000</v>
      </c>
      <c r="U317" s="46" t="n">
        <f aca="false">MAX(0,U315+U316)</f>
        <v>1000000</v>
      </c>
      <c r="V317" s="46" t="n">
        <f aca="false">MAX(0,V315+V316)</f>
        <v>1000000</v>
      </c>
      <c r="W317" s="46" t="n">
        <f aca="false">MAX(0,W315+W316)</f>
        <v>1000000</v>
      </c>
      <c r="X317" s="46" t="n">
        <f aca="false">MAX(0,X315+X316)</f>
        <v>1000000</v>
      </c>
      <c r="Y317" s="46" t="n">
        <f aca="false">MAX(0,Y315+Y316)</f>
        <v>1000000</v>
      </c>
      <c r="Z317" s="46" t="n">
        <f aca="false">MAX(0,Z315+Z316)</f>
        <v>1000000</v>
      </c>
      <c r="AA317" s="46" t="n">
        <f aca="false">MAX(0,AA315+AA316)</f>
        <v>750000</v>
      </c>
      <c r="AB317" s="46" t="n">
        <f aca="false">MAX(0,AB315+AB316)</f>
        <v>750000</v>
      </c>
      <c r="AC317" s="46" t="n">
        <f aca="false">MAX(0,AC315+AC316)</f>
        <v>750000</v>
      </c>
      <c r="AD317" s="46" t="n">
        <f aca="false">MAX(0,AD315+AD316)</f>
        <v>750000</v>
      </c>
      <c r="AE317" s="46" t="n">
        <f aca="false">MAX(0,AE315+AE316)</f>
        <v>750000</v>
      </c>
      <c r="AF317" s="46" t="n">
        <f aca="false">MAX(0,AF315+AF316)</f>
        <v>750000</v>
      </c>
      <c r="AG317" s="46" t="n">
        <f aca="false">MAX(0,AG315+AG316)</f>
        <v>750000</v>
      </c>
      <c r="AH317" s="46" t="n">
        <f aca="false">MAX(0,AH315+AH316)</f>
        <v>750000</v>
      </c>
      <c r="AI317" s="46" t="n">
        <f aca="false">MAX(0,AI315+AI316)</f>
        <v>750000</v>
      </c>
      <c r="AJ317" s="46" t="n">
        <f aca="false">MAX(0,AJ315+AJ316)</f>
        <v>750000</v>
      </c>
      <c r="AK317" s="46" t="n">
        <f aca="false">MAX(0,AK315+AK316)</f>
        <v>750000</v>
      </c>
      <c r="AL317" s="46" t="n">
        <f aca="false">MAX(0,AL315+AL316)</f>
        <v>750000</v>
      </c>
      <c r="AM317" s="46" t="n">
        <f aca="false">MAX(0,AM315+AM316)</f>
        <v>500000</v>
      </c>
      <c r="AN317" s="46" t="n">
        <f aca="false">MAX(0,AN315+AN316)</f>
        <v>500000</v>
      </c>
      <c r="AO317" s="46" t="n">
        <f aca="false">MAX(0,AO315+AO316)</f>
        <v>500000</v>
      </c>
      <c r="AP317" s="46" t="n">
        <f aca="false">MAX(0,AP315+AP316)</f>
        <v>500000</v>
      </c>
      <c r="AQ317" s="46" t="n">
        <f aca="false">MAX(0,AQ315+AQ316)</f>
        <v>500000</v>
      </c>
      <c r="AR317" s="46" t="n">
        <f aca="false">MAX(0,AR315+AR316)</f>
        <v>500000</v>
      </c>
      <c r="AS317" s="46" t="n">
        <f aca="false">MAX(0,AS315+AS316)</f>
        <v>500000</v>
      </c>
      <c r="AT317" s="46" t="n">
        <f aca="false">MAX(0,AT315+AT316)</f>
        <v>500000</v>
      </c>
      <c r="AU317" s="46" t="n">
        <f aca="false">MAX(0,AU315+AU316)</f>
        <v>500000</v>
      </c>
      <c r="AV317" s="46" t="n">
        <f aca="false">MAX(0,AV315+AV316)</f>
        <v>500000</v>
      </c>
      <c r="AW317" s="46" t="n">
        <f aca="false">MAX(0,AW315+AW316)</f>
        <v>500000</v>
      </c>
      <c r="AX317" s="46" t="n">
        <f aca="false">MAX(0,AX315+AX316)</f>
        <v>500000</v>
      </c>
      <c r="AY317" s="46" t="n">
        <f aca="false">MAX(0,AY315+AY316)</f>
        <v>500000</v>
      </c>
      <c r="AZ317" s="46" t="n">
        <f aca="false">MAX(0,AZ315+AZ316)</f>
        <v>500000</v>
      </c>
      <c r="BA317" s="46" t="n">
        <f aca="false">MAX(0,BA315+BA316)</f>
        <v>500000</v>
      </c>
      <c r="BB317" s="46" t="n">
        <f aca="false">MAX(0,BB315+BB316)</f>
        <v>500000</v>
      </c>
      <c r="BC317" s="46" t="n">
        <f aca="false">MAX(0,BC315+BC316)</f>
        <v>500000</v>
      </c>
      <c r="BD317" s="46" t="n">
        <f aca="false">MAX(0,BD315+BD316)</f>
        <v>500000</v>
      </c>
      <c r="BE317" s="46" t="n">
        <f aca="false">MAX(0,BE315+BE316)</f>
        <v>500000</v>
      </c>
      <c r="BF317" s="46" t="n">
        <f aca="false">MAX(0,BF315+BF316)</f>
        <v>500000</v>
      </c>
      <c r="BG317" s="46" t="n">
        <f aca="false">MAX(0,BG315+BG316)</f>
        <v>500000</v>
      </c>
      <c r="BH317" s="46" t="n">
        <f aca="false">MAX(0,BH315+BH316)</f>
        <v>500000</v>
      </c>
      <c r="BI317" s="46" t="n">
        <f aca="false">MAX(0,BI315+BI316)</f>
        <v>500000</v>
      </c>
      <c r="BJ317" s="46" t="n">
        <f aca="false">MAX(0,BJ315+BJ316)</f>
        <v>500000</v>
      </c>
      <c r="BK317" s="46" t="n">
        <f aca="false">MAX(0,BK315+BK316)</f>
        <v>500000</v>
      </c>
      <c r="BL317" s="46" t="n">
        <f aca="false">MAX(0,BL315+BL316)</f>
        <v>500000</v>
      </c>
      <c r="BM317" s="46" t="n">
        <f aca="false">MAX(0,BM315+BM316)</f>
        <v>500000</v>
      </c>
      <c r="BN317" s="46" t="n">
        <f aca="false">MAX(0,BN315+BN316)</f>
        <v>500000</v>
      </c>
      <c r="BO317" s="46" t="n">
        <f aca="false">MAX(0,BO315+BO316)</f>
        <v>500000</v>
      </c>
      <c r="BP317" s="46" t="n">
        <f aca="false">MAX(0,BP315+BP316)</f>
        <v>500000</v>
      </c>
      <c r="BQ317" s="46" t="n">
        <f aca="false">MAX(0,BQ315+BQ316)</f>
        <v>500000</v>
      </c>
      <c r="BR317" s="46" t="n">
        <f aca="false">MAX(0,BR315+BR316)</f>
        <v>500000</v>
      </c>
      <c r="BS317" s="46" t="n">
        <f aca="false">MAX(0,BS315+BS316)</f>
        <v>500000</v>
      </c>
      <c r="BT317" s="46" t="n">
        <f aca="false">MAX(0,BT315+BT316)</f>
        <v>500000</v>
      </c>
      <c r="BU317" s="46" t="n">
        <f aca="false">MAX(0,BU315+BU316)</f>
        <v>500000</v>
      </c>
      <c r="BV317" s="46" t="n">
        <f aca="false">MAX(0,BV315+BV316)</f>
        <v>500000</v>
      </c>
      <c r="BW317" s="46" t="n">
        <f aca="false">MAX(0,BW315+BW316)</f>
        <v>500000</v>
      </c>
      <c r="BX317" s="46" t="n">
        <f aca="false">MAX(0,BX315+BX316)</f>
        <v>500000</v>
      </c>
      <c r="BY317" s="46" t="n">
        <f aca="false">MAX(0,BY315+BY316)</f>
        <v>500000</v>
      </c>
      <c r="BZ317" s="46" t="n">
        <f aca="false">MAX(0,BZ315+BZ316)</f>
        <v>500000</v>
      </c>
      <c r="CA317" s="46" t="n">
        <f aca="false">MAX(0,CA315+CA316)</f>
        <v>500000</v>
      </c>
      <c r="CB317" s="46" t="n">
        <f aca="false">MAX(0,CB315+CB316)</f>
        <v>500000</v>
      </c>
      <c r="CC317" s="46" t="n">
        <f aca="false">MAX(0,CC315+CC316)</f>
        <v>500000</v>
      </c>
      <c r="CD317" s="46" t="n">
        <f aca="false">MAX(0,CD315+CD316)</f>
        <v>500000</v>
      </c>
      <c r="CE317" s="46" t="n">
        <f aca="false">MAX(0,CE315+CE316)</f>
        <v>500000</v>
      </c>
      <c r="CF317" s="46" t="n">
        <f aca="false">MAX(0,CF315+CF316)</f>
        <v>500000</v>
      </c>
      <c r="CG317" s="46" t="n">
        <f aca="false">MAX(0,CG315+CG316)</f>
        <v>500000</v>
      </c>
      <c r="CH317" s="46" t="n">
        <f aca="false">MAX(0,CH315+CH316)</f>
        <v>500000</v>
      </c>
      <c r="CI317" s="46" t="n">
        <f aca="false">MAX(0,CI315+CI316)</f>
        <v>500000</v>
      </c>
      <c r="CJ317" s="46" t="n">
        <f aca="false">MAX(0,CJ315+CJ316)</f>
        <v>500000</v>
      </c>
      <c r="CK317" s="46" t="n">
        <f aca="false">MAX(0,CK315+CK316)</f>
        <v>500000</v>
      </c>
      <c r="CL317" s="46" t="n">
        <f aca="false">MAX(0,CL315+CL316)</f>
        <v>500000</v>
      </c>
      <c r="CM317" s="46" t="n">
        <f aca="false">MAX(0,CM315+CM316)</f>
        <v>500000</v>
      </c>
      <c r="CN317" s="46" t="n">
        <f aca="false">MAX(0,CN315+CN316)</f>
        <v>500000</v>
      </c>
      <c r="CO317" s="46" t="n">
        <f aca="false">MAX(0,CO315+CO316)</f>
        <v>500000</v>
      </c>
      <c r="CP317" s="46" t="n">
        <f aca="false">MAX(0,CP315+CP316)</f>
        <v>500000</v>
      </c>
      <c r="CQ317" s="46" t="n">
        <f aca="false">MAX(0,CQ315+CQ316)</f>
        <v>500000</v>
      </c>
      <c r="CR317" s="46" t="n">
        <f aca="false">MAX(0,CR315+CR316)</f>
        <v>500000</v>
      </c>
      <c r="CS317" s="46" t="n">
        <f aca="false">MAX(0,CS315+CS316)</f>
        <v>500000</v>
      </c>
      <c r="CT317" s="46" t="n">
        <f aca="false">MAX(0,CT315+CT316)</f>
        <v>500000</v>
      </c>
      <c r="CU317" s="46" t="n">
        <f aca="false">MAX(0,CU315+CU316)</f>
        <v>500000</v>
      </c>
      <c r="CV317" s="46" t="n">
        <f aca="false">MAX(0,CV315+CV316)</f>
        <v>500000</v>
      </c>
      <c r="CW317" s="46" t="n">
        <f aca="false">MAX(0,CW315+CW316)</f>
        <v>500000</v>
      </c>
      <c r="CX317" s="46" t="n">
        <f aca="false">MAX(0,CX315+CX316)</f>
        <v>500000</v>
      </c>
      <c r="CY317" s="46" t="n">
        <f aca="false">MAX(0,CY315+CY316)</f>
        <v>500000</v>
      </c>
      <c r="CZ317" s="46" t="n">
        <f aca="false">MAX(0,CZ315+CZ316)</f>
        <v>500000</v>
      </c>
      <c r="DA317" s="46" t="n">
        <f aca="false">MAX(0,DA315+DA316)</f>
        <v>500000</v>
      </c>
      <c r="DB317" s="46" t="n">
        <f aca="false">MAX(0,DB315+DB316)</f>
        <v>500000</v>
      </c>
      <c r="DC317" s="46" t="n">
        <f aca="false">MAX(0,DC315+DC316)</f>
        <v>500000</v>
      </c>
      <c r="DD317" s="46" t="n">
        <f aca="false">MAX(0,DD315+DD316)</f>
        <v>500000</v>
      </c>
      <c r="DE317" s="46" t="n">
        <f aca="false">MAX(0,DE315+DE316)</f>
        <v>500000</v>
      </c>
    </row>
    <row r="318" customFormat="false" ht="15" hidden="false" customHeight="true" outlineLevel="0" collapsed="false">
      <c r="A318" s="47"/>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row>
    <row r="319" customFormat="false" ht="15" hidden="false" customHeight="true" outlineLevel="0" collapsed="false">
      <c r="A319" s="49" t="s">
        <v>154</v>
      </c>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c r="CO319" s="50"/>
      <c r="CP319" s="50"/>
      <c r="CQ319" s="50"/>
      <c r="CR319" s="50"/>
      <c r="CS319" s="50"/>
      <c r="CT319" s="50"/>
      <c r="CU319" s="50"/>
      <c r="CV319" s="50"/>
      <c r="CW319" s="50"/>
      <c r="CX319" s="50"/>
      <c r="CY319" s="50"/>
      <c r="CZ319" s="50"/>
      <c r="DA319" s="50"/>
      <c r="DB319" s="50"/>
      <c r="DC319" s="50"/>
      <c r="DD319" s="50"/>
      <c r="DE319" s="50"/>
    </row>
    <row r="320" customFormat="false" ht="15" hidden="false" customHeight="true" outlineLevel="0" collapsed="false">
      <c r="A320" s="22" t="s">
        <v>155</v>
      </c>
      <c r="B320" s="21"/>
      <c r="C320" s="21"/>
      <c r="D320" s="21"/>
      <c r="E320" s="21" t="n">
        <f aca="false">IF(AND(Projects!$G$11="Yes",Projects!$C$11&lt;=1),Assumptions!$B$60,0)</f>
        <v>0</v>
      </c>
      <c r="F320" s="21" t="n">
        <f aca="false">IF(AND(Projects!$G$11="Yes",2=Projects!$C$11),Assumptions!$B$60,E324)</f>
        <v>0</v>
      </c>
      <c r="G320" s="21" t="n">
        <f aca="false">IF(AND(Projects!$G$11="Yes",3=Projects!$C$11),Assumptions!$B$60,F324)</f>
        <v>0</v>
      </c>
      <c r="H320" s="21" t="n">
        <f aca="false">IF(AND(Projects!$G$11="Yes",4=Projects!$C$11),Assumptions!$B$60,G324)</f>
        <v>0</v>
      </c>
      <c r="I320" s="21" t="n">
        <f aca="false">IF(AND(Projects!$G$11="Yes",5=Projects!$C$11),Assumptions!$B$60,H324)</f>
        <v>0</v>
      </c>
      <c r="J320" s="21" t="n">
        <f aca="false">IF(AND(Projects!$G$11="Yes",6=Projects!$C$11),Assumptions!$B$60,I324)</f>
        <v>0</v>
      </c>
      <c r="K320" s="21" t="n">
        <f aca="false">IF(AND(Projects!$G$11="Yes",7=Projects!$C$11),Assumptions!$B$60,J324)</f>
        <v>0</v>
      </c>
      <c r="L320" s="21" t="n">
        <f aca="false">IF(AND(Projects!$G$11="Yes",8=Projects!$C$11),Assumptions!$B$60,K324)</f>
        <v>0</v>
      </c>
      <c r="M320" s="21" t="n">
        <f aca="false">IF(AND(Projects!$G$11="Yes",9=Projects!$C$11),Assumptions!$B$60,L324)</f>
        <v>0</v>
      </c>
      <c r="N320" s="21" t="n">
        <f aca="false">IF(AND(Projects!$G$11="Yes",10=Projects!$C$11),Assumptions!$B$60,M324)</f>
        <v>0</v>
      </c>
      <c r="O320" s="21" t="n">
        <f aca="false">IF(AND(Projects!$G$11="Yes",11=Projects!$C$11),Assumptions!$B$60,N324)</f>
        <v>0</v>
      </c>
      <c r="P320" s="21" t="n">
        <f aca="false">IF(AND(Projects!$G$11="Yes",12=Projects!$C$11),Assumptions!$B$60,O324)</f>
        <v>0</v>
      </c>
      <c r="Q320" s="21" t="n">
        <f aca="false">IF(AND(Projects!$G$11="Yes",13=Projects!$C$11),Assumptions!$B$60,P324)</f>
        <v>0</v>
      </c>
      <c r="R320" s="21" t="n">
        <f aca="false">IF(AND(Projects!$G$11="Yes",14=Projects!$C$11),Assumptions!$B$60,Q324)</f>
        <v>0</v>
      </c>
      <c r="S320" s="21" t="n">
        <f aca="false">IF(AND(Projects!$G$11="Yes",15=Projects!$C$11),Assumptions!$B$60,R324)</f>
        <v>0</v>
      </c>
      <c r="T320" s="21" t="n">
        <f aca="false">IF(AND(Projects!$G$11="Yes",16=Projects!$C$11),Assumptions!$B$60,S324)</f>
        <v>0</v>
      </c>
      <c r="U320" s="21" t="n">
        <f aca="false">IF(AND(Projects!$G$11="Yes",17=Projects!$C$11),Assumptions!$B$60,T324)</f>
        <v>0</v>
      </c>
      <c r="V320" s="21" t="n">
        <f aca="false">IF(AND(Projects!$G$11="Yes",18=Projects!$C$11),Assumptions!$B$60,U324)</f>
        <v>0</v>
      </c>
      <c r="W320" s="21" t="n">
        <f aca="false">IF(AND(Projects!$G$11="Yes",19=Projects!$C$11),Assumptions!$B$60,V324)</f>
        <v>0</v>
      </c>
      <c r="X320" s="21" t="n">
        <f aca="false">IF(AND(Projects!$G$11="Yes",20=Projects!$C$11),Assumptions!$B$60,W324)</f>
        <v>0</v>
      </c>
      <c r="Y320" s="21" t="n">
        <f aca="false">IF(AND(Projects!$G$11="Yes",21=Projects!$C$11),Assumptions!$B$60,X324)</f>
        <v>0</v>
      </c>
      <c r="Z320" s="21" t="n">
        <f aca="false">IF(AND(Projects!$G$11="Yes",22=Projects!$C$11),Assumptions!$B$60,Y324)</f>
        <v>0</v>
      </c>
      <c r="AA320" s="21" t="n">
        <f aca="false">IF(AND(Projects!$G$11="Yes",23=Projects!$C$11),Assumptions!$B$60,Z324)</f>
        <v>0</v>
      </c>
      <c r="AB320" s="21" t="n">
        <f aca="false">IF(AND(Projects!$G$11="Yes",24=Projects!$C$11),Assumptions!$B$60,AA324)</f>
        <v>0</v>
      </c>
      <c r="AC320" s="21" t="n">
        <f aca="false">IF(AND(Projects!$G$11="Yes",25=Projects!$C$11),Assumptions!$B$60,AB324)</f>
        <v>0</v>
      </c>
      <c r="AD320" s="21" t="n">
        <f aca="false">IF(AND(Projects!$G$11="Yes",26=Projects!$C$11),Assumptions!$B$60,AC324)</f>
        <v>0</v>
      </c>
      <c r="AE320" s="21" t="n">
        <f aca="false">IF(AND(Projects!$G$11="Yes",27=Projects!$C$11),Assumptions!$B$60,AD324)</f>
        <v>0</v>
      </c>
      <c r="AF320" s="21" t="n">
        <f aca="false">IF(AND(Projects!$G$11="Yes",28=Projects!$C$11),Assumptions!$B$60,AE324)</f>
        <v>0</v>
      </c>
      <c r="AG320" s="21" t="n">
        <f aca="false">IF(AND(Projects!$G$11="Yes",29=Projects!$C$11),Assumptions!$B$60,AF324)</f>
        <v>0</v>
      </c>
      <c r="AH320" s="21" t="n">
        <f aca="false">IF(AND(Projects!$G$11="Yes",30=Projects!$C$11),Assumptions!$B$60,AG324)</f>
        <v>0</v>
      </c>
      <c r="AI320" s="21" t="n">
        <f aca="false">IF(AND(Projects!$G$11="Yes",31=Projects!$C$11),Assumptions!$B$60,AH324)</f>
        <v>0</v>
      </c>
      <c r="AJ320" s="21" t="n">
        <f aca="false">IF(AND(Projects!$G$11="Yes",32=Projects!$C$11),Assumptions!$B$60,AI324)</f>
        <v>0</v>
      </c>
      <c r="AK320" s="21" t="n">
        <f aca="false">IF(AND(Projects!$G$11="Yes",33=Projects!$C$11),Assumptions!$B$60,AJ324)</f>
        <v>0</v>
      </c>
      <c r="AL320" s="21" t="n">
        <f aca="false">IF(AND(Projects!$G$11="Yes",34=Projects!$C$11),Assumptions!$B$60,AK324)</f>
        <v>0</v>
      </c>
      <c r="AM320" s="21" t="n">
        <f aca="false">IF(AND(Projects!$G$11="Yes",35=Projects!$C$11),Assumptions!$B$60,AL324)</f>
        <v>0</v>
      </c>
      <c r="AN320" s="21" t="n">
        <f aca="false">IF(AND(Projects!$G$11="Yes",36=Projects!$C$11),Assumptions!$B$60,AM324)</f>
        <v>0</v>
      </c>
      <c r="AO320" s="21" t="n">
        <f aca="false">IF(AND(Projects!$G$11="Yes",37=Projects!$C$11),Assumptions!$B$60,AN324)</f>
        <v>0</v>
      </c>
      <c r="AP320" s="21" t="n">
        <f aca="false">IF(AND(Projects!$G$11="Yes",38=Projects!$C$11),Assumptions!$B$60,AO324)</f>
        <v>0</v>
      </c>
      <c r="AQ320" s="21" t="n">
        <f aca="false">IF(AND(Projects!$G$11="Yes",39=Projects!$C$11),Assumptions!$B$60,AP324)</f>
        <v>0</v>
      </c>
      <c r="AR320" s="21" t="n">
        <f aca="false">IF(AND(Projects!$G$11="Yes",40=Projects!$C$11),Assumptions!$B$60,AQ324)</f>
        <v>0</v>
      </c>
      <c r="AS320" s="21" t="n">
        <f aca="false">IF(AND(Projects!$G$11="Yes",41=Projects!$C$11),Assumptions!$B$60,AR324)</f>
        <v>0</v>
      </c>
      <c r="AT320" s="21" t="n">
        <f aca="false">IF(AND(Projects!$G$11="Yes",42=Projects!$C$11),Assumptions!$B$60,AS324)</f>
        <v>0</v>
      </c>
      <c r="AU320" s="21" t="n">
        <f aca="false">IF(AND(Projects!$G$11="Yes",43=Projects!$C$11),Assumptions!$B$60,AT324)</f>
        <v>0</v>
      </c>
      <c r="AV320" s="21" t="n">
        <f aca="false">IF(AND(Projects!$G$11="Yes",44=Projects!$C$11),Assumptions!$B$60,AU324)</f>
        <v>0</v>
      </c>
      <c r="AW320" s="21" t="n">
        <f aca="false">IF(AND(Projects!$G$11="Yes",45=Projects!$C$11),Assumptions!$B$60,AV324)</f>
        <v>0</v>
      </c>
      <c r="AX320" s="21" t="n">
        <f aca="false">IF(AND(Projects!$G$11="Yes",46=Projects!$C$11),Assumptions!$B$60,AW324)</f>
        <v>0</v>
      </c>
      <c r="AY320" s="21" t="n">
        <f aca="false">IF(AND(Projects!$G$11="Yes",47=Projects!$C$11),Assumptions!$B$60,AX324)</f>
        <v>0</v>
      </c>
      <c r="AZ320" s="21" t="n">
        <f aca="false">IF(AND(Projects!$G$11="Yes",48=Projects!$C$11),Assumptions!$B$60,AY324)</f>
        <v>0</v>
      </c>
      <c r="BA320" s="21" t="n">
        <f aca="false">IF(AND(Projects!$G$11="Yes",49=Projects!$C$11),Assumptions!$B$60,AZ324)</f>
        <v>0</v>
      </c>
      <c r="BB320" s="21" t="n">
        <f aca="false">IF(AND(Projects!$G$11="Yes",50=Projects!$C$11),Assumptions!$B$60,BA324)</f>
        <v>0</v>
      </c>
      <c r="BC320" s="21" t="n">
        <f aca="false">IF(AND(Projects!$G$11="Yes",51=Projects!$C$11),Assumptions!$B$60,BB324)</f>
        <v>0</v>
      </c>
      <c r="BD320" s="21" t="n">
        <f aca="false">IF(AND(Projects!$G$11="Yes",52=Projects!$C$11),Assumptions!$B$60,BC324)</f>
        <v>0</v>
      </c>
      <c r="BE320" s="21" t="n">
        <f aca="false">IF(AND(Projects!$G$11="Yes",53=Projects!$C$11),Assumptions!$B$60,BD324)</f>
        <v>0</v>
      </c>
      <c r="BF320" s="21" t="n">
        <f aca="false">IF(AND(Projects!$G$11="Yes",54=Projects!$C$11),Assumptions!$B$60,BE324)</f>
        <v>0</v>
      </c>
      <c r="BG320" s="21" t="n">
        <f aca="false">IF(AND(Projects!$G$11="Yes",55=Projects!$C$11),Assumptions!$B$60,BF324)</f>
        <v>0</v>
      </c>
      <c r="BH320" s="21" t="n">
        <f aca="false">IF(AND(Projects!$G$11="Yes",56=Projects!$C$11),Assumptions!$B$60,BG324)</f>
        <v>0</v>
      </c>
      <c r="BI320" s="21" t="n">
        <f aca="false">IF(AND(Projects!$G$11="Yes",57=Projects!$C$11),Assumptions!$B$60,BH324)</f>
        <v>0</v>
      </c>
      <c r="BJ320" s="21" t="n">
        <f aca="false">IF(AND(Projects!$G$11="Yes",58=Projects!$C$11),Assumptions!$B$60,BI324)</f>
        <v>0</v>
      </c>
      <c r="BK320" s="21" t="n">
        <f aca="false">IF(AND(Projects!$G$11="Yes",59=Projects!$C$11),Assumptions!$B$60,BJ324)</f>
        <v>0</v>
      </c>
      <c r="BL320" s="21" t="n">
        <f aca="false">IF(AND(Projects!$G$11="Yes",60=Projects!$C$11),Assumptions!$B$60,BK324)</f>
        <v>0</v>
      </c>
      <c r="BM320" s="21" t="n">
        <f aca="false">IF(AND(Projects!$G$11="Yes",61=Projects!$C$11),Assumptions!$B$60,BL324)</f>
        <v>0</v>
      </c>
      <c r="BN320" s="21" t="n">
        <f aca="false">IF(AND(Projects!$G$11="Yes",62=Projects!$C$11),Assumptions!$B$60,BM324)</f>
        <v>0</v>
      </c>
      <c r="BO320" s="21" t="n">
        <f aca="false">IF(AND(Projects!$G$11="Yes",63=Projects!$C$11),Assumptions!$B$60,BN324)</f>
        <v>0</v>
      </c>
      <c r="BP320" s="21" t="n">
        <f aca="false">IF(AND(Projects!$G$11="Yes",64=Projects!$C$11),Assumptions!$B$60,BO324)</f>
        <v>0</v>
      </c>
      <c r="BQ320" s="21" t="n">
        <f aca="false">IF(AND(Projects!$G$11="Yes",65=Projects!$C$11),Assumptions!$B$60,BP324)</f>
        <v>0</v>
      </c>
      <c r="BR320" s="21" t="n">
        <f aca="false">IF(AND(Projects!$G$11="Yes",66=Projects!$C$11),Assumptions!$B$60,BQ324)</f>
        <v>0</v>
      </c>
      <c r="BS320" s="21" t="n">
        <f aca="false">IF(AND(Projects!$G$11="Yes",67=Projects!$C$11),Assumptions!$B$60,BR324)</f>
        <v>0</v>
      </c>
      <c r="BT320" s="21" t="n">
        <f aca="false">IF(AND(Projects!$G$11="Yes",68=Projects!$C$11),Assumptions!$B$60,BS324)</f>
        <v>0</v>
      </c>
      <c r="BU320" s="21" t="n">
        <f aca="false">IF(AND(Projects!$G$11="Yes",69=Projects!$C$11),Assumptions!$B$60,BT324)</f>
        <v>0</v>
      </c>
      <c r="BV320" s="21" t="n">
        <f aca="false">IF(AND(Projects!$G$11="Yes",70=Projects!$C$11),Assumptions!$B$60,BU324)</f>
        <v>0</v>
      </c>
      <c r="BW320" s="21" t="n">
        <f aca="false">IF(AND(Projects!$G$11="Yes",71=Projects!$C$11),Assumptions!$B$60,BV324)</f>
        <v>0</v>
      </c>
      <c r="BX320" s="21" t="n">
        <f aca="false">IF(AND(Projects!$G$11="Yes",72=Projects!$C$11),Assumptions!$B$60,BW324)</f>
        <v>0</v>
      </c>
      <c r="BY320" s="21" t="n">
        <f aca="false">IF(AND(Projects!$G$11="Yes",73=Projects!$C$11),Assumptions!$B$60,BX324)</f>
        <v>0</v>
      </c>
      <c r="BZ320" s="21" t="n">
        <f aca="false">IF(AND(Projects!$G$11="Yes",74=Projects!$C$11),Assumptions!$B$60,BY324)</f>
        <v>0</v>
      </c>
      <c r="CA320" s="21" t="n">
        <f aca="false">IF(AND(Projects!$G$11="Yes",75=Projects!$C$11),Assumptions!$B$60,BZ324)</f>
        <v>0</v>
      </c>
      <c r="CB320" s="21" t="n">
        <f aca="false">IF(AND(Projects!$G$11="Yes",76=Projects!$C$11),Assumptions!$B$60,CA324)</f>
        <v>0</v>
      </c>
      <c r="CC320" s="21" t="n">
        <f aca="false">IF(AND(Projects!$G$11="Yes",77=Projects!$C$11),Assumptions!$B$60,CB324)</f>
        <v>0</v>
      </c>
      <c r="CD320" s="21" t="n">
        <f aca="false">IF(AND(Projects!$G$11="Yes",78=Projects!$C$11),Assumptions!$B$60,CC324)</f>
        <v>0</v>
      </c>
      <c r="CE320" s="21" t="n">
        <f aca="false">IF(AND(Projects!$G$11="Yes",79=Projects!$C$11),Assumptions!$B$60,CD324)</f>
        <v>0</v>
      </c>
      <c r="CF320" s="21" t="n">
        <f aca="false">IF(AND(Projects!$G$11="Yes",80=Projects!$C$11),Assumptions!$B$60,CE324)</f>
        <v>0</v>
      </c>
      <c r="CG320" s="21" t="n">
        <f aca="false">IF(AND(Projects!$G$11="Yes",81=Projects!$C$11),Assumptions!$B$60,CF324)</f>
        <v>0</v>
      </c>
      <c r="CH320" s="21" t="n">
        <f aca="false">IF(AND(Projects!$G$11="Yes",82=Projects!$C$11),Assumptions!$B$60,CG324)</f>
        <v>0</v>
      </c>
      <c r="CI320" s="21" t="n">
        <f aca="false">IF(AND(Projects!$G$11="Yes",83=Projects!$C$11),Assumptions!$B$60,CH324)</f>
        <v>0</v>
      </c>
      <c r="CJ320" s="21" t="n">
        <f aca="false">IF(AND(Projects!$G$11="Yes",84=Projects!$C$11),Assumptions!$B$60,CI324)</f>
        <v>0</v>
      </c>
      <c r="CK320" s="21" t="n">
        <f aca="false">IF(AND(Projects!$G$11="Yes",85=Projects!$C$11),Assumptions!$B$60,CJ324)</f>
        <v>0</v>
      </c>
      <c r="CL320" s="21" t="n">
        <f aca="false">IF(AND(Projects!$G$11="Yes",86=Projects!$C$11),Assumptions!$B$60,CK324)</f>
        <v>0</v>
      </c>
      <c r="CM320" s="21" t="n">
        <f aca="false">IF(AND(Projects!$G$11="Yes",87=Projects!$C$11),Assumptions!$B$60,CL324)</f>
        <v>0</v>
      </c>
      <c r="CN320" s="21" t="n">
        <f aca="false">IF(AND(Projects!$G$11="Yes",88=Projects!$C$11),Assumptions!$B$60,CM324)</f>
        <v>0</v>
      </c>
      <c r="CO320" s="21" t="n">
        <f aca="false">IF(AND(Projects!$G$11="Yes",89=Projects!$C$11),Assumptions!$B$60,CN324)</f>
        <v>0</v>
      </c>
      <c r="CP320" s="21" t="n">
        <f aca="false">IF(AND(Projects!$G$11="Yes",90=Projects!$C$11),Assumptions!$B$60,CO324)</f>
        <v>0</v>
      </c>
      <c r="CQ320" s="21" t="n">
        <f aca="false">IF(AND(Projects!$G$11="Yes",91=Projects!$C$11),Assumptions!$B$60,CP324)</f>
        <v>0</v>
      </c>
      <c r="CR320" s="21" t="n">
        <f aca="false">IF(AND(Projects!$G$11="Yes",92=Projects!$C$11),Assumptions!$B$60,CQ324)</f>
        <v>0</v>
      </c>
      <c r="CS320" s="21" t="n">
        <f aca="false">IF(AND(Projects!$G$11="Yes",93=Projects!$C$11),Assumptions!$B$60,CR324)</f>
        <v>0</v>
      </c>
      <c r="CT320" s="21" t="n">
        <f aca="false">IF(AND(Projects!$G$11="Yes",94=Projects!$C$11),Assumptions!$B$60,CS324)</f>
        <v>0</v>
      </c>
      <c r="CU320" s="21" t="n">
        <f aca="false">IF(AND(Projects!$G$11="Yes",95=Projects!$C$11),Assumptions!$B$60,CT324)</f>
        <v>0</v>
      </c>
      <c r="CV320" s="21" t="n">
        <f aca="false">IF(AND(Projects!$G$11="Yes",96=Projects!$C$11),Assumptions!$B$60,CU324)</f>
        <v>0</v>
      </c>
      <c r="CW320" s="21" t="n">
        <f aca="false">IF(AND(Projects!$G$11="Yes",97=Projects!$C$11),Assumptions!$B$60,CV324)</f>
        <v>0</v>
      </c>
      <c r="CX320" s="21" t="n">
        <f aca="false">IF(AND(Projects!$G$11="Yes",98=Projects!$C$11),Assumptions!$B$60,CW324)</f>
        <v>0</v>
      </c>
      <c r="CY320" s="21" t="n">
        <f aca="false">IF(AND(Projects!$G$11="Yes",99=Projects!$C$11),Assumptions!$B$60,CX324)</f>
        <v>0</v>
      </c>
      <c r="CZ320" s="21" t="n">
        <f aca="false">IF(AND(Projects!$G$11="Yes",100=Projects!$C$11),Assumptions!$B$60,CY324)</f>
        <v>0</v>
      </c>
      <c r="DA320" s="21" t="n">
        <f aca="false">IF(AND(Projects!$G$11="Yes",101=Projects!$C$11),Assumptions!$B$60,CZ324)</f>
        <v>0</v>
      </c>
      <c r="DB320" s="21" t="n">
        <f aca="false">IF(AND(Projects!$G$11="Yes",102=Projects!$C$11),Assumptions!$B$60,DA324)</f>
        <v>0</v>
      </c>
      <c r="DC320" s="21" t="n">
        <f aca="false">IF(AND(Projects!$G$11="Yes",103=Projects!$C$11),Assumptions!$B$60,DB324)</f>
        <v>0</v>
      </c>
      <c r="DD320" s="21" t="n">
        <f aca="false">IF(AND(Projects!$G$11="Yes",104=Projects!$C$11),Assumptions!$B$60,DC324)</f>
        <v>0</v>
      </c>
      <c r="DE320" s="21" t="n">
        <f aca="false">IF(AND(Projects!$G$11="Yes",105=Projects!$C$11),Assumptions!$B$60,DD324)</f>
        <v>0</v>
      </c>
    </row>
    <row r="321" customFormat="false" ht="15" hidden="false" customHeight="true" outlineLevel="0" collapsed="false">
      <c r="A321" s="22" t="s">
        <v>156</v>
      </c>
      <c r="B321" s="21"/>
      <c r="C321" s="21"/>
      <c r="D321" s="21"/>
      <c r="E321" s="21" t="n">
        <f aca="false">IF(AND(MOD(1,3)=0,E320&gt;0),E320*Assumptions!$B$59,0)</f>
        <v>0</v>
      </c>
      <c r="F321" s="21" t="n">
        <f aca="false">IF(AND(MOD(2,3)=0,F320&gt;0),F320*Assumptions!$B$59,0)</f>
        <v>0</v>
      </c>
      <c r="G321" s="21" t="n">
        <f aca="false">IF(AND(MOD(3,3)=0,G320&gt;0),G320*Assumptions!$B$59,0)</f>
        <v>0</v>
      </c>
      <c r="H321" s="21" t="n">
        <f aca="false">IF(AND(MOD(4,3)=0,H320&gt;0),H320*Assumptions!$B$59,0)</f>
        <v>0</v>
      </c>
      <c r="I321" s="21" t="n">
        <f aca="false">IF(AND(MOD(5,3)=0,I320&gt;0),I320*Assumptions!$B$59,0)</f>
        <v>0</v>
      </c>
      <c r="J321" s="21" t="n">
        <f aca="false">IF(AND(MOD(6,3)=0,J320&gt;0),J320*Assumptions!$B$59,0)</f>
        <v>0</v>
      </c>
      <c r="K321" s="21" t="n">
        <f aca="false">IF(AND(MOD(7,3)=0,K320&gt;0),K320*Assumptions!$B$59,0)</f>
        <v>0</v>
      </c>
      <c r="L321" s="21" t="n">
        <f aca="false">IF(AND(MOD(8,3)=0,L320&gt;0),L320*Assumptions!$B$59,0)</f>
        <v>0</v>
      </c>
      <c r="M321" s="21" t="n">
        <f aca="false">IF(AND(MOD(9,3)=0,M320&gt;0),M320*Assumptions!$B$59,0)</f>
        <v>0</v>
      </c>
      <c r="N321" s="21" t="n">
        <f aca="false">IF(AND(MOD(10,3)=0,N320&gt;0),N320*Assumptions!$B$59,0)</f>
        <v>0</v>
      </c>
      <c r="O321" s="21" t="n">
        <f aca="false">IF(AND(MOD(11,3)=0,O320&gt;0),O320*Assumptions!$B$59,0)</f>
        <v>0</v>
      </c>
      <c r="P321" s="21" t="n">
        <f aca="false">IF(AND(MOD(12,3)=0,P320&gt;0),P320*Assumptions!$B$59,0)</f>
        <v>0</v>
      </c>
      <c r="Q321" s="21" t="n">
        <f aca="false">IF(AND(MOD(13,3)=0,Q320&gt;0),Q320*Assumptions!$B$59,0)</f>
        <v>0</v>
      </c>
      <c r="R321" s="21" t="n">
        <f aca="false">IF(AND(MOD(14,3)=0,R320&gt;0),R320*Assumptions!$B$59,0)</f>
        <v>0</v>
      </c>
      <c r="S321" s="21" t="n">
        <f aca="false">IF(AND(MOD(15,3)=0,S320&gt;0),S320*Assumptions!$B$59,0)</f>
        <v>0</v>
      </c>
      <c r="T321" s="21" t="n">
        <f aca="false">IF(AND(MOD(16,3)=0,T320&gt;0),T320*Assumptions!$B$59,0)</f>
        <v>0</v>
      </c>
      <c r="U321" s="21" t="n">
        <f aca="false">IF(AND(MOD(17,3)=0,U320&gt;0),U320*Assumptions!$B$59,0)</f>
        <v>0</v>
      </c>
      <c r="V321" s="21" t="n">
        <f aca="false">IF(AND(MOD(18,3)=0,V320&gt;0),V320*Assumptions!$B$59,0)</f>
        <v>0</v>
      </c>
      <c r="W321" s="21" t="n">
        <f aca="false">IF(AND(MOD(19,3)=0,W320&gt;0),W320*Assumptions!$B$59,0)</f>
        <v>0</v>
      </c>
      <c r="X321" s="21" t="n">
        <f aca="false">IF(AND(MOD(20,3)=0,X320&gt;0),X320*Assumptions!$B$59,0)</f>
        <v>0</v>
      </c>
      <c r="Y321" s="21" t="n">
        <f aca="false">IF(AND(MOD(21,3)=0,Y320&gt;0),Y320*Assumptions!$B$59,0)</f>
        <v>0</v>
      </c>
      <c r="Z321" s="21" t="n">
        <f aca="false">IF(AND(MOD(22,3)=0,Z320&gt;0),Z320*Assumptions!$B$59,0)</f>
        <v>0</v>
      </c>
      <c r="AA321" s="21" t="n">
        <f aca="false">IF(AND(MOD(23,3)=0,AA320&gt;0),AA320*Assumptions!$B$59,0)</f>
        <v>0</v>
      </c>
      <c r="AB321" s="21" t="n">
        <f aca="false">IF(AND(MOD(24,3)=0,AB320&gt;0),AB320*Assumptions!$B$59,0)</f>
        <v>0</v>
      </c>
      <c r="AC321" s="21" t="n">
        <f aca="false">IF(AND(MOD(25,3)=0,AC320&gt;0),AC320*Assumptions!$B$59,0)</f>
        <v>0</v>
      </c>
      <c r="AD321" s="21" t="n">
        <f aca="false">IF(AND(MOD(26,3)=0,AD320&gt;0),AD320*Assumptions!$B$59,0)</f>
        <v>0</v>
      </c>
      <c r="AE321" s="21" t="n">
        <f aca="false">IF(AND(MOD(27,3)=0,AE320&gt;0),AE320*Assumptions!$B$59,0)</f>
        <v>0</v>
      </c>
      <c r="AF321" s="21" t="n">
        <f aca="false">IF(AND(MOD(28,3)=0,AF320&gt;0),AF320*Assumptions!$B$59,0)</f>
        <v>0</v>
      </c>
      <c r="AG321" s="21" t="n">
        <f aca="false">IF(AND(MOD(29,3)=0,AG320&gt;0),AG320*Assumptions!$B$59,0)</f>
        <v>0</v>
      </c>
      <c r="AH321" s="21" t="n">
        <f aca="false">IF(AND(MOD(30,3)=0,AH320&gt;0),AH320*Assumptions!$B$59,0)</f>
        <v>0</v>
      </c>
      <c r="AI321" s="21" t="n">
        <f aca="false">IF(AND(MOD(31,3)=0,AI320&gt;0),AI320*Assumptions!$B$59,0)</f>
        <v>0</v>
      </c>
      <c r="AJ321" s="21" t="n">
        <f aca="false">IF(AND(MOD(32,3)=0,AJ320&gt;0),AJ320*Assumptions!$B$59,0)</f>
        <v>0</v>
      </c>
      <c r="AK321" s="21" t="n">
        <f aca="false">IF(AND(MOD(33,3)=0,AK320&gt;0),AK320*Assumptions!$B$59,0)</f>
        <v>0</v>
      </c>
      <c r="AL321" s="21" t="n">
        <f aca="false">IF(AND(MOD(34,3)=0,AL320&gt;0),AL320*Assumptions!$B$59,0)</f>
        <v>0</v>
      </c>
      <c r="AM321" s="21" t="n">
        <f aca="false">IF(AND(MOD(35,3)=0,AM320&gt;0),AM320*Assumptions!$B$59,0)</f>
        <v>0</v>
      </c>
      <c r="AN321" s="21" t="n">
        <f aca="false">IF(AND(MOD(36,3)=0,AN320&gt;0),AN320*Assumptions!$B$59,0)</f>
        <v>0</v>
      </c>
      <c r="AO321" s="21" t="n">
        <f aca="false">IF(AND(MOD(37,3)=0,AO320&gt;0),AO320*Assumptions!$B$59,0)</f>
        <v>0</v>
      </c>
      <c r="AP321" s="21" t="n">
        <f aca="false">IF(AND(MOD(38,3)=0,AP320&gt;0),AP320*Assumptions!$B$59,0)</f>
        <v>0</v>
      </c>
      <c r="AQ321" s="21" t="n">
        <f aca="false">IF(AND(MOD(39,3)=0,AQ320&gt;0),AQ320*Assumptions!$B$59,0)</f>
        <v>0</v>
      </c>
      <c r="AR321" s="21" t="n">
        <f aca="false">IF(AND(MOD(40,3)=0,AR320&gt;0),AR320*Assumptions!$B$59,0)</f>
        <v>0</v>
      </c>
      <c r="AS321" s="21" t="n">
        <f aca="false">IF(AND(MOD(41,3)=0,AS320&gt;0),AS320*Assumptions!$B$59,0)</f>
        <v>0</v>
      </c>
      <c r="AT321" s="21" t="n">
        <f aca="false">IF(AND(MOD(42,3)=0,AT320&gt;0),AT320*Assumptions!$B$59,0)</f>
        <v>0</v>
      </c>
      <c r="AU321" s="21" t="n">
        <f aca="false">IF(AND(MOD(43,3)=0,AU320&gt;0),AU320*Assumptions!$B$59,0)</f>
        <v>0</v>
      </c>
      <c r="AV321" s="21" t="n">
        <f aca="false">IF(AND(MOD(44,3)=0,AV320&gt;0),AV320*Assumptions!$B$59,0)</f>
        <v>0</v>
      </c>
      <c r="AW321" s="21" t="n">
        <f aca="false">IF(AND(MOD(45,3)=0,AW320&gt;0),AW320*Assumptions!$B$59,0)</f>
        <v>0</v>
      </c>
      <c r="AX321" s="21" t="n">
        <f aca="false">IF(AND(MOD(46,3)=0,AX320&gt;0),AX320*Assumptions!$B$59,0)</f>
        <v>0</v>
      </c>
      <c r="AY321" s="21" t="n">
        <f aca="false">IF(AND(MOD(47,3)=0,AY320&gt;0),AY320*Assumptions!$B$59,0)</f>
        <v>0</v>
      </c>
      <c r="AZ321" s="21" t="n">
        <f aca="false">IF(AND(MOD(48,3)=0,AZ320&gt;0),AZ320*Assumptions!$B$59,0)</f>
        <v>0</v>
      </c>
      <c r="BA321" s="21" t="n">
        <f aca="false">IF(AND(MOD(49,3)=0,BA320&gt;0),BA320*Assumptions!$B$59,0)</f>
        <v>0</v>
      </c>
      <c r="BB321" s="21" t="n">
        <f aca="false">IF(AND(MOD(50,3)=0,BB320&gt;0),BB320*Assumptions!$B$59,0)</f>
        <v>0</v>
      </c>
      <c r="BC321" s="21" t="n">
        <f aca="false">IF(AND(MOD(51,3)=0,BC320&gt;0),BC320*Assumptions!$B$59,0)</f>
        <v>0</v>
      </c>
      <c r="BD321" s="21" t="n">
        <f aca="false">IF(AND(MOD(52,3)=0,BD320&gt;0),BD320*Assumptions!$B$59,0)</f>
        <v>0</v>
      </c>
      <c r="BE321" s="21" t="n">
        <f aca="false">IF(AND(MOD(53,3)=0,BE320&gt;0),BE320*Assumptions!$B$59,0)</f>
        <v>0</v>
      </c>
      <c r="BF321" s="21" t="n">
        <f aca="false">IF(AND(MOD(54,3)=0,BF320&gt;0),BF320*Assumptions!$B$59,0)</f>
        <v>0</v>
      </c>
      <c r="BG321" s="21" t="n">
        <f aca="false">IF(AND(MOD(55,3)=0,BG320&gt;0),BG320*Assumptions!$B$59,0)</f>
        <v>0</v>
      </c>
      <c r="BH321" s="21" t="n">
        <f aca="false">IF(AND(MOD(56,3)=0,BH320&gt;0),BH320*Assumptions!$B$59,0)</f>
        <v>0</v>
      </c>
      <c r="BI321" s="21" t="n">
        <f aca="false">IF(AND(MOD(57,3)=0,BI320&gt;0),BI320*Assumptions!$B$59,0)</f>
        <v>0</v>
      </c>
      <c r="BJ321" s="21" t="n">
        <f aca="false">IF(AND(MOD(58,3)=0,BJ320&gt;0),BJ320*Assumptions!$B$59,0)</f>
        <v>0</v>
      </c>
      <c r="BK321" s="21" t="n">
        <f aca="false">IF(AND(MOD(59,3)=0,BK320&gt;0),BK320*Assumptions!$B$59,0)</f>
        <v>0</v>
      </c>
      <c r="BL321" s="21" t="n">
        <f aca="false">IF(AND(MOD(60,3)=0,BL320&gt;0),BL320*Assumptions!$B$59,0)</f>
        <v>0</v>
      </c>
      <c r="BM321" s="21" t="n">
        <f aca="false">IF(AND(MOD(61,3)=0,BM320&gt;0),BM320*Assumptions!$B$59,0)</f>
        <v>0</v>
      </c>
      <c r="BN321" s="21" t="n">
        <f aca="false">IF(AND(MOD(62,3)=0,BN320&gt;0),BN320*Assumptions!$B$59,0)</f>
        <v>0</v>
      </c>
      <c r="BO321" s="21" t="n">
        <f aca="false">IF(AND(MOD(63,3)=0,BO320&gt;0),BO320*Assumptions!$B$59,0)</f>
        <v>0</v>
      </c>
      <c r="BP321" s="21" t="n">
        <f aca="false">IF(AND(MOD(64,3)=0,BP320&gt;0),BP320*Assumptions!$B$59,0)</f>
        <v>0</v>
      </c>
      <c r="BQ321" s="21" t="n">
        <f aca="false">IF(AND(MOD(65,3)=0,BQ320&gt;0),BQ320*Assumptions!$B$59,0)</f>
        <v>0</v>
      </c>
      <c r="BR321" s="21" t="n">
        <f aca="false">IF(AND(MOD(66,3)=0,BR320&gt;0),BR320*Assumptions!$B$59,0)</f>
        <v>0</v>
      </c>
      <c r="BS321" s="21" t="n">
        <f aca="false">IF(AND(MOD(67,3)=0,BS320&gt;0),BS320*Assumptions!$B$59,0)</f>
        <v>0</v>
      </c>
      <c r="BT321" s="21" t="n">
        <f aca="false">IF(AND(MOD(68,3)=0,BT320&gt;0),BT320*Assumptions!$B$59,0)</f>
        <v>0</v>
      </c>
      <c r="BU321" s="21" t="n">
        <f aca="false">IF(AND(MOD(69,3)=0,BU320&gt;0),BU320*Assumptions!$B$59,0)</f>
        <v>0</v>
      </c>
      <c r="BV321" s="21" t="n">
        <f aca="false">IF(AND(MOD(70,3)=0,BV320&gt;0),BV320*Assumptions!$B$59,0)</f>
        <v>0</v>
      </c>
      <c r="BW321" s="21" t="n">
        <f aca="false">IF(AND(MOD(71,3)=0,BW320&gt;0),BW320*Assumptions!$B$59,0)</f>
        <v>0</v>
      </c>
      <c r="BX321" s="21" t="n">
        <f aca="false">IF(AND(MOD(72,3)=0,BX320&gt;0),BX320*Assumptions!$B$59,0)</f>
        <v>0</v>
      </c>
      <c r="BY321" s="21" t="n">
        <f aca="false">IF(AND(MOD(73,3)=0,BY320&gt;0),BY320*Assumptions!$B$59,0)</f>
        <v>0</v>
      </c>
      <c r="BZ321" s="21" t="n">
        <f aca="false">IF(AND(MOD(74,3)=0,BZ320&gt;0),BZ320*Assumptions!$B$59,0)</f>
        <v>0</v>
      </c>
      <c r="CA321" s="21" t="n">
        <f aca="false">IF(AND(MOD(75,3)=0,CA320&gt;0),CA320*Assumptions!$B$59,0)</f>
        <v>0</v>
      </c>
      <c r="CB321" s="21" t="n">
        <f aca="false">IF(AND(MOD(76,3)=0,CB320&gt;0),CB320*Assumptions!$B$59,0)</f>
        <v>0</v>
      </c>
      <c r="CC321" s="21" t="n">
        <f aca="false">IF(AND(MOD(77,3)=0,CC320&gt;0),CC320*Assumptions!$B$59,0)</f>
        <v>0</v>
      </c>
      <c r="CD321" s="21" t="n">
        <f aca="false">IF(AND(MOD(78,3)=0,CD320&gt;0),CD320*Assumptions!$B$59,0)</f>
        <v>0</v>
      </c>
      <c r="CE321" s="21" t="n">
        <f aca="false">IF(AND(MOD(79,3)=0,CE320&gt;0),CE320*Assumptions!$B$59,0)</f>
        <v>0</v>
      </c>
      <c r="CF321" s="21" t="n">
        <f aca="false">IF(AND(MOD(80,3)=0,CF320&gt;0),CF320*Assumptions!$B$59,0)</f>
        <v>0</v>
      </c>
      <c r="CG321" s="21" t="n">
        <f aca="false">IF(AND(MOD(81,3)=0,CG320&gt;0),CG320*Assumptions!$B$59,0)</f>
        <v>0</v>
      </c>
      <c r="CH321" s="21" t="n">
        <f aca="false">IF(AND(MOD(82,3)=0,CH320&gt;0),CH320*Assumptions!$B$59,0)</f>
        <v>0</v>
      </c>
      <c r="CI321" s="21" t="n">
        <f aca="false">IF(AND(MOD(83,3)=0,CI320&gt;0),CI320*Assumptions!$B$59,0)</f>
        <v>0</v>
      </c>
      <c r="CJ321" s="21" t="n">
        <f aca="false">IF(AND(MOD(84,3)=0,CJ320&gt;0),CJ320*Assumptions!$B$59,0)</f>
        <v>0</v>
      </c>
      <c r="CK321" s="21" t="n">
        <f aca="false">IF(AND(MOD(85,3)=0,CK320&gt;0),CK320*Assumptions!$B$59,0)</f>
        <v>0</v>
      </c>
      <c r="CL321" s="21" t="n">
        <f aca="false">IF(AND(MOD(86,3)=0,CL320&gt;0),CL320*Assumptions!$B$59,0)</f>
        <v>0</v>
      </c>
      <c r="CM321" s="21" t="n">
        <f aca="false">IF(AND(MOD(87,3)=0,CM320&gt;0),CM320*Assumptions!$B$59,0)</f>
        <v>0</v>
      </c>
      <c r="CN321" s="21" t="n">
        <f aca="false">IF(AND(MOD(88,3)=0,CN320&gt;0),CN320*Assumptions!$B$59,0)</f>
        <v>0</v>
      </c>
      <c r="CO321" s="21" t="n">
        <f aca="false">IF(AND(MOD(89,3)=0,CO320&gt;0),CO320*Assumptions!$B$59,0)</f>
        <v>0</v>
      </c>
      <c r="CP321" s="21" t="n">
        <f aca="false">IF(AND(MOD(90,3)=0,CP320&gt;0),CP320*Assumptions!$B$59,0)</f>
        <v>0</v>
      </c>
      <c r="CQ321" s="21" t="n">
        <f aca="false">IF(AND(MOD(91,3)=0,CQ320&gt;0),CQ320*Assumptions!$B$59,0)</f>
        <v>0</v>
      </c>
      <c r="CR321" s="21" t="n">
        <f aca="false">IF(AND(MOD(92,3)=0,CR320&gt;0),CR320*Assumptions!$B$59,0)</f>
        <v>0</v>
      </c>
      <c r="CS321" s="21" t="n">
        <f aca="false">IF(AND(MOD(93,3)=0,CS320&gt;0),CS320*Assumptions!$B$59,0)</f>
        <v>0</v>
      </c>
      <c r="CT321" s="21" t="n">
        <f aca="false">IF(AND(MOD(94,3)=0,CT320&gt;0),CT320*Assumptions!$B$59,0)</f>
        <v>0</v>
      </c>
      <c r="CU321" s="21" t="n">
        <f aca="false">IF(AND(MOD(95,3)=0,CU320&gt;0),CU320*Assumptions!$B$59,0)</f>
        <v>0</v>
      </c>
      <c r="CV321" s="21" t="n">
        <f aca="false">IF(AND(MOD(96,3)=0,CV320&gt;0),CV320*Assumptions!$B$59,0)</f>
        <v>0</v>
      </c>
      <c r="CW321" s="21" t="n">
        <f aca="false">IF(AND(MOD(97,3)=0,CW320&gt;0),CW320*Assumptions!$B$59,0)</f>
        <v>0</v>
      </c>
      <c r="CX321" s="21" t="n">
        <f aca="false">IF(AND(MOD(98,3)=0,CX320&gt;0),CX320*Assumptions!$B$59,0)</f>
        <v>0</v>
      </c>
      <c r="CY321" s="21" t="n">
        <f aca="false">IF(AND(MOD(99,3)=0,CY320&gt;0),CY320*Assumptions!$B$59,0)</f>
        <v>0</v>
      </c>
      <c r="CZ321" s="21" t="n">
        <f aca="false">IF(AND(MOD(100,3)=0,CZ320&gt;0),CZ320*Assumptions!$B$59,0)</f>
        <v>0</v>
      </c>
      <c r="DA321" s="21" t="n">
        <f aca="false">IF(AND(MOD(101,3)=0,DA320&gt;0),DA320*Assumptions!$B$59,0)</f>
        <v>0</v>
      </c>
      <c r="DB321" s="21" t="n">
        <f aca="false">IF(AND(MOD(102,3)=0,DB320&gt;0),DB320*Assumptions!$B$59,0)</f>
        <v>0</v>
      </c>
      <c r="DC321" s="21" t="n">
        <f aca="false">IF(AND(MOD(103,3)=0,DC320&gt;0),DC320*Assumptions!$B$59,0)</f>
        <v>0</v>
      </c>
      <c r="DD321" s="21" t="n">
        <f aca="false">IF(AND(MOD(104,3)=0,DD320&gt;0),DD320*Assumptions!$B$59,0)</f>
        <v>0</v>
      </c>
      <c r="DE321" s="21" t="n">
        <f aca="false">IF(AND(MOD(105,3)=0,DE320&gt;0),DE320*Assumptions!$B$59,0)</f>
        <v>0</v>
      </c>
    </row>
    <row r="322" customFormat="false" ht="15" hidden="false" customHeight="true" outlineLevel="0" collapsed="false">
      <c r="A322" s="22" t="s">
        <v>157</v>
      </c>
      <c r="B322" s="21"/>
      <c r="C322" s="21"/>
      <c r="D322" s="21"/>
      <c r="E322" s="21" t="n">
        <v>0</v>
      </c>
      <c r="F322" s="21" t="n">
        <v>0</v>
      </c>
      <c r="G322" s="21" t="n">
        <v>0</v>
      </c>
      <c r="H322" s="21" t="n">
        <v>0</v>
      </c>
      <c r="I322" s="21" t="n">
        <v>0</v>
      </c>
      <c r="J322" s="21" t="n">
        <v>0</v>
      </c>
      <c r="K322" s="21" t="n">
        <v>0</v>
      </c>
      <c r="L322" s="21" t="n">
        <v>0</v>
      </c>
      <c r="M322" s="21" t="n">
        <v>0</v>
      </c>
      <c r="N322" s="21" t="n">
        <v>0</v>
      </c>
      <c r="O322" s="21" t="n">
        <v>0</v>
      </c>
      <c r="P322" s="21" t="n">
        <v>0</v>
      </c>
      <c r="Q322" s="21" t="n">
        <v>0</v>
      </c>
      <c r="R322" s="21" t="n">
        <v>0</v>
      </c>
      <c r="S322" s="21" t="n">
        <v>0</v>
      </c>
      <c r="T322" s="21" t="n">
        <v>0</v>
      </c>
      <c r="U322" s="21" t="n">
        <v>0</v>
      </c>
      <c r="V322" s="21" t="n">
        <v>0</v>
      </c>
      <c r="W322" s="21" t="n">
        <v>0</v>
      </c>
      <c r="X322" s="21" t="n">
        <v>0</v>
      </c>
      <c r="Y322" s="21" t="n">
        <v>0</v>
      </c>
      <c r="Z322" s="21" t="n">
        <v>0</v>
      </c>
      <c r="AA322" s="21" t="n">
        <v>0</v>
      </c>
      <c r="AB322" s="21" t="n">
        <v>0</v>
      </c>
      <c r="AC322" s="21" t="n">
        <v>0</v>
      </c>
      <c r="AD322" s="21" t="n">
        <v>0</v>
      </c>
      <c r="AE322" s="21" t="n">
        <v>0</v>
      </c>
      <c r="AF322" s="21" t="n">
        <v>0</v>
      </c>
      <c r="AG322" s="21" t="n">
        <v>0</v>
      </c>
      <c r="AH322" s="21" t="n">
        <v>0</v>
      </c>
      <c r="AI322" s="21" t="n">
        <v>0</v>
      </c>
      <c r="AJ322" s="21" t="n">
        <v>0</v>
      </c>
      <c r="AK322" s="21" t="n">
        <v>0</v>
      </c>
      <c r="AL322" s="21" t="n">
        <v>0</v>
      </c>
      <c r="AM322" s="21" t="n">
        <v>0</v>
      </c>
      <c r="AN322" s="21" t="n">
        <v>0</v>
      </c>
      <c r="AO322" s="21" t="n">
        <v>0</v>
      </c>
      <c r="AP322" s="21" t="n">
        <v>0</v>
      </c>
      <c r="AQ322" s="21" t="n">
        <v>0</v>
      </c>
      <c r="AR322" s="21" t="n">
        <v>0</v>
      </c>
      <c r="AS322" s="21" t="n">
        <v>0</v>
      </c>
      <c r="AT322" s="21" t="n">
        <v>0</v>
      </c>
      <c r="AU322" s="21" t="n">
        <v>0</v>
      </c>
      <c r="AV322" s="21" t="n">
        <v>0</v>
      </c>
      <c r="AW322" s="21" t="n">
        <v>0</v>
      </c>
      <c r="AX322" s="21" t="n">
        <v>0</v>
      </c>
      <c r="AY322" s="21" t="n">
        <v>0</v>
      </c>
      <c r="AZ322" s="21" t="n">
        <v>0</v>
      </c>
      <c r="BA322" s="21" t="n">
        <v>0</v>
      </c>
      <c r="BB322" s="21" t="n">
        <v>0</v>
      </c>
      <c r="BC322" s="21" t="n">
        <v>0</v>
      </c>
      <c r="BD322" s="21" t="n">
        <v>0</v>
      </c>
      <c r="BE322" s="21" t="n">
        <v>0</v>
      </c>
      <c r="BF322" s="21" t="n">
        <v>0</v>
      </c>
      <c r="BG322" s="21" t="n">
        <v>0</v>
      </c>
      <c r="BH322" s="21" t="n">
        <v>0</v>
      </c>
      <c r="BI322" s="21" t="n">
        <v>0</v>
      </c>
      <c r="BJ322" s="21" t="n">
        <v>0</v>
      </c>
      <c r="BK322" s="21" t="n">
        <v>0</v>
      </c>
      <c r="BL322" s="21" t="n">
        <v>0</v>
      </c>
      <c r="BM322" s="21" t="n">
        <v>0</v>
      </c>
      <c r="BN322" s="21" t="n">
        <v>0</v>
      </c>
      <c r="BO322" s="21" t="n">
        <v>0</v>
      </c>
      <c r="BP322" s="21" t="n">
        <v>0</v>
      </c>
      <c r="BQ322" s="21" t="n">
        <v>0</v>
      </c>
      <c r="BR322" s="21" t="n">
        <v>0</v>
      </c>
      <c r="BS322" s="21" t="n">
        <v>0</v>
      </c>
      <c r="BT322" s="21" t="n">
        <v>0</v>
      </c>
      <c r="BU322" s="21" t="n">
        <v>0</v>
      </c>
      <c r="BV322" s="21" t="n">
        <v>0</v>
      </c>
      <c r="BW322" s="21" t="n">
        <v>0</v>
      </c>
      <c r="BX322" s="21" t="n">
        <v>0</v>
      </c>
      <c r="BY322" s="21" t="n">
        <v>0</v>
      </c>
      <c r="BZ322" s="21" t="n">
        <v>0</v>
      </c>
      <c r="CA322" s="21" t="n">
        <v>0</v>
      </c>
      <c r="CB322" s="21" t="n">
        <v>0</v>
      </c>
      <c r="CC322" s="21" t="n">
        <v>0</v>
      </c>
      <c r="CD322" s="21" t="n">
        <v>0</v>
      </c>
      <c r="CE322" s="21" t="n">
        <v>0</v>
      </c>
      <c r="CF322" s="21" t="n">
        <v>0</v>
      </c>
      <c r="CG322" s="21" t="n">
        <v>0</v>
      </c>
      <c r="CH322" s="21" t="n">
        <v>0</v>
      </c>
      <c r="CI322" s="21" t="n">
        <v>0</v>
      </c>
      <c r="CJ322" s="21" t="n">
        <v>0</v>
      </c>
      <c r="CK322" s="21" t="n">
        <v>0</v>
      </c>
      <c r="CL322" s="21" t="n">
        <v>0</v>
      </c>
      <c r="CM322" s="21" t="n">
        <v>0</v>
      </c>
      <c r="CN322" s="21" t="n">
        <v>0</v>
      </c>
      <c r="CO322" s="21" t="n">
        <v>0</v>
      </c>
      <c r="CP322" s="21" t="n">
        <v>0</v>
      </c>
      <c r="CQ322" s="21" t="n">
        <v>0</v>
      </c>
      <c r="CR322" s="21" t="n">
        <v>0</v>
      </c>
      <c r="CS322" s="21" t="n">
        <v>0</v>
      </c>
      <c r="CT322" s="21"/>
      <c r="CU322" s="21"/>
      <c r="CV322" s="21"/>
      <c r="CW322" s="21"/>
      <c r="CX322" s="21"/>
      <c r="CY322" s="21"/>
      <c r="CZ322" s="21"/>
      <c r="DA322" s="21"/>
      <c r="DB322" s="21"/>
      <c r="DC322" s="21"/>
      <c r="DD322" s="21"/>
      <c r="DE322" s="21"/>
    </row>
    <row r="323" customFormat="false" ht="15" hidden="false" customHeight="true" outlineLevel="0" collapsed="false">
      <c r="A323" s="51" t="s">
        <v>158</v>
      </c>
      <c r="B323" s="52"/>
      <c r="C323" s="52"/>
      <c r="D323" s="52"/>
      <c r="E323" s="52" t="n">
        <v>0</v>
      </c>
      <c r="F323" s="52" t="n">
        <v>0</v>
      </c>
      <c r="G323" s="52" t="n">
        <v>0</v>
      </c>
      <c r="H323" s="52" t="n">
        <v>0</v>
      </c>
      <c r="I323" s="52" t="n">
        <v>0</v>
      </c>
      <c r="J323" s="52" t="n">
        <v>0</v>
      </c>
      <c r="K323" s="52" t="n">
        <v>0</v>
      </c>
      <c r="L323" s="52" t="n">
        <v>0</v>
      </c>
      <c r="M323" s="52" t="n">
        <v>0</v>
      </c>
      <c r="N323" s="52" t="n">
        <v>0</v>
      </c>
      <c r="O323" s="52" t="n">
        <v>0</v>
      </c>
      <c r="P323" s="52" t="n">
        <v>0</v>
      </c>
      <c r="Q323" s="52" t="n">
        <v>0</v>
      </c>
      <c r="R323" s="52" t="n">
        <v>0</v>
      </c>
      <c r="S323" s="52" t="n">
        <v>0</v>
      </c>
      <c r="T323" s="52" t="n">
        <v>0</v>
      </c>
      <c r="U323" s="52" t="n">
        <v>0</v>
      </c>
      <c r="V323" s="52" t="n">
        <v>0</v>
      </c>
      <c r="W323" s="52" t="n">
        <v>0</v>
      </c>
      <c r="X323" s="52" t="n">
        <v>0</v>
      </c>
      <c r="Y323" s="52" t="n">
        <v>0</v>
      </c>
      <c r="Z323" s="52" t="n">
        <v>0</v>
      </c>
      <c r="AA323" s="52" t="n">
        <v>0</v>
      </c>
      <c r="AB323" s="52" t="n">
        <v>0</v>
      </c>
      <c r="AC323" s="52" t="n">
        <v>0</v>
      </c>
      <c r="AD323" s="52" t="n">
        <v>0</v>
      </c>
      <c r="AE323" s="52" t="n">
        <v>0</v>
      </c>
      <c r="AF323" s="52" t="n">
        <v>0</v>
      </c>
      <c r="AG323" s="52" t="n">
        <v>0</v>
      </c>
      <c r="AH323" s="52" t="n">
        <v>0</v>
      </c>
      <c r="AI323" s="52" t="n">
        <v>0</v>
      </c>
      <c r="AJ323" s="52" t="n">
        <v>0</v>
      </c>
      <c r="AK323" s="52" t="n">
        <v>0</v>
      </c>
      <c r="AL323" s="52" t="n">
        <v>0</v>
      </c>
      <c r="AM323" s="52" t="n">
        <v>0</v>
      </c>
      <c r="AN323" s="52" t="n">
        <v>0</v>
      </c>
      <c r="AO323" s="52" t="n">
        <v>0</v>
      </c>
      <c r="AP323" s="52" t="n">
        <v>0</v>
      </c>
      <c r="AQ323" s="52" t="n">
        <v>0</v>
      </c>
      <c r="AR323" s="52" t="n">
        <v>0</v>
      </c>
      <c r="AS323" s="52" t="n">
        <v>0</v>
      </c>
      <c r="AT323" s="52" t="n">
        <v>0</v>
      </c>
      <c r="AU323" s="52" t="n">
        <v>0</v>
      </c>
      <c r="AV323" s="52" t="n">
        <v>0</v>
      </c>
      <c r="AW323" s="52" t="n">
        <v>0</v>
      </c>
      <c r="AX323" s="52" t="n">
        <v>0</v>
      </c>
      <c r="AY323" s="52" t="n">
        <v>0</v>
      </c>
      <c r="AZ323" s="52" t="n">
        <v>0</v>
      </c>
      <c r="BA323" s="52" t="n">
        <v>0</v>
      </c>
      <c r="BB323" s="52" t="n">
        <v>0</v>
      </c>
      <c r="BC323" s="52" t="n">
        <v>0</v>
      </c>
      <c r="BD323" s="52" t="n">
        <v>0</v>
      </c>
      <c r="BE323" s="52" t="n">
        <v>0</v>
      </c>
      <c r="BF323" s="52" t="n">
        <v>0</v>
      </c>
      <c r="BG323" s="52" t="n">
        <v>0</v>
      </c>
      <c r="BH323" s="52" t="n">
        <v>0</v>
      </c>
      <c r="BI323" s="52" t="n">
        <v>0</v>
      </c>
      <c r="BJ323" s="52" t="n">
        <v>0</v>
      </c>
      <c r="BK323" s="52" t="n">
        <v>0</v>
      </c>
      <c r="BL323" s="52" t="n">
        <v>0</v>
      </c>
      <c r="BM323" s="52" t="n">
        <v>0</v>
      </c>
      <c r="BN323" s="52" t="n">
        <v>0</v>
      </c>
      <c r="BO323" s="52" t="n">
        <v>0</v>
      </c>
      <c r="BP323" s="52" t="n">
        <v>0</v>
      </c>
      <c r="BQ323" s="52" t="n">
        <v>0</v>
      </c>
      <c r="BR323" s="52" t="n">
        <v>0</v>
      </c>
      <c r="BS323" s="52" t="n">
        <v>0</v>
      </c>
      <c r="BT323" s="52" t="n">
        <v>0</v>
      </c>
      <c r="BU323" s="52" t="n">
        <v>0</v>
      </c>
      <c r="BV323" s="52" t="n">
        <v>0</v>
      </c>
      <c r="BW323" s="52" t="n">
        <v>0</v>
      </c>
      <c r="BX323" s="52" t="n">
        <v>0</v>
      </c>
      <c r="BY323" s="52" t="n">
        <v>0</v>
      </c>
      <c r="BZ323" s="52" t="n">
        <v>0</v>
      </c>
      <c r="CA323" s="52" t="n">
        <v>0</v>
      </c>
      <c r="CB323" s="52" t="n">
        <v>0</v>
      </c>
      <c r="CC323" s="52" t="n">
        <v>0</v>
      </c>
      <c r="CD323" s="52" t="n">
        <v>0</v>
      </c>
      <c r="CE323" s="52" t="n">
        <v>0</v>
      </c>
      <c r="CF323" s="52" t="n">
        <v>0</v>
      </c>
      <c r="CG323" s="52" t="n">
        <v>0</v>
      </c>
      <c r="CH323" s="52" t="n">
        <v>0</v>
      </c>
      <c r="CI323" s="52" t="n">
        <v>0</v>
      </c>
      <c r="CJ323" s="52" t="n">
        <v>0</v>
      </c>
      <c r="CK323" s="52" t="n">
        <v>0</v>
      </c>
      <c r="CL323" s="52" t="n">
        <v>0</v>
      </c>
      <c r="CM323" s="52" t="n">
        <v>0</v>
      </c>
      <c r="CN323" s="52" t="n">
        <v>0</v>
      </c>
      <c r="CO323" s="52" t="n">
        <v>0</v>
      </c>
      <c r="CP323" s="52" t="n">
        <v>0</v>
      </c>
      <c r="CQ323" s="52" t="n">
        <v>0</v>
      </c>
      <c r="CR323" s="52" t="n">
        <v>0</v>
      </c>
      <c r="CS323" s="52" t="n">
        <v>0</v>
      </c>
      <c r="CT323" s="52"/>
      <c r="CU323" s="52"/>
      <c r="CV323" s="52"/>
      <c r="CW323" s="52"/>
      <c r="CX323" s="52"/>
      <c r="CY323" s="52"/>
      <c r="CZ323" s="52"/>
      <c r="DA323" s="52"/>
      <c r="DB323" s="52"/>
      <c r="DC323" s="52"/>
      <c r="DD323" s="52"/>
      <c r="DE323" s="52"/>
    </row>
    <row r="324" customFormat="false" ht="15" hidden="false" customHeight="true" outlineLevel="0" collapsed="false">
      <c r="A324" s="53" t="s">
        <v>159</v>
      </c>
      <c r="B324" s="54"/>
      <c r="C324" s="54"/>
      <c r="D324" s="54"/>
      <c r="E324" s="54" t="n">
        <f aca="false">MAX(0,E320+E321+E322+E323)</f>
        <v>0</v>
      </c>
      <c r="F324" s="54" t="n">
        <f aca="false">MAX(0,F320+F321+F322+F323)</f>
        <v>0</v>
      </c>
      <c r="G324" s="54" t="n">
        <f aca="false">MAX(0,G320+G321+G322+G323)</f>
        <v>0</v>
      </c>
      <c r="H324" s="54" t="n">
        <f aca="false">MAX(0,H320+H321+H322+H323)</f>
        <v>0</v>
      </c>
      <c r="I324" s="54" t="n">
        <f aca="false">MAX(0,I320+I321+I322+I323)</f>
        <v>0</v>
      </c>
      <c r="J324" s="54" t="n">
        <f aca="false">MAX(0,J320+J321+J322+J323)</f>
        <v>0</v>
      </c>
      <c r="K324" s="54" t="n">
        <f aca="false">MAX(0,K320+K321+K322+K323)</f>
        <v>0</v>
      </c>
      <c r="L324" s="54" t="n">
        <f aca="false">MAX(0,L320+L321+L322+L323)</f>
        <v>0</v>
      </c>
      <c r="M324" s="54" t="n">
        <f aca="false">MAX(0,M320+M321+M322+M323)</f>
        <v>0</v>
      </c>
      <c r="N324" s="54" t="n">
        <f aca="false">MAX(0,N320+N321+N322+N323)</f>
        <v>0</v>
      </c>
      <c r="O324" s="54" t="n">
        <f aca="false">MAX(0,O320+O321+O322+O323)</f>
        <v>0</v>
      </c>
      <c r="P324" s="54" t="n">
        <f aca="false">MAX(0,P320+P321+P322+P323)</f>
        <v>0</v>
      </c>
      <c r="Q324" s="54" t="n">
        <f aca="false">MAX(0,Q320+Q321+Q322+Q323)</f>
        <v>0</v>
      </c>
      <c r="R324" s="54" t="n">
        <f aca="false">MAX(0,R320+R321+R322+R323)</f>
        <v>0</v>
      </c>
      <c r="S324" s="54" t="n">
        <f aca="false">MAX(0,S320+S321+S322+S323)</f>
        <v>0</v>
      </c>
      <c r="T324" s="54" t="n">
        <f aca="false">MAX(0,T320+T321+T322+T323)</f>
        <v>0</v>
      </c>
      <c r="U324" s="54" t="n">
        <f aca="false">MAX(0,U320+U321+U322+U323)</f>
        <v>0</v>
      </c>
      <c r="V324" s="54" t="n">
        <f aca="false">MAX(0,V320+V321+V322+V323)</f>
        <v>0</v>
      </c>
      <c r="W324" s="54" t="n">
        <f aca="false">MAX(0,W320+W321+W322+W323)</f>
        <v>0</v>
      </c>
      <c r="X324" s="54" t="n">
        <f aca="false">MAX(0,X320+X321+X322+X323)</f>
        <v>0</v>
      </c>
      <c r="Y324" s="54" t="n">
        <f aca="false">MAX(0,Y320+Y321+Y322+Y323)</f>
        <v>0</v>
      </c>
      <c r="Z324" s="54" t="n">
        <f aca="false">MAX(0,Z320+Z321+Z322+Z323)</f>
        <v>0</v>
      </c>
      <c r="AA324" s="54" t="n">
        <f aca="false">MAX(0,AA320+AA321+AA322+AA323)</f>
        <v>0</v>
      </c>
      <c r="AB324" s="54" t="n">
        <f aca="false">MAX(0,AB320+AB321+AB322+AB323)</f>
        <v>0</v>
      </c>
      <c r="AC324" s="54" t="n">
        <f aca="false">MAX(0,AC320+AC321+AC322+AC323)</f>
        <v>0</v>
      </c>
      <c r="AD324" s="54" t="n">
        <f aca="false">MAX(0,AD320+AD321+AD322+AD323)</f>
        <v>0</v>
      </c>
      <c r="AE324" s="54" t="n">
        <f aca="false">MAX(0,AE320+AE321+AE322+AE323)</f>
        <v>0</v>
      </c>
      <c r="AF324" s="54" t="n">
        <f aca="false">MAX(0,AF320+AF321+AF322+AF323)</f>
        <v>0</v>
      </c>
      <c r="AG324" s="54" t="n">
        <f aca="false">MAX(0,AG320+AG321+AG322+AG323)</f>
        <v>0</v>
      </c>
      <c r="AH324" s="54" t="n">
        <f aca="false">MAX(0,AH320+AH321+AH322+AH323)</f>
        <v>0</v>
      </c>
      <c r="AI324" s="54" t="n">
        <f aca="false">MAX(0,AI320+AI321+AI322+AI323)</f>
        <v>0</v>
      </c>
      <c r="AJ324" s="54" t="n">
        <f aca="false">MAX(0,AJ320+AJ321+AJ322+AJ323)</f>
        <v>0</v>
      </c>
      <c r="AK324" s="54" t="n">
        <f aca="false">MAX(0,AK320+AK321+AK322+AK323)</f>
        <v>0</v>
      </c>
      <c r="AL324" s="54" t="n">
        <f aca="false">MAX(0,AL320+AL321+AL322+AL323)</f>
        <v>0</v>
      </c>
      <c r="AM324" s="54" t="n">
        <f aca="false">MAX(0,AM320+AM321+AM322+AM323)</f>
        <v>0</v>
      </c>
      <c r="AN324" s="54" t="n">
        <f aca="false">MAX(0,AN320+AN321+AN322+AN323)</f>
        <v>0</v>
      </c>
      <c r="AO324" s="54" t="n">
        <f aca="false">MAX(0,AO320+AO321+AO322+AO323)</f>
        <v>0</v>
      </c>
      <c r="AP324" s="54" t="n">
        <f aca="false">MAX(0,AP320+AP321+AP322+AP323)</f>
        <v>0</v>
      </c>
      <c r="AQ324" s="54" t="n">
        <f aca="false">MAX(0,AQ320+AQ321+AQ322+AQ323)</f>
        <v>0</v>
      </c>
      <c r="AR324" s="54" t="n">
        <f aca="false">MAX(0,AR320+AR321+AR322+AR323)</f>
        <v>0</v>
      </c>
      <c r="AS324" s="54" t="n">
        <f aca="false">MAX(0,AS320+AS321+AS322+AS323)</f>
        <v>0</v>
      </c>
      <c r="AT324" s="54" t="n">
        <f aca="false">MAX(0,AT320+AT321+AT322+AT323)</f>
        <v>0</v>
      </c>
      <c r="AU324" s="54" t="n">
        <f aca="false">MAX(0,AU320+AU321+AU322+AU323)</f>
        <v>0</v>
      </c>
      <c r="AV324" s="54" t="n">
        <f aca="false">MAX(0,AV320+AV321+AV322+AV323)</f>
        <v>0</v>
      </c>
      <c r="AW324" s="54" t="n">
        <f aca="false">MAX(0,AW320+AW321+AW322+AW323)</f>
        <v>0</v>
      </c>
      <c r="AX324" s="54" t="n">
        <f aca="false">MAX(0,AX320+AX321+AX322+AX323)</f>
        <v>0</v>
      </c>
      <c r="AY324" s="54" t="n">
        <f aca="false">MAX(0,AY320+AY321+AY322+AY323)</f>
        <v>0</v>
      </c>
      <c r="AZ324" s="54" t="n">
        <f aca="false">MAX(0,AZ320+AZ321+AZ322+AZ323)</f>
        <v>0</v>
      </c>
      <c r="BA324" s="54" t="n">
        <f aca="false">MAX(0,BA320+BA321+BA322+BA323)</f>
        <v>0</v>
      </c>
      <c r="BB324" s="54" t="n">
        <f aca="false">MAX(0,BB320+BB321+BB322+BB323)</f>
        <v>0</v>
      </c>
      <c r="BC324" s="54" t="n">
        <f aca="false">MAX(0,BC320+BC321+BC322+BC323)</f>
        <v>0</v>
      </c>
      <c r="BD324" s="54" t="n">
        <f aca="false">MAX(0,BD320+BD321+BD322+BD323)</f>
        <v>0</v>
      </c>
      <c r="BE324" s="54" t="n">
        <f aca="false">MAX(0,BE320+BE321+BE322+BE323)</f>
        <v>0</v>
      </c>
      <c r="BF324" s="54" t="n">
        <f aca="false">MAX(0,BF320+BF321+BF322+BF323)</f>
        <v>0</v>
      </c>
      <c r="BG324" s="54" t="n">
        <f aca="false">MAX(0,BG320+BG321+BG322+BG323)</f>
        <v>0</v>
      </c>
      <c r="BH324" s="54" t="n">
        <f aca="false">MAX(0,BH320+BH321+BH322+BH323)</f>
        <v>0</v>
      </c>
      <c r="BI324" s="54" t="n">
        <f aca="false">MAX(0,BI320+BI321+BI322+BI323)</f>
        <v>0</v>
      </c>
      <c r="BJ324" s="54" t="n">
        <f aca="false">MAX(0,BJ320+BJ321+BJ322+BJ323)</f>
        <v>0</v>
      </c>
      <c r="BK324" s="54" t="n">
        <f aca="false">MAX(0,BK320+BK321+BK322+BK323)</f>
        <v>0</v>
      </c>
      <c r="BL324" s="54" t="n">
        <f aca="false">MAX(0,BL320+BL321+BL322+BL323)</f>
        <v>0</v>
      </c>
      <c r="BM324" s="54" t="n">
        <f aca="false">MAX(0,BM320+BM321+BM322+BM323)</f>
        <v>0</v>
      </c>
      <c r="BN324" s="54" t="n">
        <f aca="false">MAX(0,BN320+BN321+BN322+BN323)</f>
        <v>0</v>
      </c>
      <c r="BO324" s="54" t="n">
        <f aca="false">MAX(0,BO320+BO321+BO322+BO323)</f>
        <v>0</v>
      </c>
      <c r="BP324" s="54" t="n">
        <f aca="false">MAX(0,BP320+BP321+BP322+BP323)</f>
        <v>0</v>
      </c>
      <c r="BQ324" s="54" t="n">
        <f aca="false">MAX(0,BQ320+BQ321+BQ322+BQ323)</f>
        <v>0</v>
      </c>
      <c r="BR324" s="54" t="n">
        <f aca="false">MAX(0,BR320+BR321+BR322+BR323)</f>
        <v>0</v>
      </c>
      <c r="BS324" s="54" t="n">
        <f aca="false">MAX(0,BS320+BS321+BS322+BS323)</f>
        <v>0</v>
      </c>
      <c r="BT324" s="54" t="n">
        <f aca="false">MAX(0,BT320+BT321+BT322+BT323)</f>
        <v>0</v>
      </c>
      <c r="BU324" s="54" t="n">
        <f aca="false">MAX(0,BU320+BU321+BU322+BU323)</f>
        <v>0</v>
      </c>
      <c r="BV324" s="54" t="n">
        <f aca="false">MAX(0,BV320+BV321+BV322+BV323)</f>
        <v>0</v>
      </c>
      <c r="BW324" s="54" t="n">
        <f aca="false">MAX(0,BW320+BW321+BW322+BW323)</f>
        <v>0</v>
      </c>
      <c r="BX324" s="54" t="n">
        <f aca="false">MAX(0,BX320+BX321+BX322+BX323)</f>
        <v>0</v>
      </c>
      <c r="BY324" s="54" t="n">
        <f aca="false">MAX(0,BY320+BY321+BY322+BY323)</f>
        <v>0</v>
      </c>
      <c r="BZ324" s="54" t="n">
        <f aca="false">MAX(0,BZ320+BZ321+BZ322+BZ323)</f>
        <v>0</v>
      </c>
      <c r="CA324" s="54" t="n">
        <f aca="false">MAX(0,CA320+CA321+CA322+CA323)</f>
        <v>0</v>
      </c>
      <c r="CB324" s="54" t="n">
        <f aca="false">MAX(0,CB320+CB321+CB322+CB323)</f>
        <v>0</v>
      </c>
      <c r="CC324" s="54" t="n">
        <f aca="false">MAX(0,CC320+CC321+CC322+CC323)</f>
        <v>0</v>
      </c>
      <c r="CD324" s="54" t="n">
        <f aca="false">MAX(0,CD320+CD321+CD322+CD323)</f>
        <v>0</v>
      </c>
      <c r="CE324" s="54" t="n">
        <f aca="false">MAX(0,CE320+CE321+CE322+CE323)</f>
        <v>0</v>
      </c>
      <c r="CF324" s="54" t="n">
        <f aca="false">MAX(0,CF320+CF321+CF322+CF323)</f>
        <v>0</v>
      </c>
      <c r="CG324" s="54" t="n">
        <f aca="false">MAX(0,CG320+CG321+CG322+CG323)</f>
        <v>0</v>
      </c>
      <c r="CH324" s="54" t="n">
        <f aca="false">MAX(0,CH320+CH321+CH322+CH323)</f>
        <v>0</v>
      </c>
      <c r="CI324" s="54" t="n">
        <f aca="false">MAX(0,CI320+CI321+CI322+CI323)</f>
        <v>0</v>
      </c>
      <c r="CJ324" s="54" t="n">
        <f aca="false">MAX(0,CJ320+CJ321+CJ322+CJ323)</f>
        <v>0</v>
      </c>
      <c r="CK324" s="54" t="n">
        <f aca="false">MAX(0,CK320+CK321+CK322+CK323)</f>
        <v>0</v>
      </c>
      <c r="CL324" s="54" t="n">
        <f aca="false">MAX(0,CL320+CL321+CL322+CL323)</f>
        <v>0</v>
      </c>
      <c r="CM324" s="54" t="n">
        <f aca="false">MAX(0,CM320+CM321+CM322+CM323)</f>
        <v>0</v>
      </c>
      <c r="CN324" s="54" t="n">
        <f aca="false">MAX(0,CN320+CN321+CN322+CN323)</f>
        <v>0</v>
      </c>
      <c r="CO324" s="54" t="n">
        <f aca="false">MAX(0,CO320+CO321+CO322+CO323)</f>
        <v>0</v>
      </c>
      <c r="CP324" s="54" t="n">
        <f aca="false">MAX(0,CP320+CP321+CP322+CP323)</f>
        <v>0</v>
      </c>
      <c r="CQ324" s="54" t="n">
        <f aca="false">MAX(0,CQ320+CQ321+CQ322+CQ323)</f>
        <v>0</v>
      </c>
      <c r="CR324" s="54" t="n">
        <f aca="false">MAX(0,CR320+CR321+CR322+CR323)</f>
        <v>0</v>
      </c>
      <c r="CS324" s="54" t="n">
        <f aca="false">MAX(0,CS320+CS321+CS322+CS323)</f>
        <v>0</v>
      </c>
      <c r="CT324" s="54" t="n">
        <f aca="false">MAX(0,CT320+CT321+CT322+CT323)</f>
        <v>0</v>
      </c>
      <c r="CU324" s="54" t="n">
        <f aca="false">MAX(0,CU320+CU321+CU322+CU323)</f>
        <v>0</v>
      </c>
      <c r="CV324" s="54" t="n">
        <f aca="false">MAX(0,CV320+CV321+CV322+CV323)</f>
        <v>0</v>
      </c>
      <c r="CW324" s="54" t="n">
        <f aca="false">MAX(0,CW320+CW321+CW322+CW323)</f>
        <v>0</v>
      </c>
      <c r="CX324" s="54" t="n">
        <f aca="false">MAX(0,CX320+CX321+CX322+CX323)</f>
        <v>0</v>
      </c>
      <c r="CY324" s="54" t="n">
        <f aca="false">MAX(0,CY320+CY321+CY322+CY323)</f>
        <v>0</v>
      </c>
      <c r="CZ324" s="54" t="n">
        <f aca="false">MAX(0,CZ320+CZ321+CZ322+CZ323)</f>
        <v>0</v>
      </c>
      <c r="DA324" s="54" t="n">
        <f aca="false">MAX(0,DA320+DA321+DA322+DA323)</f>
        <v>0</v>
      </c>
      <c r="DB324" s="54" t="n">
        <f aca="false">MAX(0,DB320+DB321+DB322+DB323)</f>
        <v>0</v>
      </c>
      <c r="DC324" s="54" t="n">
        <f aca="false">MAX(0,DC320+DC321+DC322+DC323)</f>
        <v>0</v>
      </c>
      <c r="DD324" s="54" t="n">
        <f aca="false">MAX(0,DD320+DD321+DD322+DD323)</f>
        <v>0</v>
      </c>
      <c r="DE324" s="54" t="n">
        <f aca="false">MAX(0,DE320+DE321+DE322+DE323)</f>
        <v>0</v>
      </c>
    </row>
    <row r="325" customFormat="false" ht="15" hidden="false" customHeight="true" outlineLevel="0" collapsed="false">
      <c r="A325" s="22" t="s">
        <v>160</v>
      </c>
      <c r="B325" s="21"/>
      <c r="C325" s="21"/>
      <c r="D325" s="21"/>
      <c r="E325" s="21" t="n">
        <f aca="false">IF(AND(Projects!$G$12="Yes",Projects!$C$12&lt;=1),Assumptions!$B$61,0)</f>
        <v>0</v>
      </c>
      <c r="F325" s="21" t="n">
        <f aca="false">IF(AND(Projects!$G$12="Yes",2=Projects!$C$12),Assumptions!$B$61,E329)</f>
        <v>0</v>
      </c>
      <c r="G325" s="21" t="n">
        <f aca="false">IF(AND(Projects!$G$12="Yes",3=Projects!$C$12),Assumptions!$B$61,F329)</f>
        <v>0</v>
      </c>
      <c r="H325" s="21" t="n">
        <f aca="false">IF(AND(Projects!$G$12="Yes",4=Projects!$C$12),Assumptions!$B$61,G329)</f>
        <v>0</v>
      </c>
      <c r="I325" s="21" t="n">
        <f aca="false">IF(AND(Projects!$G$12="Yes",5=Projects!$C$12),Assumptions!$B$61,H329)</f>
        <v>0</v>
      </c>
      <c r="J325" s="21" t="n">
        <f aca="false">IF(AND(Projects!$G$12="Yes",6=Projects!$C$12),Assumptions!$B$61,I329)</f>
        <v>0</v>
      </c>
      <c r="K325" s="21" t="n">
        <f aca="false">IF(AND(Projects!$G$12="Yes",7=Projects!$C$12),Assumptions!$B$61,J329)</f>
        <v>0</v>
      </c>
      <c r="L325" s="21" t="n">
        <f aca="false">IF(AND(Projects!$G$12="Yes",8=Projects!$C$12),Assumptions!$B$61,K329)</f>
        <v>0</v>
      </c>
      <c r="M325" s="21" t="n">
        <f aca="false">IF(AND(Projects!$G$12="Yes",9=Projects!$C$12),Assumptions!$B$61,L329)</f>
        <v>0</v>
      </c>
      <c r="N325" s="21" t="n">
        <f aca="false">IF(AND(Projects!$G$12="Yes",10=Projects!$C$12),Assumptions!$B$61,M329)</f>
        <v>0</v>
      </c>
      <c r="O325" s="21" t="n">
        <f aca="false">IF(AND(Projects!$G$12="Yes",11=Projects!$C$12),Assumptions!$B$61,N329)</f>
        <v>0</v>
      </c>
      <c r="P325" s="21" t="n">
        <f aca="false">IF(AND(Projects!$G$12="Yes",12=Projects!$C$12),Assumptions!$B$61,O329)</f>
        <v>0</v>
      </c>
      <c r="Q325" s="21" t="n">
        <f aca="false">IF(AND(Projects!$G$12="Yes",13=Projects!$C$12),Assumptions!$B$61,P329)</f>
        <v>0</v>
      </c>
      <c r="R325" s="21" t="n">
        <f aca="false">IF(AND(Projects!$G$12="Yes",14=Projects!$C$12),Assumptions!$B$61,Q329)</f>
        <v>0</v>
      </c>
      <c r="S325" s="21" t="n">
        <f aca="false">IF(AND(Projects!$G$12="Yes",15=Projects!$C$12),Assumptions!$B$61,R329)</f>
        <v>0</v>
      </c>
      <c r="T325" s="21" t="n">
        <f aca="false">IF(AND(Projects!$G$12="Yes",16=Projects!$C$12),Assumptions!$B$61,S329)</f>
        <v>0</v>
      </c>
      <c r="U325" s="21" t="n">
        <f aca="false">IF(AND(Projects!$G$12="Yes",17=Projects!$C$12),Assumptions!$B$61,T329)</f>
        <v>0</v>
      </c>
      <c r="V325" s="21" t="n">
        <f aca="false">IF(AND(Projects!$G$12="Yes",18=Projects!$C$12),Assumptions!$B$61,U329)</f>
        <v>0</v>
      </c>
      <c r="W325" s="21" t="n">
        <f aca="false">IF(AND(Projects!$G$12="Yes",19=Projects!$C$12),Assumptions!$B$61,V329)</f>
        <v>0</v>
      </c>
      <c r="X325" s="21" t="n">
        <f aca="false">IF(AND(Projects!$G$12="Yes",20=Projects!$C$12),Assumptions!$B$61,W329)</f>
        <v>0</v>
      </c>
      <c r="Y325" s="21" t="n">
        <f aca="false">IF(AND(Projects!$G$12="Yes",21=Projects!$C$12),Assumptions!$B$61,X329)</f>
        <v>0</v>
      </c>
      <c r="Z325" s="21" t="n">
        <f aca="false">IF(AND(Projects!$G$12="Yes",22=Projects!$C$12),Assumptions!$B$61,Y329)</f>
        <v>0</v>
      </c>
      <c r="AA325" s="21" t="n">
        <f aca="false">IF(AND(Projects!$G$12="Yes",23=Projects!$C$12),Assumptions!$B$61,Z329)</f>
        <v>0</v>
      </c>
      <c r="AB325" s="21" t="n">
        <f aca="false">IF(AND(Projects!$G$12="Yes",24=Projects!$C$12),Assumptions!$B$61,AA329)</f>
        <v>0</v>
      </c>
      <c r="AC325" s="21" t="n">
        <f aca="false">IF(AND(Projects!$G$12="Yes",25=Projects!$C$12),Assumptions!$B$61,AB329)</f>
        <v>0</v>
      </c>
      <c r="AD325" s="21" t="n">
        <f aca="false">IF(AND(Projects!$G$12="Yes",26=Projects!$C$12),Assumptions!$B$61,AC329)</f>
        <v>0</v>
      </c>
      <c r="AE325" s="21" t="n">
        <f aca="false">IF(AND(Projects!$G$12="Yes",27=Projects!$C$12),Assumptions!$B$61,AD329)</f>
        <v>0</v>
      </c>
      <c r="AF325" s="21" t="n">
        <f aca="false">IF(AND(Projects!$G$12="Yes",28=Projects!$C$12),Assumptions!$B$61,AE329)</f>
        <v>0</v>
      </c>
      <c r="AG325" s="21" t="n">
        <f aca="false">IF(AND(Projects!$G$12="Yes",29=Projects!$C$12),Assumptions!$B$61,AF329)</f>
        <v>0</v>
      </c>
      <c r="AH325" s="21" t="n">
        <f aca="false">IF(AND(Projects!$G$12="Yes",30=Projects!$C$12),Assumptions!$B$61,AG329)</f>
        <v>0</v>
      </c>
      <c r="AI325" s="21" t="n">
        <f aca="false">IF(AND(Projects!$G$12="Yes",31=Projects!$C$12),Assumptions!$B$61,AH329)</f>
        <v>0</v>
      </c>
      <c r="AJ325" s="21" t="n">
        <f aca="false">IF(AND(Projects!$G$12="Yes",32=Projects!$C$12),Assumptions!$B$61,AI329)</f>
        <v>0</v>
      </c>
      <c r="AK325" s="21" t="n">
        <f aca="false">IF(AND(Projects!$G$12="Yes",33=Projects!$C$12),Assumptions!$B$61,AJ329)</f>
        <v>0</v>
      </c>
      <c r="AL325" s="21" t="n">
        <f aca="false">IF(AND(Projects!$G$12="Yes",34=Projects!$C$12),Assumptions!$B$61,AK329)</f>
        <v>0</v>
      </c>
      <c r="AM325" s="21" t="n">
        <f aca="false">IF(AND(Projects!$G$12="Yes",35=Projects!$C$12),Assumptions!$B$61,AL329)</f>
        <v>0</v>
      </c>
      <c r="AN325" s="21" t="n">
        <f aca="false">IF(AND(Projects!$G$12="Yes",36=Projects!$C$12),Assumptions!$B$61,AM329)</f>
        <v>0</v>
      </c>
      <c r="AO325" s="21" t="n">
        <f aca="false">IF(AND(Projects!$G$12="Yes",37=Projects!$C$12),Assumptions!$B$61,AN329)</f>
        <v>0</v>
      </c>
      <c r="AP325" s="21" t="n">
        <f aca="false">IF(AND(Projects!$G$12="Yes",38=Projects!$C$12),Assumptions!$B$61,AO329)</f>
        <v>0</v>
      </c>
      <c r="AQ325" s="21" t="n">
        <f aca="false">IF(AND(Projects!$G$12="Yes",39=Projects!$C$12),Assumptions!$B$61,AP329)</f>
        <v>0</v>
      </c>
      <c r="AR325" s="21" t="n">
        <f aca="false">IF(AND(Projects!$G$12="Yes",40=Projects!$C$12),Assumptions!$B$61,AQ329)</f>
        <v>0</v>
      </c>
      <c r="AS325" s="21" t="n">
        <f aca="false">IF(AND(Projects!$G$12="Yes",41=Projects!$C$12),Assumptions!$B$61,AR329)</f>
        <v>0</v>
      </c>
      <c r="AT325" s="21" t="n">
        <f aca="false">IF(AND(Projects!$G$12="Yes",42=Projects!$C$12),Assumptions!$B$61,AS329)</f>
        <v>0</v>
      </c>
      <c r="AU325" s="21" t="n">
        <f aca="false">IF(AND(Projects!$G$12="Yes",43=Projects!$C$12),Assumptions!$B$61,AT329)</f>
        <v>0</v>
      </c>
      <c r="AV325" s="21" t="n">
        <f aca="false">IF(AND(Projects!$G$12="Yes",44=Projects!$C$12),Assumptions!$B$61,AU329)</f>
        <v>0</v>
      </c>
      <c r="AW325" s="21" t="n">
        <f aca="false">IF(AND(Projects!$G$12="Yes",45=Projects!$C$12),Assumptions!$B$61,AV329)</f>
        <v>0</v>
      </c>
      <c r="AX325" s="21" t="n">
        <f aca="false">IF(AND(Projects!$G$12="Yes",46=Projects!$C$12),Assumptions!$B$61,AW329)</f>
        <v>0</v>
      </c>
      <c r="AY325" s="21" t="n">
        <f aca="false">IF(AND(Projects!$G$12="Yes",47=Projects!$C$12),Assumptions!$B$61,AX329)</f>
        <v>0</v>
      </c>
      <c r="AZ325" s="21" t="n">
        <f aca="false">IF(AND(Projects!$G$12="Yes",48=Projects!$C$12),Assumptions!$B$61,AY329)</f>
        <v>0</v>
      </c>
      <c r="BA325" s="21" t="n">
        <f aca="false">IF(AND(Projects!$G$12="Yes",49=Projects!$C$12),Assumptions!$B$61,AZ329)</f>
        <v>0</v>
      </c>
      <c r="BB325" s="21" t="n">
        <f aca="false">IF(AND(Projects!$G$12="Yes",50=Projects!$C$12),Assumptions!$B$61,BA329)</f>
        <v>0</v>
      </c>
      <c r="BC325" s="21" t="n">
        <f aca="false">IF(AND(Projects!$G$12="Yes",51=Projects!$C$12),Assumptions!$B$61,BB329)</f>
        <v>0</v>
      </c>
      <c r="BD325" s="21" t="n">
        <f aca="false">IF(AND(Projects!$G$12="Yes",52=Projects!$C$12),Assumptions!$B$61,BC329)</f>
        <v>0</v>
      </c>
      <c r="BE325" s="21" t="n">
        <f aca="false">IF(AND(Projects!$G$12="Yes",53=Projects!$C$12),Assumptions!$B$61,BD329)</f>
        <v>0</v>
      </c>
      <c r="BF325" s="21" t="n">
        <f aca="false">IF(AND(Projects!$G$12="Yes",54=Projects!$C$12),Assumptions!$B$61,BE329)</f>
        <v>0</v>
      </c>
      <c r="BG325" s="21" t="n">
        <f aca="false">IF(AND(Projects!$G$12="Yes",55=Projects!$C$12),Assumptions!$B$61,BF329)</f>
        <v>0</v>
      </c>
      <c r="BH325" s="21" t="n">
        <f aca="false">IF(AND(Projects!$G$12="Yes",56=Projects!$C$12),Assumptions!$B$61,BG329)</f>
        <v>0</v>
      </c>
      <c r="BI325" s="21" t="n">
        <f aca="false">IF(AND(Projects!$G$12="Yes",57=Projects!$C$12),Assumptions!$B$61,BH329)</f>
        <v>0</v>
      </c>
      <c r="BJ325" s="21" t="n">
        <f aca="false">IF(AND(Projects!$G$12="Yes",58=Projects!$C$12),Assumptions!$B$61,BI329)</f>
        <v>0</v>
      </c>
      <c r="BK325" s="21" t="n">
        <f aca="false">IF(AND(Projects!$G$12="Yes",59=Projects!$C$12),Assumptions!$B$61,BJ329)</f>
        <v>0</v>
      </c>
      <c r="BL325" s="21" t="n">
        <f aca="false">IF(AND(Projects!$G$12="Yes",60=Projects!$C$12),Assumptions!$B$61,BK329)</f>
        <v>0</v>
      </c>
      <c r="BM325" s="21" t="n">
        <f aca="false">IF(AND(Projects!$G$12="Yes",61=Projects!$C$12),Assumptions!$B$61,BL329)</f>
        <v>0</v>
      </c>
      <c r="BN325" s="21" t="n">
        <f aca="false">IF(AND(Projects!$G$12="Yes",62=Projects!$C$12),Assumptions!$B$61,BM329)</f>
        <v>0</v>
      </c>
      <c r="BO325" s="21" t="n">
        <f aca="false">IF(AND(Projects!$G$12="Yes",63=Projects!$C$12),Assumptions!$B$61,BN329)</f>
        <v>0</v>
      </c>
      <c r="BP325" s="21" t="n">
        <f aca="false">IF(AND(Projects!$G$12="Yes",64=Projects!$C$12),Assumptions!$B$61,BO329)</f>
        <v>0</v>
      </c>
      <c r="BQ325" s="21" t="n">
        <f aca="false">IF(AND(Projects!$G$12="Yes",65=Projects!$C$12),Assumptions!$B$61,BP329)</f>
        <v>0</v>
      </c>
      <c r="BR325" s="21" t="n">
        <f aca="false">IF(AND(Projects!$G$12="Yes",66=Projects!$C$12),Assumptions!$B$61,BQ329)</f>
        <v>0</v>
      </c>
      <c r="BS325" s="21" t="n">
        <f aca="false">IF(AND(Projects!$G$12="Yes",67=Projects!$C$12),Assumptions!$B$61,BR329)</f>
        <v>0</v>
      </c>
      <c r="BT325" s="21" t="n">
        <f aca="false">IF(AND(Projects!$G$12="Yes",68=Projects!$C$12),Assumptions!$B$61,BS329)</f>
        <v>0</v>
      </c>
      <c r="BU325" s="21" t="n">
        <f aca="false">IF(AND(Projects!$G$12="Yes",69=Projects!$C$12),Assumptions!$B$61,BT329)</f>
        <v>0</v>
      </c>
      <c r="BV325" s="21" t="n">
        <f aca="false">IF(AND(Projects!$G$12="Yes",70=Projects!$C$12),Assumptions!$B$61,BU329)</f>
        <v>0</v>
      </c>
      <c r="BW325" s="21" t="n">
        <f aca="false">IF(AND(Projects!$G$12="Yes",71=Projects!$C$12),Assumptions!$B$61,BV329)</f>
        <v>0</v>
      </c>
      <c r="BX325" s="21" t="n">
        <f aca="false">IF(AND(Projects!$G$12="Yes",72=Projects!$C$12),Assumptions!$B$61,BW329)</f>
        <v>0</v>
      </c>
      <c r="BY325" s="21" t="n">
        <f aca="false">IF(AND(Projects!$G$12="Yes",73=Projects!$C$12),Assumptions!$B$61,BX329)</f>
        <v>0</v>
      </c>
      <c r="BZ325" s="21" t="n">
        <f aca="false">IF(AND(Projects!$G$12="Yes",74=Projects!$C$12),Assumptions!$B$61,BY329)</f>
        <v>0</v>
      </c>
      <c r="CA325" s="21" t="n">
        <f aca="false">IF(AND(Projects!$G$12="Yes",75=Projects!$C$12),Assumptions!$B$61,BZ329)</f>
        <v>0</v>
      </c>
      <c r="CB325" s="21" t="n">
        <f aca="false">IF(AND(Projects!$G$12="Yes",76=Projects!$C$12),Assumptions!$B$61,CA329)</f>
        <v>0</v>
      </c>
      <c r="CC325" s="21" t="n">
        <f aca="false">IF(AND(Projects!$G$12="Yes",77=Projects!$C$12),Assumptions!$B$61,CB329)</f>
        <v>0</v>
      </c>
      <c r="CD325" s="21" t="n">
        <f aca="false">IF(AND(Projects!$G$12="Yes",78=Projects!$C$12),Assumptions!$B$61,CC329)</f>
        <v>0</v>
      </c>
      <c r="CE325" s="21" t="n">
        <f aca="false">IF(AND(Projects!$G$12="Yes",79=Projects!$C$12),Assumptions!$B$61,CD329)</f>
        <v>0</v>
      </c>
      <c r="CF325" s="21" t="n">
        <f aca="false">IF(AND(Projects!$G$12="Yes",80=Projects!$C$12),Assumptions!$B$61,CE329)</f>
        <v>0</v>
      </c>
      <c r="CG325" s="21" t="n">
        <f aca="false">IF(AND(Projects!$G$12="Yes",81=Projects!$C$12),Assumptions!$B$61,CF329)</f>
        <v>0</v>
      </c>
      <c r="CH325" s="21" t="n">
        <f aca="false">IF(AND(Projects!$G$12="Yes",82=Projects!$C$12),Assumptions!$B$61,CG329)</f>
        <v>0</v>
      </c>
      <c r="CI325" s="21" t="n">
        <f aca="false">IF(AND(Projects!$G$12="Yes",83=Projects!$C$12),Assumptions!$B$61,CH329)</f>
        <v>0</v>
      </c>
      <c r="CJ325" s="21" t="n">
        <f aca="false">IF(AND(Projects!$G$12="Yes",84=Projects!$C$12),Assumptions!$B$61,CI329)</f>
        <v>0</v>
      </c>
      <c r="CK325" s="21" t="n">
        <f aca="false">IF(AND(Projects!$G$12="Yes",85=Projects!$C$12),Assumptions!$B$61,CJ329)</f>
        <v>0</v>
      </c>
      <c r="CL325" s="21" t="n">
        <f aca="false">IF(AND(Projects!$G$12="Yes",86=Projects!$C$12),Assumptions!$B$61,CK329)</f>
        <v>0</v>
      </c>
      <c r="CM325" s="21" t="n">
        <f aca="false">IF(AND(Projects!$G$12="Yes",87=Projects!$C$12),Assumptions!$B$61,CL329)</f>
        <v>0</v>
      </c>
      <c r="CN325" s="21" t="n">
        <f aca="false">IF(AND(Projects!$G$12="Yes",88=Projects!$C$12),Assumptions!$B$61,CM329)</f>
        <v>0</v>
      </c>
      <c r="CO325" s="21" t="n">
        <f aca="false">IF(AND(Projects!$G$12="Yes",89=Projects!$C$12),Assumptions!$B$61,CN329)</f>
        <v>0</v>
      </c>
      <c r="CP325" s="21" t="n">
        <f aca="false">IF(AND(Projects!$G$12="Yes",90=Projects!$C$12),Assumptions!$B$61,CO329)</f>
        <v>0</v>
      </c>
      <c r="CQ325" s="21" t="n">
        <f aca="false">IF(AND(Projects!$G$12="Yes",91=Projects!$C$12),Assumptions!$B$61,CP329)</f>
        <v>0</v>
      </c>
      <c r="CR325" s="21" t="n">
        <f aca="false">IF(AND(Projects!$G$12="Yes",92=Projects!$C$12),Assumptions!$B$61,CQ329)</f>
        <v>0</v>
      </c>
      <c r="CS325" s="21" t="n">
        <f aca="false">IF(AND(Projects!$G$12="Yes",93=Projects!$C$12),Assumptions!$B$61,CR329)</f>
        <v>0</v>
      </c>
      <c r="CT325" s="21" t="n">
        <f aca="false">IF(AND(Projects!$G$12="Yes",94=Projects!$C$12),Assumptions!$B$61,CS329)</f>
        <v>0</v>
      </c>
      <c r="CU325" s="21" t="n">
        <f aca="false">IF(AND(Projects!$G$12="Yes",95=Projects!$C$12),Assumptions!$B$61,CT329)</f>
        <v>0</v>
      </c>
      <c r="CV325" s="21" t="n">
        <f aca="false">IF(AND(Projects!$G$12="Yes",96=Projects!$C$12),Assumptions!$B$61,CU329)</f>
        <v>0</v>
      </c>
      <c r="CW325" s="21" t="n">
        <f aca="false">IF(AND(Projects!$G$12="Yes",97=Projects!$C$12),Assumptions!$B$61,CV329)</f>
        <v>0</v>
      </c>
      <c r="CX325" s="21" t="n">
        <f aca="false">IF(AND(Projects!$G$12="Yes",98=Projects!$C$12),Assumptions!$B$61,CW329)</f>
        <v>0</v>
      </c>
      <c r="CY325" s="21" t="n">
        <f aca="false">IF(AND(Projects!$G$12="Yes",99=Projects!$C$12),Assumptions!$B$61,CX329)</f>
        <v>0</v>
      </c>
      <c r="CZ325" s="21" t="n">
        <f aca="false">IF(AND(Projects!$G$12="Yes",100=Projects!$C$12),Assumptions!$B$61,CY329)</f>
        <v>0</v>
      </c>
      <c r="DA325" s="21" t="n">
        <f aca="false">IF(AND(Projects!$G$12="Yes",101=Projects!$C$12),Assumptions!$B$61,CZ329)</f>
        <v>0</v>
      </c>
      <c r="DB325" s="21" t="n">
        <f aca="false">IF(AND(Projects!$G$12="Yes",102=Projects!$C$12),Assumptions!$B$61,DA329)</f>
        <v>0</v>
      </c>
      <c r="DC325" s="21" t="n">
        <f aca="false">IF(AND(Projects!$G$12="Yes",103=Projects!$C$12),Assumptions!$B$61,DB329)</f>
        <v>0</v>
      </c>
      <c r="DD325" s="21" t="n">
        <f aca="false">IF(AND(Projects!$G$12="Yes",104=Projects!$C$12),Assumptions!$B$61,DC329)</f>
        <v>0</v>
      </c>
      <c r="DE325" s="21" t="n">
        <f aca="false">IF(AND(Projects!$G$12="Yes",105=Projects!$C$12),Assumptions!$B$61,DD329)</f>
        <v>0</v>
      </c>
    </row>
    <row r="326" customFormat="false" ht="21.75" hidden="false" customHeight="true" outlineLevel="0" collapsed="false">
      <c r="A326" s="22" t="s">
        <v>161</v>
      </c>
      <c r="B326" s="21"/>
      <c r="C326" s="21"/>
      <c r="D326" s="21"/>
      <c r="E326" s="21" t="n">
        <f aca="false">IF(AND(MOD(1,3)=0,E325&gt;0),E325*Assumptions!$B$59,0)</f>
        <v>0</v>
      </c>
      <c r="F326" s="21" t="n">
        <f aca="false">IF(AND(MOD(2,3)=0,F325&gt;0),F325*Assumptions!$B$59,0)</f>
        <v>0</v>
      </c>
      <c r="G326" s="21" t="n">
        <f aca="false">IF(AND(MOD(3,3)=0,G325&gt;0),G325*Assumptions!$B$59,0)</f>
        <v>0</v>
      </c>
      <c r="H326" s="21" t="n">
        <f aca="false">IF(AND(MOD(4,3)=0,H325&gt;0),H325*Assumptions!$B$59,0)</f>
        <v>0</v>
      </c>
      <c r="I326" s="21" t="n">
        <f aca="false">IF(AND(MOD(5,3)=0,I325&gt;0),I325*Assumptions!$B$59,0)</f>
        <v>0</v>
      </c>
      <c r="J326" s="21" t="n">
        <f aca="false">IF(AND(MOD(6,3)=0,J325&gt;0),J325*Assumptions!$B$59,0)</f>
        <v>0</v>
      </c>
      <c r="K326" s="21" t="n">
        <f aca="false">IF(AND(MOD(7,3)=0,K325&gt;0),K325*Assumptions!$B$59,0)</f>
        <v>0</v>
      </c>
      <c r="L326" s="21" t="n">
        <f aca="false">IF(AND(MOD(8,3)=0,L325&gt;0),L325*Assumptions!$B$59,0)</f>
        <v>0</v>
      </c>
      <c r="M326" s="21" t="n">
        <f aca="false">IF(AND(MOD(9,3)=0,M325&gt;0),M325*Assumptions!$B$59,0)</f>
        <v>0</v>
      </c>
      <c r="N326" s="21" t="n">
        <f aca="false">IF(AND(MOD(10,3)=0,N325&gt;0),N325*Assumptions!$B$59,0)</f>
        <v>0</v>
      </c>
      <c r="O326" s="21" t="n">
        <f aca="false">IF(AND(MOD(11,3)=0,O325&gt;0),O325*Assumptions!$B$59,0)</f>
        <v>0</v>
      </c>
      <c r="P326" s="21" t="n">
        <f aca="false">IF(AND(MOD(12,3)=0,P325&gt;0),P325*Assumptions!$B$59,0)</f>
        <v>0</v>
      </c>
      <c r="Q326" s="21" t="n">
        <f aca="false">IF(AND(MOD(13,3)=0,Q325&gt;0),Q325*Assumptions!$B$59,0)</f>
        <v>0</v>
      </c>
      <c r="R326" s="21" t="n">
        <f aca="false">IF(AND(MOD(14,3)=0,R325&gt;0),R325*Assumptions!$B$59,0)</f>
        <v>0</v>
      </c>
      <c r="S326" s="21" t="n">
        <f aca="false">IF(AND(MOD(15,3)=0,S325&gt;0),S325*Assumptions!$B$59,0)</f>
        <v>0</v>
      </c>
      <c r="T326" s="21" t="n">
        <f aca="false">IF(AND(MOD(16,3)=0,T325&gt;0),T325*Assumptions!$B$59,0)</f>
        <v>0</v>
      </c>
      <c r="U326" s="21" t="n">
        <f aca="false">IF(AND(MOD(17,3)=0,U325&gt;0),U325*Assumptions!$B$59,0)</f>
        <v>0</v>
      </c>
      <c r="V326" s="21" t="n">
        <f aca="false">IF(AND(MOD(18,3)=0,V325&gt;0),V325*Assumptions!$B$59,0)</f>
        <v>0</v>
      </c>
      <c r="W326" s="21" t="n">
        <f aca="false">IF(AND(MOD(19,3)=0,W325&gt;0),W325*Assumptions!$B$59,0)</f>
        <v>0</v>
      </c>
      <c r="X326" s="21" t="n">
        <f aca="false">IF(AND(MOD(20,3)=0,X325&gt;0),X325*Assumptions!$B$59,0)</f>
        <v>0</v>
      </c>
      <c r="Y326" s="21" t="n">
        <f aca="false">IF(AND(MOD(21,3)=0,Y325&gt;0),Y325*Assumptions!$B$59,0)</f>
        <v>0</v>
      </c>
      <c r="Z326" s="21" t="n">
        <f aca="false">IF(AND(MOD(22,3)=0,Z325&gt;0),Z325*Assumptions!$B$59,0)</f>
        <v>0</v>
      </c>
      <c r="AA326" s="21" t="n">
        <f aca="false">IF(AND(MOD(23,3)=0,AA325&gt;0),AA325*Assumptions!$B$59,0)</f>
        <v>0</v>
      </c>
      <c r="AB326" s="21" t="n">
        <f aca="false">IF(AND(MOD(24,3)=0,AB325&gt;0),AB325*Assumptions!$B$59,0)</f>
        <v>0</v>
      </c>
      <c r="AC326" s="21" t="n">
        <f aca="false">IF(AND(MOD(25,3)=0,AC325&gt;0),AC325*Assumptions!$B$59,0)</f>
        <v>0</v>
      </c>
      <c r="AD326" s="21" t="n">
        <f aca="false">IF(AND(MOD(26,3)=0,AD325&gt;0),AD325*Assumptions!$B$59,0)</f>
        <v>0</v>
      </c>
      <c r="AE326" s="21" t="n">
        <f aca="false">IF(AND(MOD(27,3)=0,AE325&gt;0),AE325*Assumptions!$B$59,0)</f>
        <v>0</v>
      </c>
      <c r="AF326" s="21" t="n">
        <f aca="false">IF(AND(MOD(28,3)=0,AF325&gt;0),AF325*Assumptions!$B$59,0)</f>
        <v>0</v>
      </c>
      <c r="AG326" s="21" t="n">
        <f aca="false">IF(AND(MOD(29,3)=0,AG325&gt;0),AG325*Assumptions!$B$59,0)</f>
        <v>0</v>
      </c>
      <c r="AH326" s="21" t="n">
        <f aca="false">IF(AND(MOD(30,3)=0,AH325&gt;0),AH325*Assumptions!$B$59,0)</f>
        <v>0</v>
      </c>
      <c r="AI326" s="21" t="n">
        <f aca="false">IF(AND(MOD(31,3)=0,AI325&gt;0),AI325*Assumptions!$B$59,0)</f>
        <v>0</v>
      </c>
      <c r="AJ326" s="21" t="n">
        <f aca="false">IF(AND(MOD(32,3)=0,AJ325&gt;0),AJ325*Assumptions!$B$59,0)</f>
        <v>0</v>
      </c>
      <c r="AK326" s="21" t="n">
        <f aca="false">IF(AND(MOD(33,3)=0,AK325&gt;0),AK325*Assumptions!$B$59,0)</f>
        <v>0</v>
      </c>
      <c r="AL326" s="21" t="n">
        <f aca="false">IF(AND(MOD(34,3)=0,AL325&gt;0),AL325*Assumptions!$B$59,0)</f>
        <v>0</v>
      </c>
      <c r="AM326" s="21" t="n">
        <f aca="false">IF(AND(MOD(35,3)=0,AM325&gt;0),AM325*Assumptions!$B$59,0)</f>
        <v>0</v>
      </c>
      <c r="AN326" s="21" t="n">
        <f aca="false">IF(AND(MOD(36,3)=0,AN325&gt;0),AN325*Assumptions!$B$59,0)</f>
        <v>0</v>
      </c>
      <c r="AO326" s="21" t="n">
        <f aca="false">IF(AND(MOD(37,3)=0,AO325&gt;0),AO325*Assumptions!$B$59,0)</f>
        <v>0</v>
      </c>
      <c r="AP326" s="21" t="n">
        <f aca="false">IF(AND(MOD(38,3)=0,AP325&gt;0),AP325*Assumptions!$B$59,0)</f>
        <v>0</v>
      </c>
      <c r="AQ326" s="21" t="n">
        <f aca="false">IF(AND(MOD(39,3)=0,AQ325&gt;0),AQ325*Assumptions!$B$59,0)</f>
        <v>0</v>
      </c>
      <c r="AR326" s="21" t="n">
        <f aca="false">IF(AND(MOD(40,3)=0,AR325&gt;0),AR325*Assumptions!$B$59,0)</f>
        <v>0</v>
      </c>
      <c r="AS326" s="21" t="n">
        <f aca="false">IF(AND(MOD(41,3)=0,AS325&gt;0),AS325*Assumptions!$B$59,0)</f>
        <v>0</v>
      </c>
      <c r="AT326" s="21" t="n">
        <f aca="false">IF(AND(MOD(42,3)=0,AT325&gt;0),AT325*Assumptions!$B$59,0)</f>
        <v>0</v>
      </c>
      <c r="AU326" s="21" t="n">
        <f aca="false">IF(AND(MOD(43,3)=0,AU325&gt;0),AU325*Assumptions!$B$59,0)</f>
        <v>0</v>
      </c>
      <c r="AV326" s="21" t="n">
        <f aca="false">IF(AND(MOD(44,3)=0,AV325&gt;0),AV325*Assumptions!$B$59,0)</f>
        <v>0</v>
      </c>
      <c r="AW326" s="21" t="n">
        <f aca="false">IF(AND(MOD(45,3)=0,AW325&gt;0),AW325*Assumptions!$B$59,0)</f>
        <v>0</v>
      </c>
      <c r="AX326" s="21" t="n">
        <f aca="false">IF(AND(MOD(46,3)=0,AX325&gt;0),AX325*Assumptions!$B$59,0)</f>
        <v>0</v>
      </c>
      <c r="AY326" s="21" t="n">
        <f aca="false">IF(AND(MOD(47,3)=0,AY325&gt;0),AY325*Assumptions!$B$59,0)</f>
        <v>0</v>
      </c>
      <c r="AZ326" s="21" t="n">
        <f aca="false">IF(AND(MOD(48,3)=0,AZ325&gt;0),AZ325*Assumptions!$B$59,0)</f>
        <v>0</v>
      </c>
      <c r="BA326" s="21" t="n">
        <f aca="false">IF(AND(MOD(49,3)=0,BA325&gt;0),BA325*Assumptions!$B$59,0)</f>
        <v>0</v>
      </c>
      <c r="BB326" s="21" t="n">
        <f aca="false">IF(AND(MOD(50,3)=0,BB325&gt;0),BB325*Assumptions!$B$59,0)</f>
        <v>0</v>
      </c>
      <c r="BC326" s="21" t="n">
        <f aca="false">IF(AND(MOD(51,3)=0,BC325&gt;0),BC325*Assumptions!$B$59,0)</f>
        <v>0</v>
      </c>
      <c r="BD326" s="21" t="n">
        <f aca="false">IF(AND(MOD(52,3)=0,BD325&gt;0),BD325*Assumptions!$B$59,0)</f>
        <v>0</v>
      </c>
      <c r="BE326" s="21" t="n">
        <f aca="false">IF(AND(MOD(53,3)=0,BE325&gt;0),BE325*Assumptions!$B$59,0)</f>
        <v>0</v>
      </c>
      <c r="BF326" s="21" t="n">
        <f aca="false">IF(AND(MOD(54,3)=0,BF325&gt;0),BF325*Assumptions!$B$59,0)</f>
        <v>0</v>
      </c>
      <c r="BG326" s="21" t="n">
        <f aca="false">IF(AND(MOD(55,3)=0,BG325&gt;0),BG325*Assumptions!$B$59,0)</f>
        <v>0</v>
      </c>
      <c r="BH326" s="21" t="n">
        <f aca="false">IF(AND(MOD(56,3)=0,BH325&gt;0),BH325*Assumptions!$B$59,0)</f>
        <v>0</v>
      </c>
      <c r="BI326" s="21" t="n">
        <f aca="false">IF(AND(MOD(57,3)=0,BI325&gt;0),BI325*Assumptions!$B$59,0)</f>
        <v>0</v>
      </c>
      <c r="BJ326" s="21" t="n">
        <f aca="false">IF(AND(MOD(58,3)=0,BJ325&gt;0),BJ325*Assumptions!$B$59,0)</f>
        <v>0</v>
      </c>
      <c r="BK326" s="21" t="n">
        <f aca="false">IF(AND(MOD(59,3)=0,BK325&gt;0),BK325*Assumptions!$B$59,0)</f>
        <v>0</v>
      </c>
      <c r="BL326" s="21" t="n">
        <f aca="false">IF(AND(MOD(60,3)=0,BL325&gt;0),BL325*Assumptions!$B$59,0)</f>
        <v>0</v>
      </c>
      <c r="BM326" s="21" t="n">
        <f aca="false">IF(AND(MOD(61,3)=0,BM325&gt;0),BM325*Assumptions!$B$59,0)</f>
        <v>0</v>
      </c>
      <c r="BN326" s="21" t="n">
        <f aca="false">IF(AND(MOD(62,3)=0,BN325&gt;0),BN325*Assumptions!$B$59,0)</f>
        <v>0</v>
      </c>
      <c r="BO326" s="21" t="n">
        <f aca="false">IF(AND(MOD(63,3)=0,BO325&gt;0),BO325*Assumptions!$B$59,0)</f>
        <v>0</v>
      </c>
      <c r="BP326" s="21" t="n">
        <f aca="false">IF(AND(MOD(64,3)=0,BP325&gt;0),BP325*Assumptions!$B$59,0)</f>
        <v>0</v>
      </c>
      <c r="BQ326" s="21" t="n">
        <f aca="false">IF(AND(MOD(65,3)=0,BQ325&gt;0),BQ325*Assumptions!$B$59,0)</f>
        <v>0</v>
      </c>
      <c r="BR326" s="21" t="n">
        <f aca="false">IF(AND(MOD(66,3)=0,BR325&gt;0),BR325*Assumptions!$B$59,0)</f>
        <v>0</v>
      </c>
      <c r="BS326" s="21" t="n">
        <f aca="false">IF(AND(MOD(67,3)=0,BS325&gt;0),BS325*Assumptions!$B$59,0)</f>
        <v>0</v>
      </c>
      <c r="BT326" s="21" t="n">
        <f aca="false">IF(AND(MOD(68,3)=0,BT325&gt;0),BT325*Assumptions!$B$59,0)</f>
        <v>0</v>
      </c>
      <c r="BU326" s="21" t="n">
        <f aca="false">IF(AND(MOD(69,3)=0,BU325&gt;0),BU325*Assumptions!$B$59,0)</f>
        <v>0</v>
      </c>
      <c r="BV326" s="21" t="n">
        <f aca="false">IF(AND(MOD(70,3)=0,BV325&gt;0),BV325*Assumptions!$B$59,0)</f>
        <v>0</v>
      </c>
      <c r="BW326" s="21" t="n">
        <f aca="false">IF(AND(MOD(71,3)=0,BW325&gt;0),BW325*Assumptions!$B$59,0)</f>
        <v>0</v>
      </c>
      <c r="BX326" s="21" t="n">
        <f aca="false">IF(AND(MOD(72,3)=0,BX325&gt;0),BX325*Assumptions!$B$59,0)</f>
        <v>0</v>
      </c>
      <c r="BY326" s="21" t="n">
        <f aca="false">IF(AND(MOD(73,3)=0,BY325&gt;0),BY325*Assumptions!$B$59,0)</f>
        <v>0</v>
      </c>
      <c r="BZ326" s="21" t="n">
        <f aca="false">IF(AND(MOD(74,3)=0,BZ325&gt;0),BZ325*Assumptions!$B$59,0)</f>
        <v>0</v>
      </c>
      <c r="CA326" s="21" t="n">
        <f aca="false">IF(AND(MOD(75,3)=0,CA325&gt;0),CA325*Assumptions!$B$59,0)</f>
        <v>0</v>
      </c>
      <c r="CB326" s="21" t="n">
        <f aca="false">IF(AND(MOD(76,3)=0,CB325&gt;0),CB325*Assumptions!$B$59,0)</f>
        <v>0</v>
      </c>
      <c r="CC326" s="21" t="n">
        <f aca="false">IF(AND(MOD(77,3)=0,CC325&gt;0),CC325*Assumptions!$B$59,0)</f>
        <v>0</v>
      </c>
      <c r="CD326" s="21" t="n">
        <f aca="false">IF(AND(MOD(78,3)=0,CD325&gt;0),CD325*Assumptions!$B$59,0)</f>
        <v>0</v>
      </c>
      <c r="CE326" s="21" t="n">
        <f aca="false">IF(AND(MOD(79,3)=0,CE325&gt;0),CE325*Assumptions!$B$59,0)</f>
        <v>0</v>
      </c>
      <c r="CF326" s="21" t="n">
        <f aca="false">IF(AND(MOD(80,3)=0,CF325&gt;0),CF325*Assumptions!$B$59,0)</f>
        <v>0</v>
      </c>
      <c r="CG326" s="21" t="n">
        <f aca="false">IF(AND(MOD(81,3)=0,CG325&gt;0),CG325*Assumptions!$B$59,0)</f>
        <v>0</v>
      </c>
      <c r="CH326" s="21" t="n">
        <f aca="false">IF(AND(MOD(82,3)=0,CH325&gt;0),CH325*Assumptions!$B$59,0)</f>
        <v>0</v>
      </c>
      <c r="CI326" s="21" t="n">
        <f aca="false">IF(AND(MOD(83,3)=0,CI325&gt;0),CI325*Assumptions!$B$59,0)</f>
        <v>0</v>
      </c>
      <c r="CJ326" s="21" t="n">
        <f aca="false">IF(AND(MOD(84,3)=0,CJ325&gt;0),CJ325*Assumptions!$B$59,0)</f>
        <v>0</v>
      </c>
      <c r="CK326" s="21" t="n">
        <f aca="false">IF(AND(MOD(85,3)=0,CK325&gt;0),CK325*Assumptions!$B$59,0)</f>
        <v>0</v>
      </c>
      <c r="CL326" s="21" t="n">
        <f aca="false">IF(AND(MOD(86,3)=0,CL325&gt;0),CL325*Assumptions!$B$59,0)</f>
        <v>0</v>
      </c>
      <c r="CM326" s="21" t="n">
        <f aca="false">IF(AND(MOD(87,3)=0,CM325&gt;0),CM325*Assumptions!$B$59,0)</f>
        <v>0</v>
      </c>
      <c r="CN326" s="21" t="n">
        <f aca="false">IF(AND(MOD(88,3)=0,CN325&gt;0),CN325*Assumptions!$B$59,0)</f>
        <v>0</v>
      </c>
      <c r="CO326" s="21" t="n">
        <f aca="false">IF(AND(MOD(89,3)=0,CO325&gt;0),CO325*Assumptions!$B$59,0)</f>
        <v>0</v>
      </c>
      <c r="CP326" s="21" t="n">
        <f aca="false">IF(AND(MOD(90,3)=0,CP325&gt;0),CP325*Assumptions!$B$59,0)</f>
        <v>0</v>
      </c>
      <c r="CQ326" s="21" t="n">
        <f aca="false">IF(AND(MOD(91,3)=0,CQ325&gt;0),CQ325*Assumptions!$B$59,0)</f>
        <v>0</v>
      </c>
      <c r="CR326" s="21" t="n">
        <f aca="false">IF(AND(MOD(92,3)=0,CR325&gt;0),CR325*Assumptions!$B$59,0)</f>
        <v>0</v>
      </c>
      <c r="CS326" s="21" t="n">
        <f aca="false">IF(AND(MOD(93,3)=0,CS325&gt;0),CS325*Assumptions!$B$59,0)</f>
        <v>0</v>
      </c>
      <c r="CT326" s="21" t="n">
        <f aca="false">IF(AND(MOD(94,3)=0,CT325&gt;0),CT325*Assumptions!$B$59,0)</f>
        <v>0</v>
      </c>
      <c r="CU326" s="21" t="n">
        <f aca="false">IF(AND(MOD(95,3)=0,CU325&gt;0),CU325*Assumptions!$B$59,0)</f>
        <v>0</v>
      </c>
      <c r="CV326" s="21" t="n">
        <f aca="false">IF(AND(MOD(96,3)=0,CV325&gt;0),CV325*Assumptions!$B$59,0)</f>
        <v>0</v>
      </c>
      <c r="CW326" s="21" t="n">
        <f aca="false">IF(AND(MOD(97,3)=0,CW325&gt;0),CW325*Assumptions!$B$59,0)</f>
        <v>0</v>
      </c>
      <c r="CX326" s="21" t="n">
        <f aca="false">IF(AND(MOD(98,3)=0,CX325&gt;0),CX325*Assumptions!$B$59,0)</f>
        <v>0</v>
      </c>
      <c r="CY326" s="21" t="n">
        <f aca="false">IF(AND(MOD(99,3)=0,CY325&gt;0),CY325*Assumptions!$B$59,0)</f>
        <v>0</v>
      </c>
      <c r="CZ326" s="21" t="n">
        <f aca="false">IF(AND(MOD(100,3)=0,CZ325&gt;0),CZ325*Assumptions!$B$59,0)</f>
        <v>0</v>
      </c>
      <c r="DA326" s="21" t="n">
        <f aca="false">IF(AND(MOD(101,3)=0,DA325&gt;0),DA325*Assumptions!$B$59,0)</f>
        <v>0</v>
      </c>
      <c r="DB326" s="21" t="n">
        <f aca="false">IF(AND(MOD(102,3)=0,DB325&gt;0),DB325*Assumptions!$B$59,0)</f>
        <v>0</v>
      </c>
      <c r="DC326" s="21" t="n">
        <f aca="false">IF(AND(MOD(103,3)=0,DC325&gt;0),DC325*Assumptions!$B$59,0)</f>
        <v>0</v>
      </c>
      <c r="DD326" s="21" t="n">
        <f aca="false">IF(AND(MOD(104,3)=0,DD325&gt;0),DD325*Assumptions!$B$59,0)</f>
        <v>0</v>
      </c>
      <c r="DE326" s="21" t="n">
        <f aca="false">IF(AND(MOD(105,3)=0,DE325&gt;0),DE325*Assumptions!$B$59,0)</f>
        <v>0</v>
      </c>
    </row>
    <row r="327" customFormat="false" ht="15" hidden="false" customHeight="true" outlineLevel="0" collapsed="false">
      <c r="A327" s="22" t="s">
        <v>162</v>
      </c>
      <c r="B327" s="21"/>
      <c r="C327" s="21"/>
      <c r="D327" s="21"/>
      <c r="E327" s="21" t="n">
        <v>0</v>
      </c>
      <c r="F327" s="21" t="n">
        <v>0</v>
      </c>
      <c r="G327" s="21" t="n">
        <v>0</v>
      </c>
      <c r="H327" s="21" t="n">
        <v>0</v>
      </c>
      <c r="I327" s="21" t="n">
        <v>0</v>
      </c>
      <c r="J327" s="21" t="n">
        <v>0</v>
      </c>
      <c r="K327" s="21" t="n">
        <v>0</v>
      </c>
      <c r="L327" s="21" t="n">
        <v>0</v>
      </c>
      <c r="M327" s="21" t="n">
        <v>0</v>
      </c>
      <c r="N327" s="21" t="n">
        <v>0</v>
      </c>
      <c r="O327" s="21" t="n">
        <v>0</v>
      </c>
      <c r="P327" s="21" t="n">
        <v>0</v>
      </c>
      <c r="Q327" s="21" t="n">
        <v>0</v>
      </c>
      <c r="R327" s="21" t="n">
        <v>0</v>
      </c>
      <c r="S327" s="21" t="n">
        <v>0</v>
      </c>
      <c r="T327" s="21" t="n">
        <v>0</v>
      </c>
      <c r="U327" s="21" t="n">
        <v>0</v>
      </c>
      <c r="V327" s="21" t="n">
        <v>0</v>
      </c>
      <c r="W327" s="21" t="n">
        <v>0</v>
      </c>
      <c r="X327" s="21" t="n">
        <v>0</v>
      </c>
      <c r="Y327" s="21" t="n">
        <v>0</v>
      </c>
      <c r="Z327" s="21" t="n">
        <v>0</v>
      </c>
      <c r="AA327" s="21" t="n">
        <v>0</v>
      </c>
      <c r="AB327" s="21" t="n">
        <v>0</v>
      </c>
      <c r="AC327" s="21" t="n">
        <v>0</v>
      </c>
      <c r="AD327" s="21" t="n">
        <v>0</v>
      </c>
      <c r="AE327" s="21" t="n">
        <v>0</v>
      </c>
      <c r="AF327" s="21" t="n">
        <v>0</v>
      </c>
      <c r="AG327" s="21" t="n">
        <v>0</v>
      </c>
      <c r="AH327" s="21" t="n">
        <v>0</v>
      </c>
      <c r="AI327" s="21" t="n">
        <v>0</v>
      </c>
      <c r="AJ327" s="21" t="n">
        <v>0</v>
      </c>
      <c r="AK327" s="21" t="n">
        <v>0</v>
      </c>
      <c r="AL327" s="21" t="n">
        <v>0</v>
      </c>
      <c r="AM327" s="21" t="n">
        <v>0</v>
      </c>
      <c r="AN327" s="21" t="n">
        <v>0</v>
      </c>
      <c r="AO327" s="21" t="n">
        <v>0</v>
      </c>
      <c r="AP327" s="21" t="n">
        <v>0</v>
      </c>
      <c r="AQ327" s="21" t="n">
        <v>0</v>
      </c>
      <c r="AR327" s="21" t="n">
        <v>0</v>
      </c>
      <c r="AS327" s="21" t="n">
        <v>0</v>
      </c>
      <c r="AT327" s="21" t="n">
        <v>0</v>
      </c>
      <c r="AU327" s="21" t="n">
        <v>0</v>
      </c>
      <c r="AV327" s="21" t="n">
        <v>0</v>
      </c>
      <c r="AW327" s="21" t="n">
        <v>0</v>
      </c>
      <c r="AX327" s="21" t="n">
        <v>0</v>
      </c>
      <c r="AY327" s="21" t="n">
        <v>0</v>
      </c>
      <c r="AZ327" s="21" t="n">
        <v>0</v>
      </c>
      <c r="BA327" s="21" t="n">
        <v>0</v>
      </c>
      <c r="BB327" s="21" t="n">
        <v>0</v>
      </c>
      <c r="BC327" s="21" t="n">
        <v>0</v>
      </c>
      <c r="BD327" s="21" t="n">
        <v>0</v>
      </c>
      <c r="BE327" s="21" t="n">
        <v>0</v>
      </c>
      <c r="BF327" s="21" t="n">
        <v>0</v>
      </c>
      <c r="BG327" s="21" t="n">
        <v>0</v>
      </c>
      <c r="BH327" s="21" t="n">
        <v>0</v>
      </c>
      <c r="BI327" s="21" t="n">
        <v>0</v>
      </c>
      <c r="BJ327" s="21" t="n">
        <v>0</v>
      </c>
      <c r="BK327" s="21" t="n">
        <v>0</v>
      </c>
      <c r="BL327" s="21" t="n">
        <v>0</v>
      </c>
      <c r="BM327" s="21" t="n">
        <v>0</v>
      </c>
      <c r="BN327" s="21" t="n">
        <v>0</v>
      </c>
      <c r="BO327" s="21" t="n">
        <v>0</v>
      </c>
      <c r="BP327" s="21" t="n">
        <v>0</v>
      </c>
      <c r="BQ327" s="21" t="n">
        <v>0</v>
      </c>
      <c r="BR327" s="21" t="n">
        <v>0</v>
      </c>
      <c r="BS327" s="21" t="n">
        <v>0</v>
      </c>
      <c r="BT327" s="21" t="n">
        <v>0</v>
      </c>
      <c r="BU327" s="21" t="n">
        <v>0</v>
      </c>
      <c r="BV327" s="21" t="n">
        <v>0</v>
      </c>
      <c r="BW327" s="21" t="n">
        <v>0</v>
      </c>
      <c r="BX327" s="21" t="n">
        <v>0</v>
      </c>
      <c r="BY327" s="21" t="n">
        <v>0</v>
      </c>
      <c r="BZ327" s="21" t="n">
        <v>0</v>
      </c>
      <c r="CA327" s="21" t="n">
        <v>0</v>
      </c>
      <c r="CB327" s="21" t="n">
        <v>0</v>
      </c>
      <c r="CC327" s="21" t="n">
        <v>0</v>
      </c>
      <c r="CD327" s="21" t="n">
        <v>0</v>
      </c>
      <c r="CE327" s="21" t="n">
        <v>0</v>
      </c>
      <c r="CF327" s="21" t="n">
        <v>0</v>
      </c>
      <c r="CG327" s="21" t="n">
        <v>0</v>
      </c>
      <c r="CH327" s="21" t="n">
        <v>0</v>
      </c>
      <c r="CI327" s="21" t="n">
        <v>0</v>
      </c>
      <c r="CJ327" s="21" t="n">
        <v>0</v>
      </c>
      <c r="CK327" s="21" t="n">
        <v>0</v>
      </c>
      <c r="CL327" s="21" t="n">
        <v>0</v>
      </c>
      <c r="CM327" s="21" t="n">
        <v>0</v>
      </c>
      <c r="CN327" s="21" t="n">
        <v>0</v>
      </c>
      <c r="CO327" s="21" t="n">
        <v>0</v>
      </c>
      <c r="CP327" s="21" t="n">
        <v>0</v>
      </c>
      <c r="CQ327" s="21" t="n">
        <v>0</v>
      </c>
      <c r="CR327" s="21" t="n">
        <v>0</v>
      </c>
      <c r="CS327" s="21" t="n">
        <v>0</v>
      </c>
      <c r="CT327" s="21"/>
      <c r="CU327" s="21"/>
      <c r="CV327" s="21"/>
      <c r="CW327" s="21"/>
      <c r="CX327" s="21"/>
      <c r="CY327" s="21"/>
      <c r="CZ327" s="21"/>
      <c r="DA327" s="21"/>
      <c r="DB327" s="21"/>
      <c r="DC327" s="21"/>
      <c r="DD327" s="21"/>
      <c r="DE327" s="21"/>
    </row>
    <row r="328" customFormat="false" ht="15" hidden="false" customHeight="true" outlineLevel="0" collapsed="false">
      <c r="A328" s="51" t="s">
        <v>163</v>
      </c>
      <c r="B328" s="52"/>
      <c r="C328" s="52"/>
      <c r="D328" s="52"/>
      <c r="E328" s="52" t="n">
        <v>0</v>
      </c>
      <c r="F328" s="52" t="n">
        <v>0</v>
      </c>
      <c r="G328" s="52" t="n">
        <v>0</v>
      </c>
      <c r="H328" s="52" t="n">
        <v>0</v>
      </c>
      <c r="I328" s="52" t="n">
        <v>0</v>
      </c>
      <c r="J328" s="52" t="n">
        <v>0</v>
      </c>
      <c r="K328" s="52" t="n">
        <v>0</v>
      </c>
      <c r="L328" s="52" t="n">
        <v>0</v>
      </c>
      <c r="M328" s="52" t="n">
        <v>0</v>
      </c>
      <c r="N328" s="52" t="n">
        <v>0</v>
      </c>
      <c r="O328" s="52" t="n">
        <v>0</v>
      </c>
      <c r="P328" s="52" t="n">
        <v>0</v>
      </c>
      <c r="Q328" s="52" t="n">
        <v>0</v>
      </c>
      <c r="R328" s="52" t="n">
        <v>0</v>
      </c>
      <c r="S328" s="52" t="n">
        <v>0</v>
      </c>
      <c r="T328" s="52" t="n">
        <v>0</v>
      </c>
      <c r="U328" s="52" t="n">
        <v>0</v>
      </c>
      <c r="V328" s="52" t="n">
        <v>0</v>
      </c>
      <c r="W328" s="52" t="n">
        <v>0</v>
      </c>
      <c r="X328" s="52" t="n">
        <v>0</v>
      </c>
      <c r="Y328" s="52" t="n">
        <v>0</v>
      </c>
      <c r="Z328" s="52" t="n">
        <v>0</v>
      </c>
      <c r="AA328" s="52" t="n">
        <v>0</v>
      </c>
      <c r="AB328" s="52" t="n">
        <v>0</v>
      </c>
      <c r="AC328" s="52" t="n">
        <v>0</v>
      </c>
      <c r="AD328" s="52" t="n">
        <v>0</v>
      </c>
      <c r="AE328" s="52" t="n">
        <v>0</v>
      </c>
      <c r="AF328" s="52" t="n">
        <v>0</v>
      </c>
      <c r="AG328" s="52" t="n">
        <v>0</v>
      </c>
      <c r="AH328" s="52" t="n">
        <v>0</v>
      </c>
      <c r="AI328" s="52" t="n">
        <v>0</v>
      </c>
      <c r="AJ328" s="52" t="n">
        <v>0</v>
      </c>
      <c r="AK328" s="52" t="n">
        <v>0</v>
      </c>
      <c r="AL328" s="52" t="n">
        <v>0</v>
      </c>
      <c r="AM328" s="52" t="n">
        <v>0</v>
      </c>
      <c r="AN328" s="52" t="n">
        <v>0</v>
      </c>
      <c r="AO328" s="52" t="n">
        <v>0</v>
      </c>
      <c r="AP328" s="52" t="n">
        <v>0</v>
      </c>
      <c r="AQ328" s="52" t="n">
        <v>0</v>
      </c>
      <c r="AR328" s="52" t="n">
        <v>0</v>
      </c>
      <c r="AS328" s="52" t="n">
        <v>0</v>
      </c>
      <c r="AT328" s="52" t="n">
        <v>0</v>
      </c>
      <c r="AU328" s="52" t="n">
        <v>0</v>
      </c>
      <c r="AV328" s="52" t="n">
        <v>0</v>
      </c>
      <c r="AW328" s="52" t="n">
        <v>0</v>
      </c>
      <c r="AX328" s="52" t="n">
        <v>0</v>
      </c>
      <c r="AY328" s="52" t="n">
        <v>0</v>
      </c>
      <c r="AZ328" s="52" t="n">
        <v>0</v>
      </c>
      <c r="BA328" s="52" t="n">
        <v>0</v>
      </c>
      <c r="BB328" s="52" t="n">
        <v>0</v>
      </c>
      <c r="BC328" s="52" t="n">
        <v>0</v>
      </c>
      <c r="BD328" s="52" t="n">
        <v>0</v>
      </c>
      <c r="BE328" s="52" t="n">
        <v>0</v>
      </c>
      <c r="BF328" s="52" t="n">
        <v>0</v>
      </c>
      <c r="BG328" s="52" t="n">
        <v>0</v>
      </c>
      <c r="BH328" s="52" t="n">
        <v>0</v>
      </c>
      <c r="BI328" s="52" t="n">
        <v>0</v>
      </c>
      <c r="BJ328" s="52" t="n">
        <v>0</v>
      </c>
      <c r="BK328" s="52" t="n">
        <v>0</v>
      </c>
      <c r="BL328" s="52" t="n">
        <v>0</v>
      </c>
      <c r="BM328" s="52" t="n">
        <v>0</v>
      </c>
      <c r="BN328" s="52" t="n">
        <v>0</v>
      </c>
      <c r="BO328" s="52" t="n">
        <v>0</v>
      </c>
      <c r="BP328" s="52" t="n">
        <v>0</v>
      </c>
      <c r="BQ328" s="52" t="n">
        <v>0</v>
      </c>
      <c r="BR328" s="52" t="n">
        <v>0</v>
      </c>
      <c r="BS328" s="52" t="n">
        <v>0</v>
      </c>
      <c r="BT328" s="52" t="n">
        <v>0</v>
      </c>
      <c r="BU328" s="52" t="n">
        <v>0</v>
      </c>
      <c r="BV328" s="52" t="n">
        <v>0</v>
      </c>
      <c r="BW328" s="52" t="n">
        <v>0</v>
      </c>
      <c r="BX328" s="52" t="n">
        <v>0</v>
      </c>
      <c r="BY328" s="52" t="n">
        <v>0</v>
      </c>
      <c r="BZ328" s="52" t="n">
        <v>0</v>
      </c>
      <c r="CA328" s="52" t="n">
        <v>0</v>
      </c>
      <c r="CB328" s="52" t="n">
        <v>0</v>
      </c>
      <c r="CC328" s="52" t="n">
        <v>0</v>
      </c>
      <c r="CD328" s="52" t="n">
        <v>0</v>
      </c>
      <c r="CE328" s="52" t="n">
        <v>0</v>
      </c>
      <c r="CF328" s="52" t="n">
        <v>0</v>
      </c>
      <c r="CG328" s="52" t="n">
        <v>0</v>
      </c>
      <c r="CH328" s="52" t="n">
        <v>0</v>
      </c>
      <c r="CI328" s="52" t="n">
        <v>0</v>
      </c>
      <c r="CJ328" s="52" t="n">
        <v>0</v>
      </c>
      <c r="CK328" s="52" t="n">
        <v>0</v>
      </c>
      <c r="CL328" s="52" t="n">
        <v>0</v>
      </c>
      <c r="CM328" s="52" t="n">
        <v>0</v>
      </c>
      <c r="CN328" s="52" t="n">
        <v>0</v>
      </c>
      <c r="CO328" s="52" t="n">
        <v>0</v>
      </c>
      <c r="CP328" s="52" t="n">
        <v>0</v>
      </c>
      <c r="CQ328" s="52" t="n">
        <v>0</v>
      </c>
      <c r="CR328" s="52" t="n">
        <v>0</v>
      </c>
      <c r="CS328" s="52" t="n">
        <v>0</v>
      </c>
      <c r="CT328" s="52"/>
      <c r="CU328" s="52"/>
      <c r="CV328" s="52"/>
      <c r="CW328" s="52"/>
      <c r="CX328" s="52"/>
      <c r="CY328" s="52"/>
      <c r="CZ328" s="52"/>
      <c r="DA328" s="52"/>
      <c r="DB328" s="52"/>
      <c r="DC328" s="52"/>
      <c r="DD328" s="52"/>
      <c r="DE328" s="52"/>
    </row>
    <row r="329" customFormat="false" ht="15" hidden="false" customHeight="true" outlineLevel="0" collapsed="false">
      <c r="A329" s="53" t="s">
        <v>164</v>
      </c>
      <c r="B329" s="54"/>
      <c r="C329" s="54"/>
      <c r="D329" s="54"/>
      <c r="E329" s="54" t="n">
        <f aca="false">MAX(0,E325+E326+E327+E328)</f>
        <v>0</v>
      </c>
      <c r="F329" s="54" t="n">
        <f aca="false">MAX(0,F325+F326+F327+F328)</f>
        <v>0</v>
      </c>
      <c r="G329" s="54" t="n">
        <f aca="false">MAX(0,G325+G326+G327+G328)</f>
        <v>0</v>
      </c>
      <c r="H329" s="54" t="n">
        <f aca="false">MAX(0,H325+H326+H327+H328)</f>
        <v>0</v>
      </c>
      <c r="I329" s="54" t="n">
        <f aca="false">MAX(0,I325+I326+I327+I328)</f>
        <v>0</v>
      </c>
      <c r="J329" s="54" t="n">
        <f aca="false">MAX(0,J325+J326+J327+J328)</f>
        <v>0</v>
      </c>
      <c r="K329" s="54" t="n">
        <f aca="false">MAX(0,K325+K326+K327+K328)</f>
        <v>0</v>
      </c>
      <c r="L329" s="54" t="n">
        <f aca="false">MAX(0,L325+L326+L327+L328)</f>
        <v>0</v>
      </c>
      <c r="M329" s="54" t="n">
        <f aca="false">MAX(0,M325+M326+M327+M328)</f>
        <v>0</v>
      </c>
      <c r="N329" s="54" t="n">
        <f aca="false">MAX(0,N325+N326+N327+N328)</f>
        <v>0</v>
      </c>
      <c r="O329" s="54" t="n">
        <f aca="false">MAX(0,O325+O326+O327+O328)</f>
        <v>0</v>
      </c>
      <c r="P329" s="54" t="n">
        <f aca="false">MAX(0,P325+P326+P327+P328)</f>
        <v>0</v>
      </c>
      <c r="Q329" s="54" t="n">
        <f aca="false">MAX(0,Q325+Q326+Q327+Q328)</f>
        <v>0</v>
      </c>
      <c r="R329" s="54" t="n">
        <f aca="false">MAX(0,R325+R326+R327+R328)</f>
        <v>0</v>
      </c>
      <c r="S329" s="54" t="n">
        <f aca="false">MAX(0,S325+S326+S327+S328)</f>
        <v>0</v>
      </c>
      <c r="T329" s="54" t="n">
        <f aca="false">MAX(0,T325+T326+T327+T328)</f>
        <v>0</v>
      </c>
      <c r="U329" s="54" t="n">
        <f aca="false">MAX(0,U325+U326+U327+U328)</f>
        <v>0</v>
      </c>
      <c r="V329" s="54" t="n">
        <f aca="false">MAX(0,V325+V326+V327+V328)</f>
        <v>0</v>
      </c>
      <c r="W329" s="54" t="n">
        <f aca="false">MAX(0,W325+W326+W327+W328)</f>
        <v>0</v>
      </c>
      <c r="X329" s="54" t="n">
        <f aca="false">MAX(0,X325+X326+X327+X328)</f>
        <v>0</v>
      </c>
      <c r="Y329" s="54" t="n">
        <f aca="false">MAX(0,Y325+Y326+Y327+Y328)</f>
        <v>0</v>
      </c>
      <c r="Z329" s="54" t="n">
        <f aca="false">MAX(0,Z325+Z326+Z327+Z328)</f>
        <v>0</v>
      </c>
      <c r="AA329" s="54" t="n">
        <f aca="false">MAX(0,AA325+AA326+AA327+AA328)</f>
        <v>0</v>
      </c>
      <c r="AB329" s="54" t="n">
        <f aca="false">MAX(0,AB325+AB326+AB327+AB328)</f>
        <v>0</v>
      </c>
      <c r="AC329" s="54" t="n">
        <f aca="false">MAX(0,AC325+AC326+AC327+AC328)</f>
        <v>0</v>
      </c>
      <c r="AD329" s="54" t="n">
        <f aca="false">MAX(0,AD325+AD326+AD327+AD328)</f>
        <v>0</v>
      </c>
      <c r="AE329" s="54" t="n">
        <f aca="false">MAX(0,AE325+AE326+AE327+AE328)</f>
        <v>0</v>
      </c>
      <c r="AF329" s="54" t="n">
        <f aca="false">MAX(0,AF325+AF326+AF327+AF328)</f>
        <v>0</v>
      </c>
      <c r="AG329" s="54" t="n">
        <f aca="false">MAX(0,AG325+AG326+AG327+AG328)</f>
        <v>0</v>
      </c>
      <c r="AH329" s="54" t="n">
        <f aca="false">MAX(0,AH325+AH326+AH327+AH328)</f>
        <v>0</v>
      </c>
      <c r="AI329" s="54" t="n">
        <f aca="false">MAX(0,AI325+AI326+AI327+AI328)</f>
        <v>0</v>
      </c>
      <c r="AJ329" s="54" t="n">
        <f aca="false">MAX(0,AJ325+AJ326+AJ327+AJ328)</f>
        <v>0</v>
      </c>
      <c r="AK329" s="54" t="n">
        <f aca="false">MAX(0,AK325+AK326+AK327+AK328)</f>
        <v>0</v>
      </c>
      <c r="AL329" s="54" t="n">
        <f aca="false">MAX(0,AL325+AL326+AL327+AL328)</f>
        <v>0</v>
      </c>
      <c r="AM329" s="54" t="n">
        <f aca="false">MAX(0,AM325+AM326+AM327+AM328)</f>
        <v>0</v>
      </c>
      <c r="AN329" s="54" t="n">
        <f aca="false">MAX(0,AN325+AN326+AN327+AN328)</f>
        <v>0</v>
      </c>
      <c r="AO329" s="54" t="n">
        <f aca="false">MAX(0,AO325+AO326+AO327+AO328)</f>
        <v>0</v>
      </c>
      <c r="AP329" s="54" t="n">
        <f aca="false">MAX(0,AP325+AP326+AP327+AP328)</f>
        <v>0</v>
      </c>
      <c r="AQ329" s="54" t="n">
        <f aca="false">MAX(0,AQ325+AQ326+AQ327+AQ328)</f>
        <v>0</v>
      </c>
      <c r="AR329" s="54" t="n">
        <f aca="false">MAX(0,AR325+AR326+AR327+AR328)</f>
        <v>0</v>
      </c>
      <c r="AS329" s="54" t="n">
        <f aca="false">MAX(0,AS325+AS326+AS327+AS328)</f>
        <v>0</v>
      </c>
      <c r="AT329" s="54" t="n">
        <f aca="false">MAX(0,AT325+AT326+AT327+AT328)</f>
        <v>0</v>
      </c>
      <c r="AU329" s="54" t="n">
        <f aca="false">MAX(0,AU325+AU326+AU327+AU328)</f>
        <v>0</v>
      </c>
      <c r="AV329" s="54" t="n">
        <f aca="false">MAX(0,AV325+AV326+AV327+AV328)</f>
        <v>0</v>
      </c>
      <c r="AW329" s="54" t="n">
        <f aca="false">MAX(0,AW325+AW326+AW327+AW328)</f>
        <v>0</v>
      </c>
      <c r="AX329" s="54" t="n">
        <f aca="false">MAX(0,AX325+AX326+AX327+AX328)</f>
        <v>0</v>
      </c>
      <c r="AY329" s="54" t="n">
        <f aca="false">MAX(0,AY325+AY326+AY327+AY328)</f>
        <v>0</v>
      </c>
      <c r="AZ329" s="54" t="n">
        <f aca="false">MAX(0,AZ325+AZ326+AZ327+AZ328)</f>
        <v>0</v>
      </c>
      <c r="BA329" s="54" t="n">
        <f aca="false">MAX(0,BA325+BA326+BA327+BA328)</f>
        <v>0</v>
      </c>
      <c r="BB329" s="54" t="n">
        <f aca="false">MAX(0,BB325+BB326+BB327+BB328)</f>
        <v>0</v>
      </c>
      <c r="BC329" s="54" t="n">
        <f aca="false">MAX(0,BC325+BC326+BC327+BC328)</f>
        <v>0</v>
      </c>
      <c r="BD329" s="54" t="n">
        <f aca="false">MAX(0,BD325+BD326+BD327+BD328)</f>
        <v>0</v>
      </c>
      <c r="BE329" s="54" t="n">
        <f aca="false">MAX(0,BE325+BE326+BE327+BE328)</f>
        <v>0</v>
      </c>
      <c r="BF329" s="54" t="n">
        <f aca="false">MAX(0,BF325+BF326+BF327+BF328)</f>
        <v>0</v>
      </c>
      <c r="BG329" s="54" t="n">
        <f aca="false">MAX(0,BG325+BG326+BG327+BG328)</f>
        <v>0</v>
      </c>
      <c r="BH329" s="54" t="n">
        <f aca="false">MAX(0,BH325+BH326+BH327+BH328)</f>
        <v>0</v>
      </c>
      <c r="BI329" s="54" t="n">
        <f aca="false">MAX(0,BI325+BI326+BI327+BI328)</f>
        <v>0</v>
      </c>
      <c r="BJ329" s="54" t="n">
        <f aca="false">MAX(0,BJ325+BJ326+BJ327+BJ328)</f>
        <v>0</v>
      </c>
      <c r="BK329" s="54" t="n">
        <f aca="false">MAX(0,BK325+BK326+BK327+BK328)</f>
        <v>0</v>
      </c>
      <c r="BL329" s="54" t="n">
        <f aca="false">MAX(0,BL325+BL326+BL327+BL328)</f>
        <v>0</v>
      </c>
      <c r="BM329" s="54" t="n">
        <f aca="false">MAX(0,BM325+BM326+BM327+BM328)</f>
        <v>0</v>
      </c>
      <c r="BN329" s="54" t="n">
        <f aca="false">MAX(0,BN325+BN326+BN327+BN328)</f>
        <v>0</v>
      </c>
      <c r="BO329" s="54" t="n">
        <f aca="false">MAX(0,BO325+BO326+BO327+BO328)</f>
        <v>0</v>
      </c>
      <c r="BP329" s="54" t="n">
        <f aca="false">MAX(0,BP325+BP326+BP327+BP328)</f>
        <v>0</v>
      </c>
      <c r="BQ329" s="54" t="n">
        <f aca="false">MAX(0,BQ325+BQ326+BQ327+BQ328)</f>
        <v>0</v>
      </c>
      <c r="BR329" s="54" t="n">
        <f aca="false">MAX(0,BR325+BR326+BR327+BR328)</f>
        <v>0</v>
      </c>
      <c r="BS329" s="54" t="n">
        <f aca="false">MAX(0,BS325+BS326+BS327+BS328)</f>
        <v>0</v>
      </c>
      <c r="BT329" s="54" t="n">
        <f aca="false">MAX(0,BT325+BT326+BT327+BT328)</f>
        <v>0</v>
      </c>
      <c r="BU329" s="54" t="n">
        <f aca="false">MAX(0,BU325+BU326+BU327+BU328)</f>
        <v>0</v>
      </c>
      <c r="BV329" s="54" t="n">
        <f aca="false">MAX(0,BV325+BV326+BV327+BV328)</f>
        <v>0</v>
      </c>
      <c r="BW329" s="54" t="n">
        <f aca="false">MAX(0,BW325+BW326+BW327+BW328)</f>
        <v>0</v>
      </c>
      <c r="BX329" s="54" t="n">
        <f aca="false">MAX(0,BX325+BX326+BX327+BX328)</f>
        <v>0</v>
      </c>
      <c r="BY329" s="54" t="n">
        <f aca="false">MAX(0,BY325+BY326+BY327+BY328)</f>
        <v>0</v>
      </c>
      <c r="BZ329" s="54" t="n">
        <f aca="false">MAX(0,BZ325+BZ326+BZ327+BZ328)</f>
        <v>0</v>
      </c>
      <c r="CA329" s="54" t="n">
        <f aca="false">MAX(0,CA325+CA326+CA327+CA328)</f>
        <v>0</v>
      </c>
      <c r="CB329" s="54" t="n">
        <f aca="false">MAX(0,CB325+CB326+CB327+CB328)</f>
        <v>0</v>
      </c>
      <c r="CC329" s="54" t="n">
        <f aca="false">MAX(0,CC325+CC326+CC327+CC328)</f>
        <v>0</v>
      </c>
      <c r="CD329" s="54" t="n">
        <f aca="false">MAX(0,CD325+CD326+CD327+CD328)</f>
        <v>0</v>
      </c>
      <c r="CE329" s="54" t="n">
        <f aca="false">MAX(0,CE325+CE326+CE327+CE328)</f>
        <v>0</v>
      </c>
      <c r="CF329" s="54" t="n">
        <f aca="false">MAX(0,CF325+CF326+CF327+CF328)</f>
        <v>0</v>
      </c>
      <c r="CG329" s="54" t="n">
        <f aca="false">MAX(0,CG325+CG326+CG327+CG328)</f>
        <v>0</v>
      </c>
      <c r="CH329" s="54" t="n">
        <f aca="false">MAX(0,CH325+CH326+CH327+CH328)</f>
        <v>0</v>
      </c>
      <c r="CI329" s="54" t="n">
        <f aca="false">MAX(0,CI325+CI326+CI327+CI328)</f>
        <v>0</v>
      </c>
      <c r="CJ329" s="54" t="n">
        <f aca="false">MAX(0,CJ325+CJ326+CJ327+CJ328)</f>
        <v>0</v>
      </c>
      <c r="CK329" s="54" t="n">
        <f aca="false">MAX(0,CK325+CK326+CK327+CK328)</f>
        <v>0</v>
      </c>
      <c r="CL329" s="54" t="n">
        <f aca="false">MAX(0,CL325+CL326+CL327+CL328)</f>
        <v>0</v>
      </c>
      <c r="CM329" s="54" t="n">
        <f aca="false">MAX(0,CM325+CM326+CM327+CM328)</f>
        <v>0</v>
      </c>
      <c r="CN329" s="54" t="n">
        <f aca="false">MAX(0,CN325+CN326+CN327+CN328)</f>
        <v>0</v>
      </c>
      <c r="CO329" s="54" t="n">
        <f aca="false">MAX(0,CO325+CO326+CO327+CO328)</f>
        <v>0</v>
      </c>
      <c r="CP329" s="54" t="n">
        <f aca="false">MAX(0,CP325+CP326+CP327+CP328)</f>
        <v>0</v>
      </c>
      <c r="CQ329" s="54" t="n">
        <f aca="false">MAX(0,CQ325+CQ326+CQ327+CQ328)</f>
        <v>0</v>
      </c>
      <c r="CR329" s="54" t="n">
        <f aca="false">MAX(0,CR325+CR326+CR327+CR328)</f>
        <v>0</v>
      </c>
      <c r="CS329" s="54" t="n">
        <f aca="false">MAX(0,CS325+CS326+CS327+CS328)</f>
        <v>0</v>
      </c>
      <c r="CT329" s="54" t="n">
        <f aca="false">MAX(0,CT325+CT326+CT327+CT328)</f>
        <v>0</v>
      </c>
      <c r="CU329" s="54" t="n">
        <f aca="false">MAX(0,CU325+CU326+CU327+CU328)</f>
        <v>0</v>
      </c>
      <c r="CV329" s="54" t="n">
        <f aca="false">MAX(0,CV325+CV326+CV327+CV328)</f>
        <v>0</v>
      </c>
      <c r="CW329" s="54" t="n">
        <f aca="false">MAX(0,CW325+CW326+CW327+CW328)</f>
        <v>0</v>
      </c>
      <c r="CX329" s="54" t="n">
        <f aca="false">MAX(0,CX325+CX326+CX327+CX328)</f>
        <v>0</v>
      </c>
      <c r="CY329" s="54" t="n">
        <f aca="false">MAX(0,CY325+CY326+CY327+CY328)</f>
        <v>0</v>
      </c>
      <c r="CZ329" s="54" t="n">
        <f aca="false">MAX(0,CZ325+CZ326+CZ327+CZ328)</f>
        <v>0</v>
      </c>
      <c r="DA329" s="54" t="n">
        <f aca="false">MAX(0,DA325+DA326+DA327+DA328)</f>
        <v>0</v>
      </c>
      <c r="DB329" s="54" t="n">
        <f aca="false">MAX(0,DB325+DB326+DB327+DB328)</f>
        <v>0</v>
      </c>
      <c r="DC329" s="54" t="n">
        <f aca="false">MAX(0,DC325+DC326+DC327+DC328)</f>
        <v>0</v>
      </c>
      <c r="DD329" s="54" t="n">
        <f aca="false">MAX(0,DD325+DD326+DD327+DD328)</f>
        <v>0</v>
      </c>
      <c r="DE329" s="54" t="n">
        <f aca="false">MAX(0,DE325+DE326+DE327+DE328)</f>
        <v>0</v>
      </c>
    </row>
    <row r="330" customFormat="false" ht="15" hidden="false" customHeight="true" outlineLevel="0" collapsed="false">
      <c r="A330" s="55" t="s">
        <v>165</v>
      </c>
      <c r="B330" s="56"/>
      <c r="C330" s="56"/>
      <c r="D330" s="56"/>
      <c r="E330" s="56" t="n">
        <f aca="false">IF(Projects!$G$14="Yes",Assumptions!$B$75,0)</f>
        <v>264927.15</v>
      </c>
      <c r="F330" s="56" t="n">
        <f aca="false">E334</f>
        <v>264927.15</v>
      </c>
      <c r="G330" s="56" t="n">
        <f aca="false">IF(Projects!$G$14="Yes",F334+Assumptions!$B$76*0.2,F334)</f>
        <v>441545.25</v>
      </c>
      <c r="H330" s="56" t="n">
        <f aca="false">G334</f>
        <v>458103.196875</v>
      </c>
      <c r="I330" s="56" t="n">
        <f aca="false">H334</f>
        <v>458103.196875</v>
      </c>
      <c r="J330" s="56" t="n">
        <f aca="false">IF(Projects!$G$14="Yes",I334+Assumptions!$B$76*0.2,I334)</f>
        <v>634721.296875</v>
      </c>
      <c r="K330" s="56" t="n">
        <f aca="false">J334</f>
        <v>658523.345507813</v>
      </c>
      <c r="L330" s="56" t="n">
        <f aca="false">K334</f>
        <v>658523.345507813</v>
      </c>
      <c r="M330" s="56" t="n">
        <f aca="false">L334</f>
        <v>658523.345507813</v>
      </c>
      <c r="N330" s="56" t="n">
        <f aca="false">IF(Projects!$G$14="Yes",M334+Assumptions!$B$76*0.1,M334)</f>
        <v>771527.020964355</v>
      </c>
      <c r="O330" s="56" t="n">
        <f aca="false">N334</f>
        <v>771527.020964355</v>
      </c>
      <c r="P330" s="56" t="n">
        <f aca="false">O334</f>
        <v>771527.020964355</v>
      </c>
      <c r="Q330" s="56" t="n">
        <f aca="false">P334</f>
        <v>800459.284250519</v>
      </c>
      <c r="R330" s="56" t="n">
        <f aca="false">Q334</f>
        <v>800459.284250519</v>
      </c>
      <c r="S330" s="56" t="n">
        <f aca="false">IF(Projects!$G$14="Yes",R334+Assumptions!$B$76*0.1,R334)</f>
        <v>888768.334250519</v>
      </c>
      <c r="T330" s="56" t="n">
        <f aca="false">S334</f>
        <v>922097.146784913</v>
      </c>
      <c r="U330" s="56" t="n">
        <f aca="false">T334</f>
        <v>922097.146784913</v>
      </c>
      <c r="V330" s="56" t="n">
        <f aca="false">U334</f>
        <v>922097.146784913</v>
      </c>
      <c r="W330" s="56" t="n">
        <f aca="false">V334</f>
        <v>956675.789789348</v>
      </c>
      <c r="X330" s="56" t="n">
        <f aca="false">W334</f>
        <v>956675.789789348</v>
      </c>
      <c r="Y330" s="56" t="n">
        <f aca="false">IF(Projects!$G$14="Yes",X334+Assumptions!$B$76*0.1,X334)</f>
        <v>1044984.83978935</v>
      </c>
      <c r="Z330" s="56" t="n">
        <f aca="false">Y334</f>
        <v>1084171.77128145</v>
      </c>
      <c r="AA330" s="56" t="n">
        <f aca="false">Z334</f>
        <v>1084171.77128145</v>
      </c>
      <c r="AB330" s="56" t="n">
        <f aca="false">AA334</f>
        <v>1084171.77128145</v>
      </c>
      <c r="AC330" s="56" t="n">
        <f aca="false">AB334</f>
        <v>1124828.2127045</v>
      </c>
      <c r="AD330" s="56" t="n">
        <f aca="false">AC334</f>
        <v>1124828.2127045</v>
      </c>
      <c r="AE330" s="56" t="n">
        <f aca="false">IF(Projects!$G$14="Yes",AD334+Assumptions!$B$76,AD334)</f>
        <v>2007918.7127045</v>
      </c>
      <c r="AF330" s="56" t="n">
        <f aca="false">AE334</f>
        <v>283215.664430921</v>
      </c>
      <c r="AG330" s="56" t="n">
        <f aca="false">AF334</f>
        <v>283215.664430921</v>
      </c>
      <c r="AH330" s="56" t="n">
        <f aca="false">AG334</f>
        <v>283215.664430921</v>
      </c>
      <c r="AI330" s="56" t="n">
        <f aca="false">AH334</f>
        <v>293836.251847081</v>
      </c>
      <c r="AJ330" s="56" t="n">
        <f aca="false">AI334</f>
        <v>293836.251847081</v>
      </c>
      <c r="AK330" s="56" t="n">
        <f aca="false">AJ334</f>
        <v>293836.251847081</v>
      </c>
      <c r="AL330" s="56" t="n">
        <f aca="false">AK334</f>
        <v>304855.111291347</v>
      </c>
      <c r="AM330" s="56" t="n">
        <f aca="false">AL334</f>
        <v>304855.111291347</v>
      </c>
      <c r="AN330" s="56" t="n">
        <f aca="false">AM334</f>
        <v>304855.111291347</v>
      </c>
      <c r="AO330" s="56" t="n">
        <f aca="false">AN334</f>
        <v>316287.177964772</v>
      </c>
      <c r="AP330" s="56" t="n">
        <f aca="false">AO334</f>
        <v>316287.177964772</v>
      </c>
      <c r="AQ330" s="56" t="n">
        <f aca="false">AP334</f>
        <v>316287.177964772</v>
      </c>
      <c r="AR330" s="56" t="n">
        <f aca="false">AQ334</f>
        <v>328147.947138451</v>
      </c>
      <c r="AS330" s="56" t="n">
        <f aca="false">AR334</f>
        <v>328147.947138451</v>
      </c>
      <c r="AT330" s="56" t="n">
        <f aca="false">AS334</f>
        <v>328147.947138451</v>
      </c>
      <c r="AU330" s="56" t="n">
        <f aca="false">AT334</f>
        <v>340453.495156143</v>
      </c>
      <c r="AV330" s="56" t="n">
        <f aca="false">AU334</f>
        <v>340453.495156143</v>
      </c>
      <c r="AW330" s="56" t="n">
        <f aca="false">AV334</f>
        <v>340453.495156143</v>
      </c>
      <c r="AX330" s="56" t="n">
        <f aca="false">AW334</f>
        <v>353220.501224498</v>
      </c>
      <c r="AY330" s="56" t="n">
        <f aca="false">AX334</f>
        <v>353220.501224498</v>
      </c>
      <c r="AZ330" s="56" t="n">
        <f aca="false">AY334</f>
        <v>353220.501224498</v>
      </c>
      <c r="BA330" s="56" t="n">
        <f aca="false">AZ334</f>
        <v>366466.270020417</v>
      </c>
      <c r="BB330" s="56" t="n">
        <f aca="false">BA334</f>
        <v>366466.270020417</v>
      </c>
      <c r="BC330" s="56" t="n">
        <f aca="false">BB334</f>
        <v>366466.270020417</v>
      </c>
      <c r="BD330" s="56" t="n">
        <f aca="false">BC334</f>
        <v>380208.755146183</v>
      </c>
      <c r="BE330" s="56" t="n">
        <f aca="false">BD334</f>
        <v>380208.755146183</v>
      </c>
      <c r="BF330" s="56" t="n">
        <f aca="false">BE334</f>
        <v>380208.755146183</v>
      </c>
      <c r="BG330" s="56" t="n">
        <f aca="false">BF334</f>
        <v>394466.583464164</v>
      </c>
      <c r="BH330" s="56" t="n">
        <f aca="false">BG334</f>
        <v>394466.583464164</v>
      </c>
      <c r="BI330" s="56" t="n">
        <f aca="false">BH334</f>
        <v>394466.583464164</v>
      </c>
      <c r="BJ330" s="56" t="n">
        <f aca="false">BI334</f>
        <v>409259.080344071</v>
      </c>
      <c r="BK330" s="56" t="n">
        <f aca="false">BJ334</f>
        <v>409259.080344071</v>
      </c>
      <c r="BL330" s="56" t="n">
        <f aca="false">BK334</f>
        <v>409259.080344071</v>
      </c>
      <c r="BM330" s="56" t="n">
        <f aca="false">BL334</f>
        <v>424606.295856973</v>
      </c>
      <c r="BN330" s="56" t="n">
        <f aca="false">BM334</f>
        <v>424606.295856973</v>
      </c>
      <c r="BO330" s="56" t="n">
        <f aca="false">BN334</f>
        <v>424606.295856973</v>
      </c>
      <c r="BP330" s="56" t="n">
        <f aca="false">BO334</f>
        <v>440529.03195161</v>
      </c>
      <c r="BQ330" s="56" t="n">
        <f aca="false">BP334</f>
        <v>440529.03195161</v>
      </c>
      <c r="BR330" s="56" t="n">
        <f aca="false">BQ334</f>
        <v>440529.03195161</v>
      </c>
      <c r="BS330" s="56" t="n">
        <f aca="false">BR334</f>
        <v>457048.870649795</v>
      </c>
      <c r="BT330" s="56" t="n">
        <f aca="false">BS334</f>
        <v>457048.870649795</v>
      </c>
      <c r="BU330" s="56" t="n">
        <f aca="false">BT334</f>
        <v>457048.870649795</v>
      </c>
      <c r="BV330" s="56" t="n">
        <f aca="false">BU334</f>
        <v>474188.203299162</v>
      </c>
      <c r="BW330" s="56" t="n">
        <f aca="false">BV334</f>
        <v>474188.203299162</v>
      </c>
      <c r="BX330" s="56" t="n">
        <f aca="false">BW334</f>
        <v>474188.203299162</v>
      </c>
      <c r="BY330" s="56" t="n">
        <f aca="false">BX334</f>
        <v>491970.260922881</v>
      </c>
      <c r="BZ330" s="56" t="n">
        <f aca="false">BY334</f>
        <v>491970.260922881</v>
      </c>
      <c r="CA330" s="56" t="n">
        <f aca="false">BZ334</f>
        <v>491970.260922881</v>
      </c>
      <c r="CB330" s="56" t="n">
        <f aca="false">CA334</f>
        <v>510419.145707489</v>
      </c>
      <c r="CC330" s="56" t="n">
        <f aca="false">CB334</f>
        <v>510419.145707489</v>
      </c>
      <c r="CD330" s="56" t="n">
        <f aca="false">CC334</f>
        <v>510419.145707489</v>
      </c>
      <c r="CE330" s="56" t="n">
        <f aca="false">CD334</f>
        <v>529559.86367152</v>
      </c>
      <c r="CF330" s="56" t="n">
        <f aca="false">CE334</f>
        <v>529559.86367152</v>
      </c>
      <c r="CG330" s="56" t="n">
        <f aca="false">CF334</f>
        <v>529559.86367152</v>
      </c>
      <c r="CH330" s="56" t="n">
        <f aca="false">CG334</f>
        <v>549418.358559202</v>
      </c>
      <c r="CI330" s="56" t="n">
        <f aca="false">CH334</f>
        <v>549418.358559202</v>
      </c>
      <c r="CJ330" s="56" t="n">
        <f aca="false">CI334</f>
        <v>549418.358559202</v>
      </c>
      <c r="CK330" s="56" t="n">
        <f aca="false">CJ334</f>
        <v>570021.547005172</v>
      </c>
      <c r="CL330" s="56" t="n">
        <f aca="false">CK334</f>
        <v>570021.547005172</v>
      </c>
      <c r="CM330" s="56" t="n">
        <f aca="false">CL334</f>
        <v>570021.547005172</v>
      </c>
      <c r="CN330" s="56" t="n">
        <f aca="false">CM334</f>
        <v>591397.355017866</v>
      </c>
      <c r="CO330" s="56" t="n">
        <f aca="false">CN334</f>
        <v>569702.675017866</v>
      </c>
      <c r="CP330" s="56" t="n">
        <f aca="false">CO334</f>
        <v>496547.675017866</v>
      </c>
      <c r="CQ330" s="56" t="n">
        <f aca="false">CP334</f>
        <v>442013.212831036</v>
      </c>
      <c r="CR330" s="56" t="n">
        <f aca="false">CQ334</f>
        <v>368858.212831036</v>
      </c>
      <c r="CS330" s="56" t="n">
        <f aca="false">CR334</f>
        <v>295703.212831036</v>
      </c>
      <c r="CT330" s="56" t="n">
        <f aca="false">CS334</f>
        <v>233637.0833122</v>
      </c>
      <c r="CU330" s="56" t="n">
        <f aca="false">CT334</f>
        <v>160482.0833122</v>
      </c>
      <c r="CV330" s="56" t="n">
        <f aca="false">CU334</f>
        <v>87327.0833121997</v>
      </c>
      <c r="CW330" s="56" t="n">
        <f aca="false">CV334</f>
        <v>17446.8489364072</v>
      </c>
      <c r="CX330" s="56" t="n">
        <f aca="false">CW334</f>
        <v>0</v>
      </c>
      <c r="CY330" s="56" t="n">
        <f aca="false">CX334</f>
        <v>0</v>
      </c>
      <c r="CZ330" s="56" t="n">
        <f aca="false">CY334</f>
        <v>0</v>
      </c>
      <c r="DA330" s="56" t="n">
        <f aca="false">CZ334</f>
        <v>0</v>
      </c>
      <c r="DB330" s="56" t="n">
        <f aca="false">DA334</f>
        <v>0</v>
      </c>
      <c r="DC330" s="56" t="n">
        <f aca="false">DB334</f>
        <v>0</v>
      </c>
      <c r="DD330" s="56" t="n">
        <f aca="false">DC334</f>
        <v>0</v>
      </c>
      <c r="DE330" s="56" t="n">
        <f aca="false">DD334</f>
        <v>0</v>
      </c>
    </row>
    <row r="331" customFormat="false" ht="15" hidden="false" customHeight="true" outlineLevel="0" collapsed="false">
      <c r="A331" s="55" t="s">
        <v>166</v>
      </c>
      <c r="B331" s="56"/>
      <c r="C331" s="56"/>
      <c r="D331" s="56"/>
      <c r="E331" s="56" t="n">
        <f aca="false">IF(AND(MOD(1,3)=0,E330&gt;0),E330*Assumptions!$B$59,0)</f>
        <v>0</v>
      </c>
      <c r="F331" s="56" t="n">
        <f aca="false">IF(AND(MOD(2,3)=0,F330&gt;0),F330*Assumptions!$B$59,0)</f>
        <v>0</v>
      </c>
      <c r="G331" s="56" t="n">
        <f aca="false">IF(AND(MOD(3,3)=0,G330&gt;0),G330*Assumptions!$B$59,0)</f>
        <v>16557.946875</v>
      </c>
      <c r="H331" s="56" t="n">
        <f aca="false">IF(AND(MOD(4,3)=0,H330&gt;0),H330*Assumptions!$B$59,0)</f>
        <v>0</v>
      </c>
      <c r="I331" s="56" t="n">
        <f aca="false">IF(AND(MOD(5,3)=0,I330&gt;0),I330*Assumptions!$B$59,0)</f>
        <v>0</v>
      </c>
      <c r="J331" s="56" t="n">
        <f aca="false">IF(AND(MOD(6,3)=0,J330&gt;0),J330*Assumptions!$B$59,0)</f>
        <v>23802.0486328125</v>
      </c>
      <c r="K331" s="56" t="n">
        <f aca="false">IF(AND(MOD(7,3)=0,K330&gt;0),K330*Assumptions!$B$59,0)</f>
        <v>0</v>
      </c>
      <c r="L331" s="56" t="n">
        <f aca="false">IF(AND(MOD(8,3)=0,L330&gt;0),L330*Assumptions!$B$59,0)</f>
        <v>0</v>
      </c>
      <c r="M331" s="56" t="n">
        <f aca="false">IF(AND(MOD(9,3)=0,M330&gt;0),M330*Assumptions!$B$59,0)</f>
        <v>24694.625456543</v>
      </c>
      <c r="N331" s="56" t="n">
        <f aca="false">IF(AND(MOD(10,3)=0,N330&gt;0),N330*Assumptions!$B$59,0)</f>
        <v>0</v>
      </c>
      <c r="O331" s="56" t="n">
        <f aca="false">IF(AND(MOD(11,3)=0,O330&gt;0),O330*Assumptions!$B$59,0)</f>
        <v>0</v>
      </c>
      <c r="P331" s="56" t="n">
        <f aca="false">IF(AND(MOD(12,3)=0,P330&gt;0),P330*Assumptions!$B$59,0)</f>
        <v>28932.2632861633</v>
      </c>
      <c r="Q331" s="56" t="n">
        <f aca="false">IF(AND(MOD(13,3)=0,Q330&gt;0),Q330*Assumptions!$B$59,0)</f>
        <v>0</v>
      </c>
      <c r="R331" s="56" t="n">
        <f aca="false">IF(AND(MOD(14,3)=0,R330&gt;0),R330*Assumptions!$B$59,0)</f>
        <v>0</v>
      </c>
      <c r="S331" s="56" t="n">
        <f aca="false">IF(AND(MOD(15,3)=0,S330&gt;0),S330*Assumptions!$B$59,0)</f>
        <v>33328.8125343945</v>
      </c>
      <c r="T331" s="56" t="n">
        <f aca="false">IF(AND(MOD(16,3)=0,T330&gt;0),T330*Assumptions!$B$59,0)</f>
        <v>0</v>
      </c>
      <c r="U331" s="56" t="n">
        <f aca="false">IF(AND(MOD(17,3)=0,U330&gt;0),U330*Assumptions!$B$59,0)</f>
        <v>0</v>
      </c>
      <c r="V331" s="56" t="n">
        <f aca="false">IF(AND(MOD(18,3)=0,V330&gt;0),V330*Assumptions!$B$59,0)</f>
        <v>34578.6430044343</v>
      </c>
      <c r="W331" s="56" t="n">
        <f aca="false">IF(AND(MOD(19,3)=0,W330&gt;0),W330*Assumptions!$B$59,0)</f>
        <v>0</v>
      </c>
      <c r="X331" s="56" t="n">
        <f aca="false">IF(AND(MOD(20,3)=0,X330&gt;0),X330*Assumptions!$B$59,0)</f>
        <v>0</v>
      </c>
      <c r="Y331" s="56" t="n">
        <f aca="false">IF(AND(MOD(21,3)=0,Y330&gt;0),Y330*Assumptions!$B$59,0)</f>
        <v>39186.9314921005</v>
      </c>
      <c r="Z331" s="56" t="n">
        <f aca="false">IF(AND(MOD(22,3)=0,Z330&gt;0),Z330*Assumptions!$B$59,0)</f>
        <v>0</v>
      </c>
      <c r="AA331" s="56" t="n">
        <f aca="false">IF(AND(MOD(23,3)=0,AA330&gt;0),AA330*Assumptions!$B$59,0)</f>
        <v>0</v>
      </c>
      <c r="AB331" s="56" t="n">
        <f aca="false">IF(AND(MOD(24,3)=0,AB330&gt;0),AB330*Assumptions!$B$59,0)</f>
        <v>40656.4414230543</v>
      </c>
      <c r="AC331" s="56" t="n">
        <f aca="false">IF(AND(MOD(25,3)=0,AC330&gt;0),AC330*Assumptions!$B$59,0)</f>
        <v>0</v>
      </c>
      <c r="AD331" s="56" t="n">
        <f aca="false">IF(AND(MOD(26,3)=0,AD330&gt;0),AD330*Assumptions!$B$59,0)</f>
        <v>0</v>
      </c>
      <c r="AE331" s="56" t="n">
        <f aca="false">IF(AND(MOD(27,3)=0,AE330&gt;0),AE330*Assumptions!$B$59,0)</f>
        <v>75296.9517264189</v>
      </c>
      <c r="AF331" s="56" t="n">
        <f aca="false">IF(AND(MOD(28,3)=0,AF330&gt;0),AF330*Assumptions!$B$59,0)</f>
        <v>0</v>
      </c>
      <c r="AG331" s="56" t="n">
        <f aca="false">IF(AND(MOD(29,3)=0,AG330&gt;0),AG330*Assumptions!$B$59,0)</f>
        <v>0</v>
      </c>
      <c r="AH331" s="56" t="n">
        <f aca="false">IF(AND(MOD(30,3)=0,AH330&gt;0),AH330*Assumptions!$B$59,0)</f>
        <v>10620.5874161596</v>
      </c>
      <c r="AI331" s="56" t="n">
        <f aca="false">IF(AND(MOD(31,3)=0,AI330&gt;0),AI330*Assumptions!$B$59,0)</f>
        <v>0</v>
      </c>
      <c r="AJ331" s="56" t="n">
        <f aca="false">IF(AND(MOD(32,3)=0,AJ330&gt;0),AJ330*Assumptions!$B$59,0)</f>
        <v>0</v>
      </c>
      <c r="AK331" s="56" t="n">
        <f aca="false">IF(AND(MOD(33,3)=0,AK330&gt;0),AK330*Assumptions!$B$59,0)</f>
        <v>11018.8594442655</v>
      </c>
      <c r="AL331" s="56" t="n">
        <f aca="false">IF(AND(MOD(34,3)=0,AL330&gt;0),AL330*Assumptions!$B$59,0)</f>
        <v>0</v>
      </c>
      <c r="AM331" s="56" t="n">
        <f aca="false">IF(AND(MOD(35,3)=0,AM330&gt;0),AM330*Assumptions!$B$59,0)</f>
        <v>0</v>
      </c>
      <c r="AN331" s="56" t="n">
        <f aca="false">IF(AND(MOD(36,3)=0,AN330&gt;0),AN330*Assumptions!$B$59,0)</f>
        <v>11432.0666734255</v>
      </c>
      <c r="AO331" s="56" t="n">
        <f aca="false">IF(AND(MOD(37,3)=0,AO330&gt;0),AO330*Assumptions!$B$59,0)</f>
        <v>0</v>
      </c>
      <c r="AP331" s="56" t="n">
        <f aca="false">IF(AND(MOD(38,3)=0,AP330&gt;0),AP330*Assumptions!$B$59,0)</f>
        <v>0</v>
      </c>
      <c r="AQ331" s="56" t="n">
        <f aca="false">IF(AND(MOD(39,3)=0,AQ330&gt;0),AQ330*Assumptions!$B$59,0)</f>
        <v>11860.769173679</v>
      </c>
      <c r="AR331" s="56" t="n">
        <f aca="false">IF(AND(MOD(40,3)=0,AR330&gt;0),AR330*Assumptions!$B$59,0)</f>
        <v>0</v>
      </c>
      <c r="AS331" s="56" t="n">
        <f aca="false">IF(AND(MOD(41,3)=0,AS330&gt;0),AS330*Assumptions!$B$59,0)</f>
        <v>0</v>
      </c>
      <c r="AT331" s="56" t="n">
        <f aca="false">IF(AND(MOD(42,3)=0,AT330&gt;0),AT330*Assumptions!$B$59,0)</f>
        <v>12305.5480176919</v>
      </c>
      <c r="AU331" s="56" t="n">
        <f aca="false">IF(AND(MOD(43,3)=0,AU330&gt;0),AU330*Assumptions!$B$59,0)</f>
        <v>0</v>
      </c>
      <c r="AV331" s="56" t="n">
        <f aca="false">IF(AND(MOD(44,3)=0,AV330&gt;0),AV330*Assumptions!$B$59,0)</f>
        <v>0</v>
      </c>
      <c r="AW331" s="56" t="n">
        <f aca="false">IF(AND(MOD(45,3)=0,AW330&gt;0),AW330*Assumptions!$B$59,0)</f>
        <v>12767.0060683554</v>
      </c>
      <c r="AX331" s="56" t="n">
        <f aca="false">IF(AND(MOD(46,3)=0,AX330&gt;0),AX330*Assumptions!$B$59,0)</f>
        <v>0</v>
      </c>
      <c r="AY331" s="56" t="n">
        <f aca="false">IF(AND(MOD(47,3)=0,AY330&gt;0),AY330*Assumptions!$B$59,0)</f>
        <v>0</v>
      </c>
      <c r="AZ331" s="56" t="n">
        <f aca="false">IF(AND(MOD(48,3)=0,AZ330&gt;0),AZ330*Assumptions!$B$59,0)</f>
        <v>13245.7687959187</v>
      </c>
      <c r="BA331" s="56" t="n">
        <f aca="false">IF(AND(MOD(49,3)=0,BA330&gt;0),BA330*Assumptions!$B$59,0)</f>
        <v>0</v>
      </c>
      <c r="BB331" s="56" t="n">
        <f aca="false">IF(AND(MOD(50,3)=0,BB330&gt;0),BB330*Assumptions!$B$59,0)</f>
        <v>0</v>
      </c>
      <c r="BC331" s="56" t="n">
        <f aca="false">IF(AND(MOD(51,3)=0,BC330&gt;0),BC330*Assumptions!$B$59,0)</f>
        <v>13742.4851257656</v>
      </c>
      <c r="BD331" s="56" t="n">
        <f aca="false">IF(AND(MOD(52,3)=0,BD330&gt;0),BD330*Assumptions!$B$59,0)</f>
        <v>0</v>
      </c>
      <c r="BE331" s="56" t="n">
        <f aca="false">IF(AND(MOD(53,3)=0,BE330&gt;0),BE330*Assumptions!$B$59,0)</f>
        <v>0</v>
      </c>
      <c r="BF331" s="56" t="n">
        <f aca="false">IF(AND(MOD(54,3)=0,BF330&gt;0),BF330*Assumptions!$B$59,0)</f>
        <v>14257.8283179818</v>
      </c>
      <c r="BG331" s="56" t="n">
        <f aca="false">IF(AND(MOD(55,3)=0,BG330&gt;0),BG330*Assumptions!$B$59,0)</f>
        <v>0</v>
      </c>
      <c r="BH331" s="56" t="n">
        <f aca="false">IF(AND(MOD(56,3)=0,BH330&gt;0),BH330*Assumptions!$B$59,0)</f>
        <v>0</v>
      </c>
      <c r="BI331" s="56" t="n">
        <f aca="false">IF(AND(MOD(57,3)=0,BI330&gt;0),BI330*Assumptions!$B$59,0)</f>
        <v>14792.4968799062</v>
      </c>
      <c r="BJ331" s="56" t="n">
        <f aca="false">IF(AND(MOD(58,3)=0,BJ330&gt;0),BJ330*Assumptions!$B$59,0)</f>
        <v>0</v>
      </c>
      <c r="BK331" s="56" t="n">
        <f aca="false">IF(AND(MOD(59,3)=0,BK330&gt;0),BK330*Assumptions!$B$59,0)</f>
        <v>0</v>
      </c>
      <c r="BL331" s="56" t="n">
        <f aca="false">IF(AND(MOD(60,3)=0,BL330&gt;0),BL330*Assumptions!$B$59,0)</f>
        <v>15347.2155129026</v>
      </c>
      <c r="BM331" s="56" t="n">
        <f aca="false">IF(AND(MOD(61,3)=0,BM330&gt;0),BM330*Assumptions!$B$59,0)</f>
        <v>0</v>
      </c>
      <c r="BN331" s="56" t="n">
        <f aca="false">IF(AND(MOD(62,3)=0,BN330&gt;0),BN330*Assumptions!$B$59,0)</f>
        <v>0</v>
      </c>
      <c r="BO331" s="56" t="n">
        <f aca="false">IF(AND(MOD(63,3)=0,BO330&gt;0),BO330*Assumptions!$B$59,0)</f>
        <v>15922.7360946365</v>
      </c>
      <c r="BP331" s="56" t="n">
        <f aca="false">IF(AND(MOD(64,3)=0,BP330&gt;0),BP330*Assumptions!$B$59,0)</f>
        <v>0</v>
      </c>
      <c r="BQ331" s="56" t="n">
        <f aca="false">IF(AND(MOD(65,3)=0,BQ330&gt;0),BQ330*Assumptions!$B$59,0)</f>
        <v>0</v>
      </c>
      <c r="BR331" s="56" t="n">
        <f aca="false">IF(AND(MOD(66,3)=0,BR330&gt;0),BR330*Assumptions!$B$59,0)</f>
        <v>16519.8386981854</v>
      </c>
      <c r="BS331" s="56" t="n">
        <f aca="false">IF(AND(MOD(67,3)=0,BS330&gt;0),BS330*Assumptions!$B$59,0)</f>
        <v>0</v>
      </c>
      <c r="BT331" s="56" t="n">
        <f aca="false">IF(AND(MOD(68,3)=0,BT330&gt;0),BT330*Assumptions!$B$59,0)</f>
        <v>0</v>
      </c>
      <c r="BU331" s="56" t="n">
        <f aca="false">IF(AND(MOD(69,3)=0,BU330&gt;0),BU330*Assumptions!$B$59,0)</f>
        <v>17139.3326493673</v>
      </c>
      <c r="BV331" s="56" t="n">
        <f aca="false">IF(AND(MOD(70,3)=0,BV330&gt;0),BV330*Assumptions!$B$59,0)</f>
        <v>0</v>
      </c>
      <c r="BW331" s="56" t="n">
        <f aca="false">IF(AND(MOD(71,3)=0,BW330&gt;0),BW330*Assumptions!$B$59,0)</f>
        <v>0</v>
      </c>
      <c r="BX331" s="56" t="n">
        <f aca="false">IF(AND(MOD(72,3)=0,BX330&gt;0),BX330*Assumptions!$B$59,0)</f>
        <v>17782.0576237186</v>
      </c>
      <c r="BY331" s="56" t="n">
        <f aca="false">IF(AND(MOD(73,3)=0,BY330&gt;0),BY330*Assumptions!$B$59,0)</f>
        <v>0</v>
      </c>
      <c r="BZ331" s="56" t="n">
        <f aca="false">IF(AND(MOD(74,3)=0,BZ330&gt;0),BZ330*Assumptions!$B$59,0)</f>
        <v>0</v>
      </c>
      <c r="CA331" s="56" t="n">
        <f aca="false">IF(AND(MOD(75,3)=0,CA330&gt;0),CA330*Assumptions!$B$59,0)</f>
        <v>18448.884784608</v>
      </c>
      <c r="CB331" s="56" t="n">
        <f aca="false">IF(AND(MOD(76,3)=0,CB330&gt;0),CB330*Assumptions!$B$59,0)</f>
        <v>0</v>
      </c>
      <c r="CC331" s="56" t="n">
        <f aca="false">IF(AND(MOD(77,3)=0,CC330&gt;0),CC330*Assumptions!$B$59,0)</f>
        <v>0</v>
      </c>
      <c r="CD331" s="56" t="n">
        <f aca="false">IF(AND(MOD(78,3)=0,CD330&gt;0),CD330*Assumptions!$B$59,0)</f>
        <v>19140.7179640308</v>
      </c>
      <c r="CE331" s="56" t="n">
        <f aca="false">IF(AND(MOD(79,3)=0,CE330&gt;0),CE330*Assumptions!$B$59,0)</f>
        <v>0</v>
      </c>
      <c r="CF331" s="56" t="n">
        <f aca="false">IF(AND(MOD(80,3)=0,CF330&gt;0),CF330*Assumptions!$B$59,0)</f>
        <v>0</v>
      </c>
      <c r="CG331" s="56" t="n">
        <f aca="false">IF(AND(MOD(81,3)=0,CG330&gt;0),CG330*Assumptions!$B$59,0)</f>
        <v>19858.494887682</v>
      </c>
      <c r="CH331" s="56" t="n">
        <f aca="false">IF(AND(MOD(82,3)=0,CH330&gt;0),CH330*Assumptions!$B$59,0)</f>
        <v>0</v>
      </c>
      <c r="CI331" s="56" t="n">
        <f aca="false">IF(AND(MOD(83,3)=0,CI330&gt;0),CI330*Assumptions!$B$59,0)</f>
        <v>0</v>
      </c>
      <c r="CJ331" s="56" t="n">
        <f aca="false">IF(AND(MOD(84,3)=0,CJ330&gt;0),CJ330*Assumptions!$B$59,0)</f>
        <v>20603.1884459701</v>
      </c>
      <c r="CK331" s="56" t="n">
        <f aca="false">IF(AND(MOD(85,3)=0,CK330&gt;0),CK330*Assumptions!$B$59,0)</f>
        <v>0</v>
      </c>
      <c r="CL331" s="56" t="n">
        <f aca="false">IF(AND(MOD(86,3)=0,CL330&gt;0),CL330*Assumptions!$B$59,0)</f>
        <v>0</v>
      </c>
      <c r="CM331" s="56" t="n">
        <f aca="false">IF(AND(MOD(87,3)=0,CM330&gt;0),CM330*Assumptions!$B$59,0)</f>
        <v>21375.8080126939</v>
      </c>
      <c r="CN331" s="56" t="n">
        <f aca="false">IF(AND(MOD(88,3)=0,CN330&gt;0),CN330*Assumptions!$B$59,0)</f>
        <v>0</v>
      </c>
      <c r="CO331" s="56" t="n">
        <f aca="false">IF(AND(MOD(89,3)=0,CO330&gt;0),CO330*Assumptions!$B$59,0)</f>
        <v>0</v>
      </c>
      <c r="CP331" s="56" t="n">
        <f aca="false">IF(AND(MOD(90,3)=0,CP330&gt;0),CP330*Assumptions!$B$59,0)</f>
        <v>18620.53781317</v>
      </c>
      <c r="CQ331" s="56" t="n">
        <f aca="false">IF(AND(MOD(91,3)=0,CQ330&gt;0),CQ330*Assumptions!$B$59,0)</f>
        <v>0</v>
      </c>
      <c r="CR331" s="56" t="n">
        <f aca="false">IF(AND(MOD(92,3)=0,CR330&gt;0),CR330*Assumptions!$B$59,0)</f>
        <v>0</v>
      </c>
      <c r="CS331" s="56" t="n">
        <f aca="false">IF(AND(MOD(93,3)=0,CS330&gt;0),CS330*Assumptions!$B$59,0)</f>
        <v>11088.8704811638</v>
      </c>
      <c r="CT331" s="56" t="n">
        <f aca="false">IF(AND(MOD(94,3)=0,CT330&gt;0),CT330*Assumptions!$B$59,0)</f>
        <v>0</v>
      </c>
      <c r="CU331" s="56" t="n">
        <f aca="false">IF(AND(MOD(95,3)=0,CU330&gt;0),CU330*Assumptions!$B$59,0)</f>
        <v>0</v>
      </c>
      <c r="CV331" s="56" t="n">
        <f aca="false">IF(AND(MOD(96,3)=0,CV330&gt;0),CV330*Assumptions!$B$59,0)</f>
        <v>3274.76562420749</v>
      </c>
      <c r="CW331" s="56" t="n">
        <f aca="false">IF(AND(MOD(97,3)=0,CW330&gt;0),CW330*Assumptions!$B$59,0)</f>
        <v>0</v>
      </c>
      <c r="CX331" s="56" t="n">
        <f aca="false">IF(AND(MOD(98,3)=0,CX330&gt;0),CX330*Assumptions!$B$59,0)</f>
        <v>0</v>
      </c>
      <c r="CY331" s="56" t="n">
        <f aca="false">IF(AND(MOD(99,3)=0,CY330&gt;0),CY330*Assumptions!$B$59,0)</f>
        <v>0</v>
      </c>
      <c r="CZ331" s="56" t="n">
        <f aca="false">IF(AND(MOD(100,3)=0,CZ330&gt;0),CZ330*Assumptions!$B$59,0)</f>
        <v>0</v>
      </c>
      <c r="DA331" s="56" t="n">
        <f aca="false">IF(AND(MOD(101,3)=0,DA330&gt;0),DA330*Assumptions!$B$59,0)</f>
        <v>0</v>
      </c>
      <c r="DB331" s="56" t="n">
        <f aca="false">IF(AND(MOD(102,3)=0,DB330&gt;0),DB330*Assumptions!$B$59,0)</f>
        <v>0</v>
      </c>
      <c r="DC331" s="56" t="n">
        <f aca="false">IF(AND(MOD(103,3)=0,DC330&gt;0),DC330*Assumptions!$B$59,0)</f>
        <v>0</v>
      </c>
      <c r="DD331" s="56" t="n">
        <f aca="false">IF(AND(MOD(104,3)=0,DD330&gt;0),DD330*Assumptions!$B$59,0)</f>
        <v>0</v>
      </c>
      <c r="DE331" s="56" t="n">
        <f aca="false">IF(AND(MOD(105,3)=0,DE330&gt;0),DE330*Assumptions!$B$59,0)</f>
        <v>0</v>
      </c>
    </row>
    <row r="332" customFormat="false" ht="15" hidden="false" customHeight="true" outlineLevel="0" collapsed="false">
      <c r="A332" s="55" t="s">
        <v>167</v>
      </c>
      <c r="B332" s="56"/>
      <c r="C332" s="56"/>
      <c r="D332" s="56"/>
      <c r="E332" s="56" t="n">
        <v>0</v>
      </c>
      <c r="F332" s="56" t="n">
        <v>0</v>
      </c>
      <c r="G332" s="56" t="n">
        <v>0</v>
      </c>
      <c r="H332" s="56" t="n">
        <v>0</v>
      </c>
      <c r="I332" s="56" t="n">
        <v>0</v>
      </c>
      <c r="J332" s="56" t="n">
        <v>0</v>
      </c>
      <c r="K332" s="56" t="n">
        <v>0</v>
      </c>
      <c r="L332" s="56" t="n">
        <v>0</v>
      </c>
      <c r="M332" s="56" t="n">
        <v>0</v>
      </c>
      <c r="N332" s="56" t="n">
        <v>0</v>
      </c>
      <c r="O332" s="56" t="n">
        <v>0</v>
      </c>
      <c r="P332" s="56" t="n">
        <v>0</v>
      </c>
      <c r="Q332" s="56" t="n">
        <v>0</v>
      </c>
      <c r="R332" s="56" t="n">
        <v>0</v>
      </c>
      <c r="S332" s="56" t="n">
        <v>0</v>
      </c>
      <c r="T332" s="56" t="n">
        <v>0</v>
      </c>
      <c r="U332" s="56" t="n">
        <v>0</v>
      </c>
      <c r="V332" s="56" t="n">
        <v>0</v>
      </c>
      <c r="W332" s="56" t="n">
        <v>0</v>
      </c>
      <c r="X332" s="56" t="n">
        <v>0</v>
      </c>
      <c r="Y332" s="56" t="n">
        <v>0</v>
      </c>
      <c r="Z332" s="56" t="n">
        <v>0</v>
      </c>
      <c r="AA332" s="56" t="n">
        <v>0</v>
      </c>
      <c r="AB332" s="56" t="n">
        <v>0</v>
      </c>
      <c r="AC332" s="56" t="n">
        <v>0</v>
      </c>
      <c r="AD332" s="56" t="n">
        <v>0</v>
      </c>
      <c r="AE332" s="56" t="n">
        <f aca="false">IF(Projects!$G$14="Yes",Assumptions!$B$77,0)</f>
        <v>-1800000</v>
      </c>
      <c r="AF332" s="56" t="n">
        <v>0</v>
      </c>
      <c r="AG332" s="56" t="n">
        <v>0</v>
      </c>
      <c r="AH332" s="56" t="n">
        <v>0</v>
      </c>
      <c r="AI332" s="56" t="n">
        <v>0</v>
      </c>
      <c r="AJ332" s="56" t="n">
        <v>0</v>
      </c>
      <c r="AK332" s="56" t="n">
        <v>0</v>
      </c>
      <c r="AL332" s="56" t="n">
        <v>0</v>
      </c>
      <c r="AM332" s="56" t="n">
        <v>0</v>
      </c>
      <c r="AN332" s="56" t="n">
        <v>0</v>
      </c>
      <c r="AO332" s="56" t="n">
        <v>0</v>
      </c>
      <c r="AP332" s="56" t="n">
        <v>0</v>
      </c>
      <c r="AQ332" s="56" t="n">
        <v>0</v>
      </c>
      <c r="AR332" s="56" t="n">
        <v>0</v>
      </c>
      <c r="AS332" s="56" t="n">
        <v>0</v>
      </c>
      <c r="AT332" s="56" t="n">
        <v>0</v>
      </c>
      <c r="AU332" s="56" t="n">
        <v>0</v>
      </c>
      <c r="AV332" s="56" t="n">
        <v>0</v>
      </c>
      <c r="AW332" s="56" t="n">
        <v>0</v>
      </c>
      <c r="AX332" s="56" t="n">
        <v>0</v>
      </c>
      <c r="AY332" s="56" t="n">
        <v>0</v>
      </c>
      <c r="AZ332" s="56" t="n">
        <v>0</v>
      </c>
      <c r="BA332" s="56" t="n">
        <v>0</v>
      </c>
      <c r="BB332" s="56" t="n">
        <v>0</v>
      </c>
      <c r="BC332" s="56" t="n">
        <v>0</v>
      </c>
      <c r="BD332" s="56" t="n">
        <v>0</v>
      </c>
      <c r="BE332" s="56" t="n">
        <v>0</v>
      </c>
      <c r="BF332" s="56" t="n">
        <v>0</v>
      </c>
      <c r="BG332" s="56" t="n">
        <v>0</v>
      </c>
      <c r="BH332" s="56" t="n">
        <v>0</v>
      </c>
      <c r="BI332" s="56" t="n">
        <v>0</v>
      </c>
      <c r="BJ332" s="56" t="n">
        <v>0</v>
      </c>
      <c r="BK332" s="56" t="n">
        <v>0</v>
      </c>
      <c r="BL332" s="56" t="n">
        <v>0</v>
      </c>
      <c r="BM332" s="56" t="n">
        <v>0</v>
      </c>
      <c r="BN332" s="56" t="n">
        <v>0</v>
      </c>
      <c r="BO332" s="56" t="n">
        <v>0</v>
      </c>
      <c r="BP332" s="56" t="n">
        <v>0</v>
      </c>
      <c r="BQ332" s="56" t="n">
        <v>0</v>
      </c>
      <c r="BR332" s="56" t="n">
        <v>0</v>
      </c>
      <c r="BS332" s="56" t="n">
        <v>0</v>
      </c>
      <c r="BT332" s="56" t="n">
        <v>0</v>
      </c>
      <c r="BU332" s="56" t="n">
        <v>0</v>
      </c>
      <c r="BV332" s="56" t="n">
        <v>0</v>
      </c>
      <c r="BW332" s="56" t="n">
        <v>0</v>
      </c>
      <c r="BX332" s="56" t="n">
        <v>0</v>
      </c>
      <c r="BY332" s="56" t="n">
        <v>0</v>
      </c>
      <c r="BZ332" s="56" t="n">
        <v>0</v>
      </c>
      <c r="CA332" s="56" t="n">
        <v>0</v>
      </c>
      <c r="CB332" s="56" t="n">
        <v>0</v>
      </c>
      <c r="CC332" s="56" t="n">
        <v>0</v>
      </c>
      <c r="CD332" s="56" t="n">
        <v>0</v>
      </c>
      <c r="CE332" s="56" t="n">
        <v>0</v>
      </c>
      <c r="CF332" s="56" t="n">
        <v>0</v>
      </c>
      <c r="CG332" s="56" t="n">
        <v>0</v>
      </c>
      <c r="CH332" s="56" t="n">
        <v>0</v>
      </c>
      <c r="CI332" s="56" t="n">
        <v>0</v>
      </c>
      <c r="CJ332" s="56" t="n">
        <v>0</v>
      </c>
      <c r="CK332" s="56" t="n">
        <v>0</v>
      </c>
      <c r="CL332" s="56" t="n">
        <v>0</v>
      </c>
      <c r="CM332" s="56" t="n">
        <v>0</v>
      </c>
      <c r="CN332" s="56" t="n">
        <v>0</v>
      </c>
      <c r="CO332" s="56" t="n">
        <v>0</v>
      </c>
      <c r="CP332" s="56" t="n">
        <v>0</v>
      </c>
      <c r="CQ332" s="56" t="n">
        <v>0</v>
      </c>
      <c r="CR332" s="56" t="n">
        <v>0</v>
      </c>
      <c r="CS332" s="56" t="n">
        <v>0</v>
      </c>
      <c r="CT332" s="56"/>
      <c r="CU332" s="56"/>
      <c r="CV332" s="56"/>
      <c r="CW332" s="56"/>
      <c r="CX332" s="56"/>
      <c r="CY332" s="56"/>
      <c r="CZ332" s="56"/>
      <c r="DA332" s="56"/>
      <c r="DB332" s="56"/>
      <c r="DC332" s="56"/>
      <c r="DD332" s="56"/>
      <c r="DE332" s="56"/>
    </row>
    <row r="333" customFormat="false" ht="15" hidden="false" customHeight="true" outlineLevel="0" collapsed="false">
      <c r="A333" s="57" t="s">
        <v>168</v>
      </c>
      <c r="B333" s="58"/>
      <c r="C333" s="58"/>
      <c r="D333" s="58"/>
      <c r="E333" s="58" t="n">
        <f aca="false">-MIN(E330+E331+E332,MAX(0,E256-Helpers!C26))</f>
        <v>-0</v>
      </c>
      <c r="F333" s="58" t="n">
        <f aca="false">-MIN(F330+F331+F332,MAX(0,F256-Helpers!D26))</f>
        <v>-0</v>
      </c>
      <c r="G333" s="58" t="n">
        <f aca="false">-MIN(G330+G331+G332,MAX(0,G256-Helpers!E26))</f>
        <v>-0</v>
      </c>
      <c r="H333" s="58" t="n">
        <f aca="false">-MIN(H330+H331+H332,MAX(0,H256-Helpers!F26))</f>
        <v>-0</v>
      </c>
      <c r="I333" s="58" t="n">
        <f aca="false">-MIN(I330+I331+I332,MAX(0,I256-Helpers!G26))</f>
        <v>-0</v>
      </c>
      <c r="J333" s="58" t="n">
        <f aca="false">-MIN(J330+J331+J332,MAX(0,J256-Helpers!H26))</f>
        <v>-0</v>
      </c>
      <c r="K333" s="58" t="n">
        <f aca="false">-MIN(K330+K331+K332,MAX(0,K256-Helpers!I26))</f>
        <v>-0</v>
      </c>
      <c r="L333" s="58" t="n">
        <f aca="false">-MIN(L330+L331+L332,MAX(0,L256-Helpers!J26))</f>
        <v>-0</v>
      </c>
      <c r="M333" s="58" t="n">
        <f aca="false">-MIN(M330+M331+M332,MAX(0,M256-Helpers!K26))</f>
        <v>-0</v>
      </c>
      <c r="N333" s="58" t="n">
        <f aca="false">-MIN(N330+N331+N332,MAX(0,N256-Helpers!L26))</f>
        <v>-0</v>
      </c>
      <c r="O333" s="58" t="n">
        <f aca="false">-MIN(O330+O331+O332,MAX(0,O256-Helpers!M26))</f>
        <v>-0</v>
      </c>
      <c r="P333" s="58" t="n">
        <f aca="false">-MIN(P330+P331+P332,MAX(0,P256-Helpers!N26))</f>
        <v>-0</v>
      </c>
      <c r="Q333" s="58" t="n">
        <f aca="false">-MIN(Q330+Q331+Q332,MAX(0,Q256-Helpers!O26))</f>
        <v>-0</v>
      </c>
      <c r="R333" s="58" t="n">
        <f aca="false">-MIN(R330+R331+R332,MAX(0,R256-Helpers!P26))</f>
        <v>-0</v>
      </c>
      <c r="S333" s="58" t="n">
        <f aca="false">-MIN(S330+S331+S332,MAX(0,S256-Helpers!Q26))</f>
        <v>-0</v>
      </c>
      <c r="T333" s="58" t="n">
        <f aca="false">-MIN(T330+T331+T332,MAX(0,T256-Helpers!R26))</f>
        <v>-0</v>
      </c>
      <c r="U333" s="58" t="n">
        <f aca="false">-MIN(U330+U331+U332,MAX(0,U256-Helpers!S26))</f>
        <v>-0</v>
      </c>
      <c r="V333" s="58" t="n">
        <f aca="false">-MIN(V330+V331+V332,MAX(0,V256-Helpers!T26))</f>
        <v>-0</v>
      </c>
      <c r="W333" s="58" t="n">
        <f aca="false">-MIN(W330+W331+W332,MAX(0,W256-Helpers!U26))</f>
        <v>-0</v>
      </c>
      <c r="X333" s="58" t="n">
        <f aca="false">-MIN(X330+X331+X332,MAX(0,X256-Helpers!V26))</f>
        <v>-0</v>
      </c>
      <c r="Y333" s="58" t="n">
        <f aca="false">-MIN(Y330+Y331+Y332,MAX(0,Y256-Helpers!W26))</f>
        <v>-0</v>
      </c>
      <c r="Z333" s="58" t="n">
        <f aca="false">-MIN(Z330+Z331+Z332,MAX(0,Z256-Helpers!X26))</f>
        <v>-0</v>
      </c>
      <c r="AA333" s="58" t="n">
        <f aca="false">-MIN(AA330+AA331+AA332,MAX(0,AA256-Helpers!Y26))</f>
        <v>-0</v>
      </c>
      <c r="AB333" s="58" t="n">
        <f aca="false">-MIN(AB330+AB331+AB332,MAX(0,AB256-Helpers!Z26))</f>
        <v>-0</v>
      </c>
      <c r="AC333" s="58" t="n">
        <f aca="false">-MIN(AC330+AC331+AC332,MAX(0,AC256-Helpers!AA26))</f>
        <v>-0</v>
      </c>
      <c r="AD333" s="58" t="n">
        <f aca="false">-MIN(AD330+AD331+AD332,MAX(0,AD256-Helpers!AB26))</f>
        <v>-0</v>
      </c>
      <c r="AE333" s="58" t="n">
        <f aca="false">-MIN(AE330+AE331+AE332,MAX(0,AE256-Helpers!AC26))</f>
        <v>-0</v>
      </c>
      <c r="AF333" s="58" t="n">
        <f aca="false">-MIN(AF330+AF331+AF332,MAX(0,AF256-Helpers!AD26))</f>
        <v>-0</v>
      </c>
      <c r="AG333" s="58" t="n">
        <f aca="false">-MIN(AG330+AG331+AG332,MAX(0,AG256-Helpers!AE26))</f>
        <v>-0</v>
      </c>
      <c r="AH333" s="58" t="n">
        <f aca="false">-MIN(AH330+AH331+AH332,MAX(0,AH256-Helpers!AF26))</f>
        <v>-0</v>
      </c>
      <c r="AI333" s="58" t="n">
        <f aca="false">-MIN(AI330+AI331+AI332,MAX(0,AI256-Helpers!AG26))</f>
        <v>-0</v>
      </c>
      <c r="AJ333" s="58" t="n">
        <f aca="false">-MIN(AJ330+AJ331+AJ332,MAX(0,AJ256-Helpers!AH26))</f>
        <v>-0</v>
      </c>
      <c r="AK333" s="58" t="n">
        <f aca="false">-MIN(AK330+AK331+AK332,MAX(0,AK256-Helpers!AI26))</f>
        <v>-0</v>
      </c>
      <c r="AL333" s="58" t="n">
        <f aca="false">-MIN(AL330+AL331+AL332,MAX(0,AL256-Helpers!AJ26))</f>
        <v>-0</v>
      </c>
      <c r="AM333" s="58" t="n">
        <f aca="false">-MIN(AM330+AM331+AM332,MAX(0,AM256-Helpers!AK26))</f>
        <v>-0</v>
      </c>
      <c r="AN333" s="58" t="n">
        <f aca="false">-MIN(AN330+AN331+AN332,MAX(0,AN256-Helpers!AL26))</f>
        <v>-0</v>
      </c>
      <c r="AO333" s="58" t="n">
        <f aca="false">-MIN(AO330+AO331+AO332,MAX(0,AO256-Helpers!AM26))</f>
        <v>-0</v>
      </c>
      <c r="AP333" s="58" t="n">
        <f aca="false">-MIN(AP330+AP331+AP332,MAX(0,AP256-Helpers!AN26))</f>
        <v>-0</v>
      </c>
      <c r="AQ333" s="58" t="n">
        <f aca="false">-MIN(AQ330+AQ331+AQ332,MAX(0,AQ256-Helpers!AO26))</f>
        <v>-0</v>
      </c>
      <c r="AR333" s="58" t="n">
        <f aca="false">-MIN(AR330+AR331+AR332,MAX(0,AR256-Helpers!AP26))</f>
        <v>-0</v>
      </c>
      <c r="AS333" s="58" t="n">
        <f aca="false">-MIN(AS330+AS331+AS332,MAX(0,AS256-Helpers!AQ26))</f>
        <v>-0</v>
      </c>
      <c r="AT333" s="58" t="n">
        <f aca="false">-MIN(AT330+AT331+AT332,MAX(0,AT256-Helpers!AR26))</f>
        <v>-0</v>
      </c>
      <c r="AU333" s="58" t="n">
        <f aca="false">-MIN(AU330+AU331+AU332,MAX(0,AU256-Helpers!AS26))</f>
        <v>-0</v>
      </c>
      <c r="AV333" s="58" t="n">
        <f aca="false">-MIN(AV330+AV331+AV332,MAX(0,AV256-Helpers!AT26))</f>
        <v>-0</v>
      </c>
      <c r="AW333" s="58" t="n">
        <f aca="false">-MIN(AW330+AW331+AW332,MAX(0,AW256-Helpers!AU26))</f>
        <v>-0</v>
      </c>
      <c r="AX333" s="58" t="n">
        <f aca="false">-MIN(AX330+AX331+AX332,MAX(0,AX256-Helpers!AV26))</f>
        <v>-0</v>
      </c>
      <c r="AY333" s="58" t="n">
        <f aca="false">-MIN(AY330+AY331+AY332,MAX(0,AY256-Helpers!AW26))</f>
        <v>-0</v>
      </c>
      <c r="AZ333" s="58" t="n">
        <f aca="false">-MIN(AZ330+AZ331+AZ332,MAX(0,AZ256-Helpers!AX26))</f>
        <v>-0</v>
      </c>
      <c r="BA333" s="58" t="n">
        <f aca="false">-MIN(BA330+BA331+BA332,MAX(0,BA256-Helpers!AY26))</f>
        <v>-0</v>
      </c>
      <c r="BB333" s="58" t="n">
        <f aca="false">-MIN(BB330+BB331+BB332,MAX(0,BB256-Helpers!AZ26))</f>
        <v>-0</v>
      </c>
      <c r="BC333" s="58" t="n">
        <f aca="false">-MIN(BC330+BC331+BC332,MAX(0,BC256-Helpers!BA26))</f>
        <v>-0</v>
      </c>
      <c r="BD333" s="58" t="n">
        <f aca="false">-MIN(BD330+BD331+BD332,MAX(0,BD256-Helpers!BB26))</f>
        <v>-0</v>
      </c>
      <c r="BE333" s="58" t="n">
        <f aca="false">-MIN(BE330+BE331+BE332,MAX(0,BE256-Helpers!BC26))</f>
        <v>-0</v>
      </c>
      <c r="BF333" s="58" t="n">
        <f aca="false">-MIN(BF330+BF331+BF332,MAX(0,BF256-Helpers!BD26))</f>
        <v>-0</v>
      </c>
      <c r="BG333" s="58" t="n">
        <f aca="false">-MIN(BG330+BG331+BG332,MAX(0,BG256-Helpers!BE26))</f>
        <v>-0</v>
      </c>
      <c r="BH333" s="58" t="n">
        <f aca="false">-MIN(BH330+BH331+BH332,MAX(0,BH256-Helpers!BF26))</f>
        <v>-0</v>
      </c>
      <c r="BI333" s="58" t="n">
        <f aca="false">-MIN(BI330+BI331+BI332,MAX(0,BI256-Helpers!BG26))</f>
        <v>-0</v>
      </c>
      <c r="BJ333" s="58" t="n">
        <f aca="false">-MIN(BJ330+BJ331+BJ332,MAX(0,BJ256-Helpers!BH26))</f>
        <v>-0</v>
      </c>
      <c r="BK333" s="58" t="n">
        <f aca="false">-MIN(BK330+BK331+BK332,MAX(0,BK256-Helpers!BI26))</f>
        <v>-0</v>
      </c>
      <c r="BL333" s="58" t="n">
        <f aca="false">-MIN(BL330+BL331+BL332,MAX(0,BL256-Helpers!BJ26))</f>
        <v>-0</v>
      </c>
      <c r="BM333" s="58" t="n">
        <f aca="false">-MIN(BM330+BM331+BM332,MAX(0,BM256-Helpers!BK26))</f>
        <v>-0</v>
      </c>
      <c r="BN333" s="58" t="n">
        <f aca="false">-MIN(BN330+BN331+BN332,MAX(0,BN256-Helpers!BL26))</f>
        <v>-0</v>
      </c>
      <c r="BO333" s="58" t="n">
        <f aca="false">-MIN(BO330+BO331+BO332,MAX(0,BO256-Helpers!BM26))</f>
        <v>-0</v>
      </c>
      <c r="BP333" s="58" t="n">
        <f aca="false">-MIN(BP330+BP331+BP332,MAX(0,BP256-Helpers!BN26))</f>
        <v>-0</v>
      </c>
      <c r="BQ333" s="58" t="n">
        <f aca="false">-MIN(BQ330+BQ331+BQ332,MAX(0,BQ256-Helpers!BO26))</f>
        <v>-0</v>
      </c>
      <c r="BR333" s="58" t="n">
        <f aca="false">-MIN(BR330+BR331+BR332,MAX(0,BR256-Helpers!BP26))</f>
        <v>-0</v>
      </c>
      <c r="BS333" s="58" t="n">
        <f aca="false">-MIN(BS330+BS331+BS332,MAX(0,BS256-Helpers!BQ26))</f>
        <v>-0</v>
      </c>
      <c r="BT333" s="58" t="n">
        <f aca="false">-MIN(BT330+BT331+BT332,MAX(0,BT256-Helpers!BR26))</f>
        <v>-0</v>
      </c>
      <c r="BU333" s="58" t="n">
        <f aca="false">-MIN(BU330+BU331+BU332,MAX(0,BU256-Helpers!BS26))</f>
        <v>-0</v>
      </c>
      <c r="BV333" s="58" t="n">
        <f aca="false">-MIN(BV330+BV331+BV332,MAX(0,BV256-Helpers!BT26))</f>
        <v>-0</v>
      </c>
      <c r="BW333" s="58" t="n">
        <f aca="false">-MIN(BW330+BW331+BW332,MAX(0,BW256-Helpers!BU26))</f>
        <v>-0</v>
      </c>
      <c r="BX333" s="58" t="n">
        <f aca="false">-MIN(BX330+BX331+BX332,MAX(0,BX256-Helpers!BV26))</f>
        <v>-0</v>
      </c>
      <c r="BY333" s="58" t="n">
        <f aca="false">-MIN(BY330+BY331+BY332,MAX(0,BY256-Helpers!BW26))</f>
        <v>-0</v>
      </c>
      <c r="BZ333" s="58" t="n">
        <f aca="false">-MIN(BZ330+BZ331+BZ332,MAX(0,BZ256-Helpers!BX26))</f>
        <v>-0</v>
      </c>
      <c r="CA333" s="58" t="n">
        <f aca="false">-MIN(CA330+CA331+CA332,MAX(0,CA256-Helpers!BY26))</f>
        <v>-0</v>
      </c>
      <c r="CB333" s="58" t="n">
        <f aca="false">-MIN(CB330+CB331+CB332,MAX(0,CB256-Helpers!BZ26))</f>
        <v>-0</v>
      </c>
      <c r="CC333" s="58" t="n">
        <f aca="false">-MIN(CC330+CC331+CC332,MAX(0,CC256-Helpers!CA26))</f>
        <v>-0</v>
      </c>
      <c r="CD333" s="58" t="n">
        <f aca="false">-MIN(CD330+CD331+CD332,MAX(0,CD256-Helpers!CB26))</f>
        <v>-0</v>
      </c>
      <c r="CE333" s="58" t="n">
        <f aca="false">-MIN(CE330+CE331+CE332,MAX(0,CE256-Helpers!CC26))</f>
        <v>-0</v>
      </c>
      <c r="CF333" s="58" t="n">
        <f aca="false">-MIN(CF330+CF331+CF332,MAX(0,CF256-Helpers!CD26))</f>
        <v>-0</v>
      </c>
      <c r="CG333" s="58" t="n">
        <f aca="false">-MIN(CG330+CG331+CG332,MAX(0,CG256-Helpers!CE26))</f>
        <v>-0</v>
      </c>
      <c r="CH333" s="58" t="n">
        <f aca="false">-MIN(CH330+CH331+CH332,MAX(0,CH256-Helpers!CF26))</f>
        <v>-0</v>
      </c>
      <c r="CI333" s="58" t="n">
        <f aca="false">-MIN(CI330+CI331+CI332,MAX(0,CI256-Helpers!CG26))</f>
        <v>-0</v>
      </c>
      <c r="CJ333" s="58" t="n">
        <f aca="false">-MIN(CJ330+CJ331+CJ332,MAX(0,CJ256-Helpers!CH26))</f>
        <v>-0</v>
      </c>
      <c r="CK333" s="58" t="n">
        <f aca="false">-MIN(CK330+CK331+CK332,MAX(0,CK256-Helpers!CI26))</f>
        <v>-0</v>
      </c>
      <c r="CL333" s="58" t="n">
        <f aca="false">-MIN(CL330+CL331+CL332,MAX(0,CL256-Helpers!CJ26))</f>
        <v>-0</v>
      </c>
      <c r="CM333" s="58" t="n">
        <f aca="false">-MIN(CM330+CM331+CM332,MAX(0,CM256-Helpers!CK26))</f>
        <v>-0</v>
      </c>
      <c r="CN333" s="58" t="n">
        <f aca="false">-MIN(CN330+CN331+CN332,MAX(0,CN256-Helpers!CL26))</f>
        <v>-21694.6799999999</v>
      </c>
      <c r="CO333" s="58" t="n">
        <f aca="false">-MIN(CO330+CO331+CO332,MAX(0,CO256-Helpers!CM26))</f>
        <v>-73155</v>
      </c>
      <c r="CP333" s="58" t="n">
        <f aca="false">-MIN(CP330+CP331+CP332,MAX(0,CP256-Helpers!CN26))</f>
        <v>-73155</v>
      </c>
      <c r="CQ333" s="58" t="n">
        <f aca="false">-MIN(CQ330+CQ331+CQ332,MAX(0,CQ256-Helpers!CO26))</f>
        <v>-73155</v>
      </c>
      <c r="CR333" s="58" t="n">
        <f aca="false">-MIN(CR330+CR331+CR332,MAX(0,CR256-Helpers!CP26))</f>
        <v>-73155</v>
      </c>
      <c r="CS333" s="58" t="n">
        <f aca="false">-MIN(CS330+CS331+CS332,MAX(0,CS256-Helpers!CQ26))</f>
        <v>-73155</v>
      </c>
      <c r="CT333" s="58" t="n">
        <f aca="false">-MIN(CT330+CT331+CT332,MAX(0,CT256-Helpers!CR26))</f>
        <v>-73155</v>
      </c>
      <c r="CU333" s="58" t="n">
        <f aca="false">-MIN(CU330+CU331+CU332,MAX(0,CU256-Helpers!CS26))</f>
        <v>-73155</v>
      </c>
      <c r="CV333" s="58" t="n">
        <f aca="false">-MIN(CV330+CV331+CV332,MAX(0,CV256-Helpers!CT26))</f>
        <v>-73155</v>
      </c>
      <c r="CW333" s="58" t="n">
        <f aca="false">-MIN(CW330+CW331+CW332,MAX(0,CW256-Helpers!CU26))</f>
        <v>-17446.8489364072</v>
      </c>
      <c r="CX333" s="58" t="n">
        <f aca="false">-MIN(CX330+CX331+CX332,MAX(0,CX256-Helpers!CV26))</f>
        <v>-0</v>
      </c>
      <c r="CY333" s="58" t="n">
        <f aca="false">-MIN(CY330+CY331+CY332,MAX(0,CY256-Helpers!CW26))</f>
        <v>-0</v>
      </c>
      <c r="CZ333" s="58" t="n">
        <f aca="false">-MIN(CZ330+CZ331+CZ332,MAX(0,CZ256-Helpers!CX26))</f>
        <v>-0</v>
      </c>
      <c r="DA333" s="58" t="n">
        <f aca="false">-MIN(DA330+DA331+DA332,MAX(0,DA256-Helpers!CY26))</f>
        <v>-0</v>
      </c>
      <c r="DB333" s="58" t="n">
        <f aca="false">-MIN(DB330+DB331+DB332,MAX(0,DB256-Helpers!CZ26))</f>
        <v>-0</v>
      </c>
      <c r="DC333" s="58" t="n">
        <f aca="false">-MIN(DC330+DC331+DC332,MAX(0,DC256-Helpers!DA26))</f>
        <v>-0</v>
      </c>
      <c r="DD333" s="58" t="n">
        <f aca="false">-MIN(DD330+DD331+DD332,MAX(0,DD256-Helpers!DB26))</f>
        <v>-0</v>
      </c>
      <c r="DE333" s="58" t="n">
        <f aca="false">-MIN(DE330+DE331+DE332,MAX(0,DE256-Helpers!DC26))</f>
        <v>-0</v>
      </c>
    </row>
    <row r="334" customFormat="false" ht="15" hidden="false" customHeight="true" outlineLevel="0" collapsed="false">
      <c r="A334" s="53" t="s">
        <v>169</v>
      </c>
      <c r="B334" s="54"/>
      <c r="C334" s="54"/>
      <c r="D334" s="54"/>
      <c r="E334" s="54" t="n">
        <f aca="false">MAX(0,E330+E331+E332+E333)</f>
        <v>264927.15</v>
      </c>
      <c r="F334" s="54" t="n">
        <f aca="false">MAX(0,F330+F331+F332+F333)</f>
        <v>264927.15</v>
      </c>
      <c r="G334" s="54" t="n">
        <f aca="false">MAX(0,G330+G331+G332+G333)</f>
        <v>458103.196875</v>
      </c>
      <c r="H334" s="54" t="n">
        <f aca="false">MAX(0,H330+H331+H332+H333)</f>
        <v>458103.196875</v>
      </c>
      <c r="I334" s="54" t="n">
        <f aca="false">MAX(0,I330+I331+I332+I333)</f>
        <v>458103.196875</v>
      </c>
      <c r="J334" s="54" t="n">
        <f aca="false">MAX(0,J330+J331+J332+J333)</f>
        <v>658523.345507813</v>
      </c>
      <c r="K334" s="54" t="n">
        <f aca="false">MAX(0,K330+K331+K332+K333)</f>
        <v>658523.345507813</v>
      </c>
      <c r="L334" s="54" t="n">
        <f aca="false">MAX(0,L330+L331+L332+L333)</f>
        <v>658523.345507813</v>
      </c>
      <c r="M334" s="54" t="n">
        <f aca="false">MAX(0,M330+M331+M332+M333)</f>
        <v>683217.970964355</v>
      </c>
      <c r="N334" s="54" t="n">
        <f aca="false">MAX(0,N330+N331+N332+N333)</f>
        <v>771527.020964355</v>
      </c>
      <c r="O334" s="54" t="n">
        <f aca="false">MAX(0,O330+O331+O332+O333)</f>
        <v>771527.020964355</v>
      </c>
      <c r="P334" s="54" t="n">
        <f aca="false">MAX(0,P330+P331+P332+P333)</f>
        <v>800459.284250519</v>
      </c>
      <c r="Q334" s="54" t="n">
        <f aca="false">MAX(0,Q330+Q331+Q332+Q333)</f>
        <v>800459.284250519</v>
      </c>
      <c r="R334" s="54" t="n">
        <f aca="false">MAX(0,R330+R331+R332+R333)</f>
        <v>800459.284250519</v>
      </c>
      <c r="S334" s="54" t="n">
        <f aca="false">MAX(0,S330+S331+S332+S333)</f>
        <v>922097.146784913</v>
      </c>
      <c r="T334" s="54" t="n">
        <f aca="false">MAX(0,T330+T331+T332+T333)</f>
        <v>922097.146784913</v>
      </c>
      <c r="U334" s="54" t="n">
        <f aca="false">MAX(0,U330+U331+U332+U333)</f>
        <v>922097.146784913</v>
      </c>
      <c r="V334" s="54" t="n">
        <f aca="false">MAX(0,V330+V331+V332+V333)</f>
        <v>956675.789789348</v>
      </c>
      <c r="W334" s="54" t="n">
        <f aca="false">MAX(0,W330+W331+W332+W333)</f>
        <v>956675.789789348</v>
      </c>
      <c r="X334" s="54" t="n">
        <f aca="false">MAX(0,X330+X331+X332+X333)</f>
        <v>956675.789789348</v>
      </c>
      <c r="Y334" s="54" t="n">
        <f aca="false">MAX(0,Y330+Y331+Y332+Y333)</f>
        <v>1084171.77128145</v>
      </c>
      <c r="Z334" s="54" t="n">
        <f aca="false">MAX(0,Z330+Z331+Z332+Z333)</f>
        <v>1084171.77128145</v>
      </c>
      <c r="AA334" s="54" t="n">
        <f aca="false">MAX(0,AA330+AA331+AA332+AA333)</f>
        <v>1084171.77128145</v>
      </c>
      <c r="AB334" s="54" t="n">
        <f aca="false">MAX(0,AB330+AB331+AB332+AB333)</f>
        <v>1124828.2127045</v>
      </c>
      <c r="AC334" s="54" t="n">
        <f aca="false">MAX(0,AC330+AC331+AC332+AC333)</f>
        <v>1124828.2127045</v>
      </c>
      <c r="AD334" s="54" t="n">
        <f aca="false">MAX(0,AD330+AD331+AD332+AD333)</f>
        <v>1124828.2127045</v>
      </c>
      <c r="AE334" s="54" t="n">
        <f aca="false">MAX(0,AE330+AE331+AE332+AE333)</f>
        <v>283215.664430921</v>
      </c>
      <c r="AF334" s="54" t="n">
        <f aca="false">MAX(0,AF330+AF331+AF332+AF333)</f>
        <v>283215.664430921</v>
      </c>
      <c r="AG334" s="54" t="n">
        <f aca="false">MAX(0,AG330+AG331+AG332+AG333)</f>
        <v>283215.664430921</v>
      </c>
      <c r="AH334" s="54" t="n">
        <f aca="false">MAX(0,AH330+AH331+AH332+AH333)</f>
        <v>293836.251847081</v>
      </c>
      <c r="AI334" s="54" t="n">
        <f aca="false">MAX(0,AI330+AI331+AI332+AI333)</f>
        <v>293836.251847081</v>
      </c>
      <c r="AJ334" s="54" t="n">
        <f aca="false">MAX(0,AJ330+AJ331+AJ332+AJ333)</f>
        <v>293836.251847081</v>
      </c>
      <c r="AK334" s="54" t="n">
        <f aca="false">MAX(0,AK330+AK331+AK332+AK333)</f>
        <v>304855.111291347</v>
      </c>
      <c r="AL334" s="54" t="n">
        <f aca="false">MAX(0,AL330+AL331+AL332+AL333)</f>
        <v>304855.111291347</v>
      </c>
      <c r="AM334" s="54" t="n">
        <f aca="false">MAX(0,AM330+AM331+AM332+AM333)</f>
        <v>304855.111291347</v>
      </c>
      <c r="AN334" s="54" t="n">
        <f aca="false">MAX(0,AN330+AN331+AN332+AN333)</f>
        <v>316287.177964772</v>
      </c>
      <c r="AO334" s="54" t="n">
        <f aca="false">MAX(0,AO330+AO331+AO332+AO333)</f>
        <v>316287.177964772</v>
      </c>
      <c r="AP334" s="54" t="n">
        <f aca="false">MAX(0,AP330+AP331+AP332+AP333)</f>
        <v>316287.177964772</v>
      </c>
      <c r="AQ334" s="54" t="n">
        <f aca="false">MAX(0,AQ330+AQ331+AQ332+AQ333)</f>
        <v>328147.947138451</v>
      </c>
      <c r="AR334" s="54" t="n">
        <f aca="false">MAX(0,AR330+AR331+AR332+AR333)</f>
        <v>328147.947138451</v>
      </c>
      <c r="AS334" s="54" t="n">
        <f aca="false">MAX(0,AS330+AS331+AS332+AS333)</f>
        <v>328147.947138451</v>
      </c>
      <c r="AT334" s="54" t="n">
        <f aca="false">MAX(0,AT330+AT331+AT332+AT333)</f>
        <v>340453.495156143</v>
      </c>
      <c r="AU334" s="54" t="n">
        <f aca="false">MAX(0,AU330+AU331+AU332+AU333)</f>
        <v>340453.495156143</v>
      </c>
      <c r="AV334" s="54" t="n">
        <f aca="false">MAX(0,AV330+AV331+AV332+AV333)</f>
        <v>340453.495156143</v>
      </c>
      <c r="AW334" s="54" t="n">
        <f aca="false">MAX(0,AW330+AW331+AW332+AW333)</f>
        <v>353220.501224498</v>
      </c>
      <c r="AX334" s="54" t="n">
        <f aca="false">MAX(0,AX330+AX331+AX332+AX333)</f>
        <v>353220.501224498</v>
      </c>
      <c r="AY334" s="54" t="n">
        <f aca="false">MAX(0,AY330+AY331+AY332+AY333)</f>
        <v>353220.501224498</v>
      </c>
      <c r="AZ334" s="54" t="n">
        <f aca="false">MAX(0,AZ330+AZ331+AZ332+AZ333)</f>
        <v>366466.270020417</v>
      </c>
      <c r="BA334" s="54" t="n">
        <f aca="false">MAX(0,BA330+BA331+BA332+BA333)</f>
        <v>366466.270020417</v>
      </c>
      <c r="BB334" s="54" t="n">
        <f aca="false">MAX(0,BB330+BB331+BB332+BB333)</f>
        <v>366466.270020417</v>
      </c>
      <c r="BC334" s="54" t="n">
        <f aca="false">MAX(0,BC330+BC331+BC332+BC333)</f>
        <v>380208.755146183</v>
      </c>
      <c r="BD334" s="54" t="n">
        <f aca="false">MAX(0,BD330+BD331+BD332+BD333)</f>
        <v>380208.755146183</v>
      </c>
      <c r="BE334" s="54" t="n">
        <f aca="false">MAX(0,BE330+BE331+BE332+BE333)</f>
        <v>380208.755146183</v>
      </c>
      <c r="BF334" s="54" t="n">
        <f aca="false">MAX(0,BF330+BF331+BF332+BF333)</f>
        <v>394466.583464164</v>
      </c>
      <c r="BG334" s="54" t="n">
        <f aca="false">MAX(0,BG330+BG331+BG332+BG333)</f>
        <v>394466.583464164</v>
      </c>
      <c r="BH334" s="54" t="n">
        <f aca="false">MAX(0,BH330+BH331+BH332+BH333)</f>
        <v>394466.583464164</v>
      </c>
      <c r="BI334" s="54" t="n">
        <f aca="false">MAX(0,BI330+BI331+BI332+BI333)</f>
        <v>409259.080344071</v>
      </c>
      <c r="BJ334" s="54" t="n">
        <f aca="false">MAX(0,BJ330+BJ331+BJ332+BJ333)</f>
        <v>409259.080344071</v>
      </c>
      <c r="BK334" s="54" t="n">
        <f aca="false">MAX(0,BK330+BK331+BK332+BK333)</f>
        <v>409259.080344071</v>
      </c>
      <c r="BL334" s="54" t="n">
        <f aca="false">MAX(0,BL330+BL331+BL332+BL333)</f>
        <v>424606.295856973</v>
      </c>
      <c r="BM334" s="54" t="n">
        <f aca="false">MAX(0,BM330+BM331+BM332+BM333)</f>
        <v>424606.295856973</v>
      </c>
      <c r="BN334" s="54" t="n">
        <f aca="false">MAX(0,BN330+BN331+BN332+BN333)</f>
        <v>424606.295856973</v>
      </c>
      <c r="BO334" s="54" t="n">
        <f aca="false">MAX(0,BO330+BO331+BO332+BO333)</f>
        <v>440529.03195161</v>
      </c>
      <c r="BP334" s="54" t="n">
        <f aca="false">MAX(0,BP330+BP331+BP332+BP333)</f>
        <v>440529.03195161</v>
      </c>
      <c r="BQ334" s="54" t="n">
        <f aca="false">MAX(0,BQ330+BQ331+BQ332+BQ333)</f>
        <v>440529.03195161</v>
      </c>
      <c r="BR334" s="54" t="n">
        <f aca="false">MAX(0,BR330+BR331+BR332+BR333)</f>
        <v>457048.870649795</v>
      </c>
      <c r="BS334" s="54" t="n">
        <f aca="false">MAX(0,BS330+BS331+BS332+BS333)</f>
        <v>457048.870649795</v>
      </c>
      <c r="BT334" s="54" t="n">
        <f aca="false">MAX(0,BT330+BT331+BT332+BT333)</f>
        <v>457048.870649795</v>
      </c>
      <c r="BU334" s="54" t="n">
        <f aca="false">MAX(0,BU330+BU331+BU332+BU333)</f>
        <v>474188.203299162</v>
      </c>
      <c r="BV334" s="54" t="n">
        <f aca="false">MAX(0,BV330+BV331+BV332+BV333)</f>
        <v>474188.203299162</v>
      </c>
      <c r="BW334" s="54" t="n">
        <f aca="false">MAX(0,BW330+BW331+BW332+BW333)</f>
        <v>474188.203299162</v>
      </c>
      <c r="BX334" s="54" t="n">
        <f aca="false">MAX(0,BX330+BX331+BX332+BX333)</f>
        <v>491970.260922881</v>
      </c>
      <c r="BY334" s="54" t="n">
        <f aca="false">MAX(0,BY330+BY331+BY332+BY333)</f>
        <v>491970.260922881</v>
      </c>
      <c r="BZ334" s="54" t="n">
        <f aca="false">MAX(0,BZ330+BZ331+BZ332+BZ333)</f>
        <v>491970.260922881</v>
      </c>
      <c r="CA334" s="54" t="n">
        <f aca="false">MAX(0,CA330+CA331+CA332+CA333)</f>
        <v>510419.145707489</v>
      </c>
      <c r="CB334" s="54" t="n">
        <f aca="false">MAX(0,CB330+CB331+CB332+CB333)</f>
        <v>510419.145707489</v>
      </c>
      <c r="CC334" s="54" t="n">
        <f aca="false">MAX(0,CC330+CC331+CC332+CC333)</f>
        <v>510419.145707489</v>
      </c>
      <c r="CD334" s="54" t="n">
        <f aca="false">MAX(0,CD330+CD331+CD332+CD333)</f>
        <v>529559.86367152</v>
      </c>
      <c r="CE334" s="54" t="n">
        <f aca="false">MAX(0,CE330+CE331+CE332+CE333)</f>
        <v>529559.86367152</v>
      </c>
      <c r="CF334" s="54" t="n">
        <f aca="false">MAX(0,CF330+CF331+CF332+CF333)</f>
        <v>529559.86367152</v>
      </c>
      <c r="CG334" s="54" t="n">
        <f aca="false">MAX(0,CG330+CG331+CG332+CG333)</f>
        <v>549418.358559202</v>
      </c>
      <c r="CH334" s="54" t="n">
        <f aca="false">MAX(0,CH330+CH331+CH332+CH333)</f>
        <v>549418.358559202</v>
      </c>
      <c r="CI334" s="54" t="n">
        <f aca="false">MAX(0,CI330+CI331+CI332+CI333)</f>
        <v>549418.358559202</v>
      </c>
      <c r="CJ334" s="54" t="n">
        <f aca="false">MAX(0,CJ330+CJ331+CJ332+CJ333)</f>
        <v>570021.547005172</v>
      </c>
      <c r="CK334" s="54" t="n">
        <f aca="false">MAX(0,CK330+CK331+CK332+CK333)</f>
        <v>570021.547005172</v>
      </c>
      <c r="CL334" s="54" t="n">
        <f aca="false">MAX(0,CL330+CL331+CL332+CL333)</f>
        <v>570021.547005172</v>
      </c>
      <c r="CM334" s="54" t="n">
        <f aca="false">MAX(0,CM330+CM331+CM332+CM333)</f>
        <v>591397.355017866</v>
      </c>
      <c r="CN334" s="54" t="n">
        <f aca="false">MAX(0,CN330+CN331+CN332+CN333)</f>
        <v>569702.675017866</v>
      </c>
      <c r="CO334" s="54" t="n">
        <f aca="false">MAX(0,CO330+CO331+CO332+CO333)</f>
        <v>496547.675017866</v>
      </c>
      <c r="CP334" s="54" t="n">
        <f aca="false">MAX(0,CP330+CP331+CP332+CP333)</f>
        <v>442013.212831036</v>
      </c>
      <c r="CQ334" s="54" t="n">
        <f aca="false">MAX(0,CQ330+CQ331+CQ332+CQ333)</f>
        <v>368858.212831036</v>
      </c>
      <c r="CR334" s="54" t="n">
        <f aca="false">MAX(0,CR330+CR331+CR332+CR333)</f>
        <v>295703.212831036</v>
      </c>
      <c r="CS334" s="54" t="n">
        <f aca="false">MAX(0,CS330+CS331+CS332+CS333)</f>
        <v>233637.0833122</v>
      </c>
      <c r="CT334" s="54" t="n">
        <f aca="false">MAX(0,CT330+CT331+CT332+CT333)</f>
        <v>160482.0833122</v>
      </c>
      <c r="CU334" s="54" t="n">
        <f aca="false">MAX(0,CU330+CU331+CU332+CU333)</f>
        <v>87327.0833121997</v>
      </c>
      <c r="CV334" s="54" t="n">
        <f aca="false">MAX(0,CV330+CV331+CV332+CV333)</f>
        <v>17446.8489364072</v>
      </c>
      <c r="CW334" s="54" t="n">
        <f aca="false">MAX(0,CW330+CW331+CW332+CW333)</f>
        <v>0</v>
      </c>
      <c r="CX334" s="54" t="n">
        <f aca="false">MAX(0,CX330+CX331+CX332+CX333)</f>
        <v>0</v>
      </c>
      <c r="CY334" s="54" t="n">
        <f aca="false">MAX(0,CY330+CY331+CY332+CY333)</f>
        <v>0</v>
      </c>
      <c r="CZ334" s="54" t="n">
        <f aca="false">MAX(0,CZ330+CZ331+CZ332+CZ333)</f>
        <v>0</v>
      </c>
      <c r="DA334" s="54" t="n">
        <f aca="false">MAX(0,DA330+DA331+DA332+DA333)</f>
        <v>0</v>
      </c>
      <c r="DB334" s="54" t="n">
        <f aca="false">MAX(0,DB330+DB331+DB332+DB333)</f>
        <v>0</v>
      </c>
      <c r="DC334" s="54" t="n">
        <f aca="false">MAX(0,DC330+DC331+DC332+DC333)</f>
        <v>0</v>
      </c>
      <c r="DD334" s="54" t="n">
        <f aca="false">MAX(0,DD330+DD331+DD332+DD333)</f>
        <v>0</v>
      </c>
      <c r="DE334" s="54" t="n">
        <f aca="false">MAX(0,DE330+DE331+DE332+DE333)</f>
        <v>0</v>
      </c>
    </row>
    <row r="335" customFormat="false" ht="15" hidden="false" customHeight="true" outlineLevel="0" collapsed="false">
      <c r="A335" s="55" t="s">
        <v>170</v>
      </c>
      <c r="B335" s="56"/>
      <c r="C335" s="56"/>
      <c r="D335" s="56"/>
      <c r="E335" s="56" t="n">
        <f aca="false">IF(Projects!$G$13="Yes",Assumptions!$B$71,0)</f>
        <v>1134000</v>
      </c>
      <c r="F335" s="56" t="n">
        <f aca="false">E339+IF(AND(Projects!$G$13="Yes",2&lt;=Assumptions!$B$73),Assumptions!$B$72,0)</f>
        <v>1184000</v>
      </c>
      <c r="G335" s="56" t="n">
        <f aca="false">F339+IF(AND(Projects!$G$13="Yes",3&lt;=Assumptions!$B$73),Assumptions!$B$72,0)</f>
        <v>1234000</v>
      </c>
      <c r="H335" s="56" t="n">
        <f aca="false">G339+IF(AND(Projects!$G$13="Yes",4&lt;=Assumptions!$B$73),Assumptions!$B$72,0)</f>
        <v>1330275</v>
      </c>
      <c r="I335" s="56" t="n">
        <f aca="false">H339+IF(AND(Projects!$G$13="Yes",5&lt;=Assumptions!$B$73),Assumptions!$B$72,0)</f>
        <v>1380275</v>
      </c>
      <c r="J335" s="56" t="n">
        <f aca="false">I339+IF(AND(Projects!$G$13="Yes",6&lt;=Assumptions!$B$73),Assumptions!$B$72,0)</f>
        <v>1430275</v>
      </c>
      <c r="K335" s="56" t="n">
        <f aca="false">J339+IF(AND(Projects!$G$13="Yes",7&lt;=Assumptions!$B$73),Assumptions!$B$72,0)</f>
        <v>1533910.3125</v>
      </c>
      <c r="L335" s="56" t="n">
        <f aca="false">K339+IF(AND(Projects!$G$13="Yes",8&lt;=Assumptions!$B$73),Assumptions!$B$72,0)</f>
        <v>1583910.3125</v>
      </c>
      <c r="M335" s="56" t="n">
        <f aca="false">L339+IF(AND(Projects!$G$13="Yes",9&lt;=Assumptions!$B$73),Assumptions!$B$72,0)</f>
        <v>1633910.3125</v>
      </c>
      <c r="N335" s="56" t="n">
        <f aca="false">M339+IF(AND(Projects!$G$13="Yes",10&lt;=Assumptions!$B$73),Assumptions!$B$72,0)</f>
        <v>1745181.94921875</v>
      </c>
      <c r="O335" s="56" t="n">
        <f aca="false">N339+IF(AND(Projects!$G$13="Yes",11&lt;=Assumptions!$B$73),Assumptions!$B$72,0)</f>
        <v>1795181.94921875</v>
      </c>
      <c r="P335" s="56" t="n">
        <f aca="false">O339+IF(AND(Projects!$G$13="Yes",12&lt;=Assumptions!$B$73),Assumptions!$B$72,0)</f>
        <v>1845181.94921875</v>
      </c>
      <c r="Q335" s="56" t="n">
        <f aca="false">P339+IF(AND(Projects!$G$13="Yes",13&lt;=Assumptions!$B$73),Assumptions!$B$72,0)</f>
        <v>1964376.27231445</v>
      </c>
      <c r="R335" s="56" t="n">
        <f aca="false">Q339+IF(AND(Projects!$G$13="Yes",14&lt;=Assumptions!$B$73),Assumptions!$B$72,0)</f>
        <v>564376.272314453</v>
      </c>
      <c r="S335" s="56" t="n">
        <f aca="false">R339+IF(AND(Projects!$G$13="Yes",15&lt;=Assumptions!$B$73),Assumptions!$B$72,0)</f>
        <v>564376.272314453</v>
      </c>
      <c r="T335" s="56" t="n">
        <f aca="false">S339+IF(AND(Projects!$G$13="Yes",16&lt;=Assumptions!$B$73),Assumptions!$B$72,0)</f>
        <v>585540.382526245</v>
      </c>
      <c r="U335" s="56" t="n">
        <f aca="false">T339+IF(AND(Projects!$G$13="Yes",17&lt;=Assumptions!$B$73),Assumptions!$B$72,0)</f>
        <v>585540.382526245</v>
      </c>
      <c r="V335" s="56" t="n">
        <f aca="false">U339+IF(AND(Projects!$G$13="Yes",18&lt;=Assumptions!$B$73),Assumptions!$B$72,0)</f>
        <v>585540.382526245</v>
      </c>
      <c r="W335" s="56" t="n">
        <f aca="false">V339+IF(AND(Projects!$G$13="Yes",19&lt;=Assumptions!$B$73),Assumptions!$B$72,0)</f>
        <v>607498.146870979</v>
      </c>
      <c r="X335" s="56" t="n">
        <f aca="false">W339+IF(AND(Projects!$G$13="Yes",20&lt;=Assumptions!$B$73),Assumptions!$B$72,0)</f>
        <v>607498.146870979</v>
      </c>
      <c r="Y335" s="56" t="n">
        <f aca="false">X339+IF(AND(Projects!$G$13="Yes",21&lt;=Assumptions!$B$73),Assumptions!$B$72,0)</f>
        <v>607498.146870979</v>
      </c>
      <c r="Z335" s="56" t="n">
        <f aca="false">Y339+IF(AND(Projects!$G$13="Yes",22&lt;=Assumptions!$B$73),Assumptions!$B$72,0)</f>
        <v>630279.327378641</v>
      </c>
      <c r="AA335" s="56" t="n">
        <f aca="false">Z339+IF(AND(Projects!$G$13="Yes",23&lt;=Assumptions!$B$73),Assumptions!$B$72,0)</f>
        <v>630279.327378641</v>
      </c>
      <c r="AB335" s="56" t="n">
        <f aca="false">AA339+IF(AND(Projects!$G$13="Yes",24&lt;=Assumptions!$B$73),Assumptions!$B$72,0)</f>
        <v>630279.327378641</v>
      </c>
      <c r="AC335" s="56" t="n">
        <f aca="false">AB339+IF(AND(Projects!$G$13="Yes",25&lt;=Assumptions!$B$73),Assumptions!$B$72,0)</f>
        <v>653914.80215534</v>
      </c>
      <c r="AD335" s="56" t="n">
        <f aca="false">AC339+IF(AND(Projects!$G$13="Yes",26&lt;=Assumptions!$B$73),Assumptions!$B$72,0)</f>
        <v>653914.80215534</v>
      </c>
      <c r="AE335" s="56" t="n">
        <f aca="false">AD339+IF(AND(Projects!$G$13="Yes",27&lt;=Assumptions!$B$73),Assumptions!$B$72,0)</f>
        <v>653914.80215534</v>
      </c>
      <c r="AF335" s="56" t="n">
        <f aca="false">AE339+IF(AND(Projects!$G$13="Yes",28&lt;=Assumptions!$B$73),Assumptions!$B$72,0)</f>
        <v>678436.607236165</v>
      </c>
      <c r="AG335" s="56" t="n">
        <f aca="false">AF339+IF(AND(Projects!$G$13="Yes",29&lt;=Assumptions!$B$73),Assumptions!$B$72,0)</f>
        <v>678436.607236165</v>
      </c>
      <c r="AH335" s="56" t="n">
        <f aca="false">AG339+IF(AND(Projects!$G$13="Yes",30&lt;=Assumptions!$B$73),Assumptions!$B$72,0)</f>
        <v>678436.607236165</v>
      </c>
      <c r="AI335" s="56" t="n">
        <f aca="false">AH339+IF(AND(Projects!$G$13="Yes",31&lt;=Assumptions!$B$73),Assumptions!$B$72,0)</f>
        <v>703877.980007521</v>
      </c>
      <c r="AJ335" s="56" t="n">
        <f aca="false">AI339+IF(AND(Projects!$G$13="Yes",32&lt;=Assumptions!$B$73),Assumptions!$B$72,0)</f>
        <v>703877.980007521</v>
      </c>
      <c r="AK335" s="56" t="n">
        <f aca="false">AJ339+IF(AND(Projects!$G$13="Yes",33&lt;=Assumptions!$B$73),Assumptions!$B$72,0)</f>
        <v>703877.980007521</v>
      </c>
      <c r="AL335" s="56" t="n">
        <f aca="false">AK339+IF(AND(Projects!$G$13="Yes",34&lt;=Assumptions!$B$73),Assumptions!$B$72,0)</f>
        <v>730273.404257803</v>
      </c>
      <c r="AM335" s="56" t="n">
        <f aca="false">AL339+IF(AND(Projects!$G$13="Yes",35&lt;=Assumptions!$B$73),Assumptions!$B$72,0)</f>
        <v>730273.404257803</v>
      </c>
      <c r="AN335" s="56" t="n">
        <f aca="false">AM339+IF(AND(Projects!$G$13="Yes",36&lt;=Assumptions!$B$73),Assumptions!$B$72,0)</f>
        <v>730273.404257803</v>
      </c>
      <c r="AO335" s="56" t="n">
        <f aca="false">AN339+IF(AND(Projects!$G$13="Yes",37&lt;=Assumptions!$B$73),Assumptions!$B$72,0)</f>
        <v>757658.656917471</v>
      </c>
      <c r="AP335" s="56" t="n">
        <f aca="false">AO339+IF(AND(Projects!$G$13="Yes",38&lt;=Assumptions!$B$73),Assumptions!$B$72,0)</f>
        <v>757658.656917471</v>
      </c>
      <c r="AQ335" s="56" t="n">
        <f aca="false">AP339+IF(AND(Projects!$G$13="Yes",39&lt;=Assumptions!$B$73),Assumptions!$B$72,0)</f>
        <v>757658.656917471</v>
      </c>
      <c r="AR335" s="56" t="n">
        <f aca="false">AQ339+IF(AND(Projects!$G$13="Yes",40&lt;=Assumptions!$B$73),Assumptions!$B$72,0)</f>
        <v>786070.856551876</v>
      </c>
      <c r="AS335" s="56" t="n">
        <f aca="false">AR339+IF(AND(Projects!$G$13="Yes",41&lt;=Assumptions!$B$73),Assumptions!$B$72,0)</f>
        <v>786070.856551876</v>
      </c>
      <c r="AT335" s="56" t="n">
        <f aca="false">AS339+IF(AND(Projects!$G$13="Yes",42&lt;=Assumptions!$B$73),Assumptions!$B$72,0)</f>
        <v>786070.856551876</v>
      </c>
      <c r="AU335" s="56" t="n">
        <f aca="false">AT339+IF(AND(Projects!$G$13="Yes",43&lt;=Assumptions!$B$73),Assumptions!$B$72,0)</f>
        <v>815548.513672571</v>
      </c>
      <c r="AV335" s="56" t="n">
        <f aca="false">AU339+IF(AND(Projects!$G$13="Yes",44&lt;=Assumptions!$B$73),Assumptions!$B$72,0)</f>
        <v>815548.513672571</v>
      </c>
      <c r="AW335" s="56" t="n">
        <f aca="false">AV339+IF(AND(Projects!$G$13="Yes",45&lt;=Assumptions!$B$73),Assumptions!$B$72,0)</f>
        <v>815548.513672571</v>
      </c>
      <c r="AX335" s="56" t="n">
        <f aca="false">AW339+IF(AND(Projects!$G$13="Yes",46&lt;=Assumptions!$B$73),Assumptions!$B$72,0)</f>
        <v>846131.582935293</v>
      </c>
      <c r="AY335" s="56" t="n">
        <f aca="false">AX339+IF(AND(Projects!$G$13="Yes",47&lt;=Assumptions!$B$73),Assumptions!$B$72,0)</f>
        <v>846131.582935293</v>
      </c>
      <c r="AZ335" s="56" t="n">
        <f aca="false">AY339+IF(AND(Projects!$G$13="Yes",48&lt;=Assumptions!$B$73),Assumptions!$B$72,0)</f>
        <v>846131.582935293</v>
      </c>
      <c r="BA335" s="56" t="n">
        <f aca="false">AZ339+IF(AND(Projects!$G$13="Yes",49&lt;=Assumptions!$B$73),Assumptions!$B$72,0)</f>
        <v>877861.517295366</v>
      </c>
      <c r="BB335" s="56" t="n">
        <f aca="false">BA339+IF(AND(Projects!$G$13="Yes",50&lt;=Assumptions!$B$73),Assumptions!$B$72,0)</f>
        <v>877861.517295366</v>
      </c>
      <c r="BC335" s="56" t="n">
        <f aca="false">BB339+IF(AND(Projects!$G$13="Yes",51&lt;=Assumptions!$B$73),Assumptions!$B$72,0)</f>
        <v>877861.517295366</v>
      </c>
      <c r="BD335" s="56" t="n">
        <f aca="false">BC339+IF(AND(Projects!$G$13="Yes",52&lt;=Assumptions!$B$73),Assumptions!$B$72,0)</f>
        <v>661610.024193943</v>
      </c>
      <c r="BE335" s="56" t="n">
        <f aca="false">BD339+IF(AND(Projects!$G$13="Yes",53&lt;=Assumptions!$B$73),Assumptions!$B$72,0)</f>
        <v>661610.024193943</v>
      </c>
      <c r="BF335" s="56" t="n">
        <f aca="false">BE339+IF(AND(Projects!$G$13="Yes",54&lt;=Assumptions!$B$73),Assumptions!$B$72,0)</f>
        <v>661610.024193943</v>
      </c>
      <c r="BG335" s="56" t="n">
        <f aca="false">BF339+IF(AND(Projects!$G$13="Yes",55&lt;=Assumptions!$B$73),Assumptions!$B$72,0)</f>
        <v>614720.400101215</v>
      </c>
      <c r="BH335" s="56" t="n">
        <f aca="false">BG339+IF(AND(Projects!$G$13="Yes",56&lt;=Assumptions!$B$73),Assumptions!$B$72,0)</f>
        <v>614720.400101215</v>
      </c>
      <c r="BI335" s="56" t="n">
        <f aca="false">BH339+IF(AND(Projects!$G$13="Yes",57&lt;=Assumptions!$B$73),Assumptions!$B$72,0)</f>
        <v>614720.400101215</v>
      </c>
      <c r="BJ335" s="56" t="n">
        <f aca="false">BI339+IF(AND(Projects!$G$13="Yes",58&lt;=Assumptions!$B$73),Assumptions!$B$72,0)</f>
        <v>566072.415105011</v>
      </c>
      <c r="BK335" s="56" t="n">
        <f aca="false">BJ339+IF(AND(Projects!$G$13="Yes",59&lt;=Assumptions!$B$73),Assumptions!$B$72,0)</f>
        <v>566072.415105011</v>
      </c>
      <c r="BL335" s="56" t="n">
        <f aca="false">BK339+IF(AND(Projects!$G$13="Yes",60&lt;=Assumptions!$B$73),Assumptions!$B$72,0)</f>
        <v>566072.415105011</v>
      </c>
      <c r="BM335" s="56" t="n">
        <f aca="false">BL339+IF(AND(Projects!$G$13="Yes",61&lt;=Assumptions!$B$73),Assumptions!$B$72,0)</f>
        <v>515600.130671449</v>
      </c>
      <c r="BN335" s="56" t="n">
        <f aca="false">BM339+IF(AND(Projects!$G$13="Yes",62&lt;=Assumptions!$B$73),Assumptions!$B$72,0)</f>
        <v>515600.130671449</v>
      </c>
      <c r="BO335" s="56" t="n">
        <f aca="false">BN339+IF(AND(Projects!$G$13="Yes",63&lt;=Assumptions!$B$73),Assumptions!$B$72,0)</f>
        <v>515600.130671449</v>
      </c>
      <c r="BP335" s="56" t="n">
        <f aca="false">BO339+IF(AND(Projects!$G$13="Yes",64&lt;=Assumptions!$B$73),Assumptions!$B$72,0)</f>
        <v>463235.135571628</v>
      </c>
      <c r="BQ335" s="56" t="n">
        <f aca="false">BP339+IF(AND(Projects!$G$13="Yes",65&lt;=Assumptions!$B$73),Assumptions!$B$72,0)</f>
        <v>463235.135571628</v>
      </c>
      <c r="BR335" s="56" t="n">
        <f aca="false">BQ339+IF(AND(Projects!$G$13="Yes",66&lt;=Assumptions!$B$73),Assumptions!$B$72,0)</f>
        <v>463235.135571628</v>
      </c>
      <c r="BS335" s="56" t="n">
        <f aca="false">BR339+IF(AND(Projects!$G$13="Yes",67&lt;=Assumptions!$B$73),Assumptions!$B$72,0)</f>
        <v>405963.453155564</v>
      </c>
      <c r="BT335" s="56" t="n">
        <f aca="false">BS339+IF(AND(Projects!$G$13="Yes",68&lt;=Assumptions!$B$73),Assumptions!$B$72,0)</f>
        <v>405963.453155564</v>
      </c>
      <c r="BU335" s="56" t="n">
        <f aca="false">BT339+IF(AND(Projects!$G$13="Yes",69&lt;=Assumptions!$B$73),Assumptions!$B$72,0)</f>
        <v>405963.453155564</v>
      </c>
      <c r="BV335" s="56" t="n">
        <f aca="false">BU339+IF(AND(Projects!$G$13="Yes",70&lt;=Assumptions!$B$73),Assumptions!$B$72,0)</f>
        <v>346547.082648898</v>
      </c>
      <c r="BW335" s="56" t="n">
        <f aca="false">BV339+IF(AND(Projects!$G$13="Yes",71&lt;=Assumptions!$B$73),Assumptions!$B$72,0)</f>
        <v>346547.082648898</v>
      </c>
      <c r="BX335" s="56" t="n">
        <f aca="false">BW339+IF(AND(Projects!$G$13="Yes",72&lt;=Assumptions!$B$73),Assumptions!$B$72,0)</f>
        <v>346547.082648898</v>
      </c>
      <c r="BY335" s="56" t="n">
        <f aca="false">BX339+IF(AND(Projects!$G$13="Yes",73&lt;=Assumptions!$B$73),Assumptions!$B$72,0)</f>
        <v>284902.598248232</v>
      </c>
      <c r="BZ335" s="56" t="n">
        <f aca="false">BY339+IF(AND(Projects!$G$13="Yes",74&lt;=Assumptions!$B$73),Assumptions!$B$72,0)</f>
        <v>284902.598248232</v>
      </c>
      <c r="CA335" s="56" t="n">
        <f aca="false">BZ339+IF(AND(Projects!$G$13="Yes",75&lt;=Assumptions!$B$73),Assumptions!$B$72,0)</f>
        <v>284902.598248232</v>
      </c>
      <c r="CB335" s="56" t="n">
        <f aca="false">CA339+IF(AND(Projects!$G$13="Yes",76&lt;=Assumptions!$B$73),Assumptions!$B$72,0)</f>
        <v>220946.44568254</v>
      </c>
      <c r="CC335" s="56" t="n">
        <f aca="false">CB339+IF(AND(Projects!$G$13="Yes",77&lt;=Assumptions!$B$73),Assumptions!$B$72,0)</f>
        <v>220946.44568254</v>
      </c>
      <c r="CD335" s="56" t="n">
        <f aca="false">CC339+IF(AND(Projects!$G$13="Yes",78&lt;=Assumptions!$B$73),Assumptions!$B$72,0)</f>
        <v>220946.44568254</v>
      </c>
      <c r="CE335" s="56" t="n">
        <f aca="false">CD339+IF(AND(Projects!$G$13="Yes",79&lt;=Assumptions!$B$73),Assumptions!$B$72,0)</f>
        <v>147868.937395636</v>
      </c>
      <c r="CF335" s="56" t="n">
        <f aca="false">CE339+IF(AND(Projects!$G$13="Yes",80&lt;=Assumptions!$B$73),Assumptions!$B$72,0)</f>
        <v>147868.937395636</v>
      </c>
      <c r="CG335" s="56" t="n">
        <f aca="false">CF339+IF(AND(Projects!$G$13="Yes",81&lt;=Assumptions!$B$73),Assumptions!$B$72,0)</f>
        <v>147868.937395636</v>
      </c>
      <c r="CH335" s="56" t="n">
        <f aca="false">CG339+IF(AND(Projects!$G$13="Yes",82&lt;=Assumptions!$B$73),Assumptions!$B$72,0)</f>
        <v>72052.0225479718</v>
      </c>
      <c r="CI335" s="56" t="n">
        <f aca="false">CH339+IF(AND(Projects!$G$13="Yes",83&lt;=Assumptions!$B$73),Assumptions!$B$72,0)</f>
        <v>72052.0225479718</v>
      </c>
      <c r="CJ335" s="56" t="n">
        <f aca="false">CI339+IF(AND(Projects!$G$13="Yes",84&lt;=Assumptions!$B$73),Assumptions!$B$72,0)</f>
        <v>72052.0225479718</v>
      </c>
      <c r="CK335" s="56" t="n">
        <f aca="false">CJ339+IF(AND(Projects!$G$13="Yes",85&lt;=Assumptions!$B$73),Assumptions!$B$72,0)</f>
        <v>0</v>
      </c>
      <c r="CL335" s="56" t="n">
        <f aca="false">CK339+IF(AND(Projects!$G$13="Yes",86&lt;=Assumptions!$B$73),Assumptions!$B$72,0)</f>
        <v>0</v>
      </c>
      <c r="CM335" s="56" t="n">
        <f aca="false">CL339+IF(AND(Projects!$G$13="Yes",87&lt;=Assumptions!$B$73),Assumptions!$B$72,0)</f>
        <v>0</v>
      </c>
      <c r="CN335" s="56" t="n">
        <f aca="false">CM339+IF(AND(Projects!$G$13="Yes",88&lt;=Assumptions!$B$73),Assumptions!$B$72,0)</f>
        <v>0</v>
      </c>
      <c r="CO335" s="56" t="n">
        <f aca="false">CN339+IF(AND(Projects!$G$13="Yes",89&lt;=Assumptions!$B$73),Assumptions!$B$72,0)</f>
        <v>0</v>
      </c>
      <c r="CP335" s="56" t="n">
        <f aca="false">CO339+IF(AND(Projects!$G$13="Yes",90&lt;=Assumptions!$B$73),Assumptions!$B$72,0)</f>
        <v>0</v>
      </c>
      <c r="CQ335" s="56" t="n">
        <f aca="false">CP339+IF(AND(Projects!$G$13="Yes",91&lt;=Assumptions!$B$73),Assumptions!$B$72,0)</f>
        <v>0</v>
      </c>
      <c r="CR335" s="56" t="n">
        <f aca="false">CQ339+IF(AND(Projects!$G$13="Yes",92&lt;=Assumptions!$B$73),Assumptions!$B$72,0)</f>
        <v>0</v>
      </c>
      <c r="CS335" s="56" t="n">
        <f aca="false">CR339+IF(AND(Projects!$G$13="Yes",93&lt;=Assumptions!$B$73),Assumptions!$B$72,0)</f>
        <v>0</v>
      </c>
      <c r="CT335" s="56" t="n">
        <f aca="false">CS339+IF(AND(Projects!$G$13="Yes",94&lt;=Assumptions!$B$73),Assumptions!$B$72,0)</f>
        <v>0</v>
      </c>
      <c r="CU335" s="56" t="n">
        <f aca="false">CT339+IF(AND(Projects!$G$13="Yes",95&lt;=Assumptions!$B$73),Assumptions!$B$72,0)</f>
        <v>0</v>
      </c>
      <c r="CV335" s="56" t="n">
        <f aca="false">CU339+IF(AND(Projects!$G$13="Yes",96&lt;=Assumptions!$B$73),Assumptions!$B$72,0)</f>
        <v>0</v>
      </c>
      <c r="CW335" s="56" t="n">
        <f aca="false">CV339+IF(AND(Projects!$G$13="Yes",97&lt;=Assumptions!$B$73),Assumptions!$B$72,0)</f>
        <v>0</v>
      </c>
      <c r="CX335" s="56" t="n">
        <f aca="false">CW339+IF(AND(Projects!$G$13="Yes",98&lt;=Assumptions!$B$73),Assumptions!$B$72,0)</f>
        <v>0</v>
      </c>
      <c r="CY335" s="56" t="n">
        <f aca="false">CX339+IF(AND(Projects!$G$13="Yes",99&lt;=Assumptions!$B$73),Assumptions!$B$72,0)</f>
        <v>0</v>
      </c>
      <c r="CZ335" s="56" t="n">
        <f aca="false">CY339+IF(AND(Projects!$G$13="Yes",100&lt;=Assumptions!$B$73),Assumptions!$B$72,0)</f>
        <v>0</v>
      </c>
      <c r="DA335" s="56" t="n">
        <f aca="false">CZ339+IF(AND(Projects!$G$13="Yes",101&lt;=Assumptions!$B$73),Assumptions!$B$72,0)</f>
        <v>0</v>
      </c>
      <c r="DB335" s="56" t="n">
        <f aca="false">DA339+IF(AND(Projects!$G$13="Yes",102&lt;=Assumptions!$B$73),Assumptions!$B$72,0)</f>
        <v>0</v>
      </c>
      <c r="DC335" s="56" t="n">
        <f aca="false">DB339+IF(AND(Projects!$G$13="Yes",103&lt;=Assumptions!$B$73),Assumptions!$B$72,0)</f>
        <v>0</v>
      </c>
      <c r="DD335" s="56" t="n">
        <f aca="false">DC339+IF(AND(Projects!$G$13="Yes",104&lt;=Assumptions!$B$73),Assumptions!$B$72,0)</f>
        <v>0</v>
      </c>
      <c r="DE335" s="56" t="n">
        <f aca="false">DD339+IF(AND(Projects!$G$13="Yes",105&lt;=Assumptions!$B$73),Assumptions!$B$72,0)</f>
        <v>0</v>
      </c>
    </row>
    <row r="336" customFormat="false" ht="15" hidden="false" customHeight="true" outlineLevel="0" collapsed="false">
      <c r="A336" s="55" t="s">
        <v>171</v>
      </c>
      <c r="B336" s="56"/>
      <c r="C336" s="56"/>
      <c r="D336" s="56"/>
      <c r="E336" s="56" t="n">
        <f aca="false">IF(AND(MOD(1,3)=0,E335&gt;0),E335*Assumptions!$B$59,0)</f>
        <v>0</v>
      </c>
      <c r="F336" s="56" t="n">
        <f aca="false">IF(AND(MOD(2,3)=0,F335&gt;0),F335*Assumptions!$B$59,0)</f>
        <v>0</v>
      </c>
      <c r="G336" s="56" t="n">
        <f aca="false">IF(AND(MOD(3,3)=0,G335&gt;0),G335*Assumptions!$B$59,0)</f>
        <v>46275</v>
      </c>
      <c r="H336" s="56" t="n">
        <f aca="false">IF(AND(MOD(4,3)=0,H335&gt;0),H335*Assumptions!$B$59,0)</f>
        <v>0</v>
      </c>
      <c r="I336" s="56" t="n">
        <f aca="false">IF(AND(MOD(5,3)=0,I335&gt;0),I335*Assumptions!$B$59,0)</f>
        <v>0</v>
      </c>
      <c r="J336" s="56" t="n">
        <f aca="false">IF(AND(MOD(6,3)=0,J335&gt;0),J335*Assumptions!$B$59,0)</f>
        <v>53635.3125</v>
      </c>
      <c r="K336" s="56" t="n">
        <f aca="false">IF(AND(MOD(7,3)=0,K335&gt;0),K335*Assumptions!$B$59,0)</f>
        <v>0</v>
      </c>
      <c r="L336" s="56" t="n">
        <f aca="false">IF(AND(MOD(8,3)=0,L335&gt;0),L335*Assumptions!$B$59,0)</f>
        <v>0</v>
      </c>
      <c r="M336" s="56" t="n">
        <f aca="false">IF(AND(MOD(9,3)=0,M335&gt;0),M335*Assumptions!$B$59,0)</f>
        <v>61271.63671875</v>
      </c>
      <c r="N336" s="56" t="n">
        <f aca="false">IF(AND(MOD(10,3)=0,N335&gt;0),N335*Assumptions!$B$59,0)</f>
        <v>0</v>
      </c>
      <c r="O336" s="56" t="n">
        <f aca="false">IF(AND(MOD(11,3)=0,O335&gt;0),O335*Assumptions!$B$59,0)</f>
        <v>0</v>
      </c>
      <c r="P336" s="56" t="n">
        <f aca="false">IF(AND(MOD(12,3)=0,P335&gt;0),P335*Assumptions!$B$59,0)</f>
        <v>69194.3230957031</v>
      </c>
      <c r="Q336" s="56" t="n">
        <f aca="false">IF(AND(MOD(13,3)=0,Q335&gt;0),Q335*Assumptions!$B$59,0)</f>
        <v>0</v>
      </c>
      <c r="R336" s="56" t="n">
        <f aca="false">IF(AND(MOD(14,3)=0,R335&gt;0),R335*Assumptions!$B$59,0)</f>
        <v>0</v>
      </c>
      <c r="S336" s="56" t="n">
        <f aca="false">IF(AND(MOD(15,3)=0,S335&gt;0),S335*Assumptions!$B$59,0)</f>
        <v>21164.110211792</v>
      </c>
      <c r="T336" s="56" t="n">
        <f aca="false">IF(AND(MOD(16,3)=0,T335&gt;0),T335*Assumptions!$B$59,0)</f>
        <v>0</v>
      </c>
      <c r="U336" s="56" t="n">
        <f aca="false">IF(AND(MOD(17,3)=0,U335&gt;0),U335*Assumptions!$B$59,0)</f>
        <v>0</v>
      </c>
      <c r="V336" s="56" t="n">
        <f aca="false">IF(AND(MOD(18,3)=0,V335&gt;0),V335*Assumptions!$B$59,0)</f>
        <v>21957.7643447342</v>
      </c>
      <c r="W336" s="56" t="n">
        <f aca="false">IF(AND(MOD(19,3)=0,W335&gt;0),W335*Assumptions!$B$59,0)</f>
        <v>0</v>
      </c>
      <c r="X336" s="56" t="n">
        <f aca="false">IF(AND(MOD(20,3)=0,X335&gt;0),X335*Assumptions!$B$59,0)</f>
        <v>0</v>
      </c>
      <c r="Y336" s="56" t="n">
        <f aca="false">IF(AND(MOD(21,3)=0,Y335&gt;0),Y335*Assumptions!$B$59,0)</f>
        <v>22781.1805076617</v>
      </c>
      <c r="Z336" s="56" t="n">
        <f aca="false">IF(AND(MOD(22,3)=0,Z335&gt;0),Z335*Assumptions!$B$59,0)</f>
        <v>0</v>
      </c>
      <c r="AA336" s="56" t="n">
        <f aca="false">IF(AND(MOD(23,3)=0,AA335&gt;0),AA335*Assumptions!$B$59,0)</f>
        <v>0</v>
      </c>
      <c r="AB336" s="56" t="n">
        <f aca="false">IF(AND(MOD(24,3)=0,AB335&gt;0),AB335*Assumptions!$B$59,0)</f>
        <v>23635.474776699</v>
      </c>
      <c r="AC336" s="56" t="n">
        <f aca="false">IF(AND(MOD(25,3)=0,AC335&gt;0),AC335*Assumptions!$B$59,0)</f>
        <v>0</v>
      </c>
      <c r="AD336" s="56" t="n">
        <f aca="false">IF(AND(MOD(26,3)=0,AD335&gt;0),AD335*Assumptions!$B$59,0)</f>
        <v>0</v>
      </c>
      <c r="AE336" s="56" t="n">
        <f aca="false">IF(AND(MOD(27,3)=0,AE335&gt;0),AE335*Assumptions!$B$59,0)</f>
        <v>24521.8050808252</v>
      </c>
      <c r="AF336" s="56" t="n">
        <f aca="false">IF(AND(MOD(28,3)=0,AF335&gt;0),AF335*Assumptions!$B$59,0)</f>
        <v>0</v>
      </c>
      <c r="AG336" s="56" t="n">
        <f aca="false">IF(AND(MOD(29,3)=0,AG335&gt;0),AG335*Assumptions!$B$59,0)</f>
        <v>0</v>
      </c>
      <c r="AH336" s="56" t="n">
        <f aca="false">IF(AND(MOD(30,3)=0,AH335&gt;0),AH335*Assumptions!$B$59,0)</f>
        <v>25441.3727713562</v>
      </c>
      <c r="AI336" s="56" t="n">
        <f aca="false">IF(AND(MOD(31,3)=0,AI335&gt;0),AI335*Assumptions!$B$59,0)</f>
        <v>0</v>
      </c>
      <c r="AJ336" s="56" t="n">
        <f aca="false">IF(AND(MOD(32,3)=0,AJ335&gt;0),AJ335*Assumptions!$B$59,0)</f>
        <v>0</v>
      </c>
      <c r="AK336" s="56" t="n">
        <f aca="false">IF(AND(MOD(33,3)=0,AK335&gt;0),AK335*Assumptions!$B$59,0)</f>
        <v>26395.424250282</v>
      </c>
      <c r="AL336" s="56" t="n">
        <f aca="false">IF(AND(MOD(34,3)=0,AL335&gt;0),AL335*Assumptions!$B$59,0)</f>
        <v>0</v>
      </c>
      <c r="AM336" s="56" t="n">
        <f aca="false">IF(AND(MOD(35,3)=0,AM335&gt;0),AM335*Assumptions!$B$59,0)</f>
        <v>0</v>
      </c>
      <c r="AN336" s="56" t="n">
        <f aca="false">IF(AND(MOD(36,3)=0,AN335&gt;0),AN335*Assumptions!$B$59,0)</f>
        <v>27385.2526596676</v>
      </c>
      <c r="AO336" s="56" t="n">
        <f aca="false">IF(AND(MOD(37,3)=0,AO335&gt;0),AO335*Assumptions!$B$59,0)</f>
        <v>0</v>
      </c>
      <c r="AP336" s="56" t="n">
        <f aca="false">IF(AND(MOD(38,3)=0,AP335&gt;0),AP335*Assumptions!$B$59,0)</f>
        <v>0</v>
      </c>
      <c r="AQ336" s="56" t="n">
        <f aca="false">IF(AND(MOD(39,3)=0,AQ335&gt;0),AQ335*Assumptions!$B$59,0)</f>
        <v>28412.1996344052</v>
      </c>
      <c r="AR336" s="56" t="n">
        <f aca="false">IF(AND(MOD(40,3)=0,AR335&gt;0),AR335*Assumptions!$B$59,0)</f>
        <v>0</v>
      </c>
      <c r="AS336" s="56" t="n">
        <f aca="false">IF(AND(MOD(41,3)=0,AS335&gt;0),AS335*Assumptions!$B$59,0)</f>
        <v>0</v>
      </c>
      <c r="AT336" s="56" t="n">
        <f aca="false">IF(AND(MOD(42,3)=0,AT335&gt;0),AT335*Assumptions!$B$59,0)</f>
        <v>29477.6571206954</v>
      </c>
      <c r="AU336" s="56" t="n">
        <f aca="false">IF(AND(MOD(43,3)=0,AU335&gt;0),AU335*Assumptions!$B$59,0)</f>
        <v>0</v>
      </c>
      <c r="AV336" s="56" t="n">
        <f aca="false">IF(AND(MOD(44,3)=0,AV335&gt;0),AV335*Assumptions!$B$59,0)</f>
        <v>0</v>
      </c>
      <c r="AW336" s="56" t="n">
        <f aca="false">IF(AND(MOD(45,3)=0,AW335&gt;0),AW335*Assumptions!$B$59,0)</f>
        <v>30583.0692627214</v>
      </c>
      <c r="AX336" s="56" t="n">
        <f aca="false">IF(AND(MOD(46,3)=0,AX335&gt;0),AX335*Assumptions!$B$59,0)</f>
        <v>0</v>
      </c>
      <c r="AY336" s="56" t="n">
        <f aca="false">IF(AND(MOD(47,3)=0,AY335&gt;0),AY335*Assumptions!$B$59,0)</f>
        <v>0</v>
      </c>
      <c r="AZ336" s="56" t="n">
        <f aca="false">IF(AND(MOD(48,3)=0,AZ335&gt;0),AZ335*Assumptions!$B$59,0)</f>
        <v>31729.9343600735</v>
      </c>
      <c r="BA336" s="56" t="n">
        <f aca="false">IF(AND(MOD(49,3)=0,BA335&gt;0),BA335*Assumptions!$B$59,0)</f>
        <v>0</v>
      </c>
      <c r="BB336" s="56" t="n">
        <f aca="false">IF(AND(MOD(50,3)=0,BB335&gt;0),BB335*Assumptions!$B$59,0)</f>
        <v>0</v>
      </c>
      <c r="BC336" s="56" t="n">
        <f aca="false">IF(AND(MOD(51,3)=0,BC335&gt;0),BC335*Assumptions!$B$59,0)</f>
        <v>32919.8068985762</v>
      </c>
      <c r="BD336" s="56" t="n">
        <f aca="false">IF(AND(MOD(52,3)=0,BD335&gt;0),BD335*Assumptions!$B$59,0)</f>
        <v>0</v>
      </c>
      <c r="BE336" s="56" t="n">
        <f aca="false">IF(AND(MOD(53,3)=0,BE335&gt;0),BE335*Assumptions!$B$59,0)</f>
        <v>0</v>
      </c>
      <c r="BF336" s="56" t="n">
        <f aca="false">IF(AND(MOD(54,3)=0,BF335&gt;0),BF335*Assumptions!$B$59,0)</f>
        <v>24810.3759072728</v>
      </c>
      <c r="BG336" s="56" t="n">
        <f aca="false">IF(AND(MOD(55,3)=0,BG335&gt;0),BG335*Assumptions!$B$59,0)</f>
        <v>0</v>
      </c>
      <c r="BH336" s="56" t="n">
        <f aca="false">IF(AND(MOD(56,3)=0,BH335&gt;0),BH335*Assumptions!$B$59,0)</f>
        <v>0</v>
      </c>
      <c r="BI336" s="56" t="n">
        <f aca="false">IF(AND(MOD(57,3)=0,BI335&gt;0),BI335*Assumptions!$B$59,0)</f>
        <v>23052.0150037956</v>
      </c>
      <c r="BJ336" s="56" t="n">
        <f aca="false">IF(AND(MOD(58,3)=0,BJ335&gt;0),BJ335*Assumptions!$B$59,0)</f>
        <v>0</v>
      </c>
      <c r="BK336" s="56" t="n">
        <f aca="false">IF(AND(MOD(59,3)=0,BK335&gt;0),BK335*Assumptions!$B$59,0)</f>
        <v>0</v>
      </c>
      <c r="BL336" s="56" t="n">
        <f aca="false">IF(AND(MOD(60,3)=0,BL335&gt;0),BL335*Assumptions!$B$59,0)</f>
        <v>21227.7155664379</v>
      </c>
      <c r="BM336" s="56" t="n">
        <f aca="false">IF(AND(MOD(61,3)=0,BM335&gt;0),BM335*Assumptions!$B$59,0)</f>
        <v>0</v>
      </c>
      <c r="BN336" s="56" t="n">
        <f aca="false">IF(AND(MOD(62,3)=0,BN335&gt;0),BN335*Assumptions!$B$59,0)</f>
        <v>0</v>
      </c>
      <c r="BO336" s="56" t="n">
        <f aca="false">IF(AND(MOD(63,3)=0,BO335&gt;0),BO335*Assumptions!$B$59,0)</f>
        <v>19335.0049001793</v>
      </c>
      <c r="BP336" s="56" t="n">
        <f aca="false">IF(AND(MOD(64,3)=0,BP335&gt;0),BP335*Assumptions!$B$59,0)</f>
        <v>0</v>
      </c>
      <c r="BQ336" s="56" t="n">
        <f aca="false">IF(AND(MOD(65,3)=0,BQ335&gt;0),BQ335*Assumptions!$B$59,0)</f>
        <v>0</v>
      </c>
      <c r="BR336" s="56" t="n">
        <f aca="false">IF(AND(MOD(66,3)=0,BR335&gt;0),BR335*Assumptions!$B$59,0)</f>
        <v>17371.3175839361</v>
      </c>
      <c r="BS336" s="56" t="n">
        <f aca="false">IF(AND(MOD(67,3)=0,BS335&gt;0),BS335*Assumptions!$B$59,0)</f>
        <v>0</v>
      </c>
      <c r="BT336" s="56" t="n">
        <f aca="false">IF(AND(MOD(68,3)=0,BT335&gt;0),BT335*Assumptions!$B$59,0)</f>
        <v>0</v>
      </c>
      <c r="BU336" s="56" t="n">
        <f aca="false">IF(AND(MOD(69,3)=0,BU335&gt;0),BU335*Assumptions!$B$59,0)</f>
        <v>15223.6294933337</v>
      </c>
      <c r="BV336" s="56" t="n">
        <f aca="false">IF(AND(MOD(70,3)=0,BV335&gt;0),BV335*Assumptions!$B$59,0)</f>
        <v>0</v>
      </c>
      <c r="BW336" s="56" t="n">
        <f aca="false">IF(AND(MOD(71,3)=0,BW335&gt;0),BW335*Assumptions!$B$59,0)</f>
        <v>0</v>
      </c>
      <c r="BX336" s="56" t="n">
        <f aca="false">IF(AND(MOD(72,3)=0,BX335&gt;0),BX335*Assumptions!$B$59,0)</f>
        <v>12995.5155993337</v>
      </c>
      <c r="BY336" s="56" t="n">
        <f aca="false">IF(AND(MOD(73,3)=0,BY335&gt;0),BY335*Assumptions!$B$59,0)</f>
        <v>0</v>
      </c>
      <c r="BZ336" s="56" t="n">
        <f aca="false">IF(AND(MOD(74,3)=0,BZ335&gt;0),BZ335*Assumptions!$B$59,0)</f>
        <v>0</v>
      </c>
      <c r="CA336" s="56" t="n">
        <f aca="false">IF(AND(MOD(75,3)=0,CA335&gt;0),CA335*Assumptions!$B$59,0)</f>
        <v>10683.8474343087</v>
      </c>
      <c r="CB336" s="56" t="n">
        <f aca="false">IF(AND(MOD(76,3)=0,CB335&gt;0),CB335*Assumptions!$B$59,0)</f>
        <v>0</v>
      </c>
      <c r="CC336" s="56" t="n">
        <f aca="false">IF(AND(MOD(77,3)=0,CC335&gt;0),CC335*Assumptions!$B$59,0)</f>
        <v>0</v>
      </c>
      <c r="CD336" s="56" t="n">
        <f aca="false">IF(AND(MOD(78,3)=0,CD335&gt;0),CD335*Assumptions!$B$59,0)</f>
        <v>8285.49171309526</v>
      </c>
      <c r="CE336" s="56" t="n">
        <f aca="false">IF(AND(MOD(79,3)=0,CE335&gt;0),CE335*Assumptions!$B$59,0)</f>
        <v>0</v>
      </c>
      <c r="CF336" s="56" t="n">
        <f aca="false">IF(AND(MOD(80,3)=0,CF335&gt;0),CF335*Assumptions!$B$59,0)</f>
        <v>0</v>
      </c>
      <c r="CG336" s="56" t="n">
        <f aca="false">IF(AND(MOD(81,3)=0,CG335&gt;0),CG335*Assumptions!$B$59,0)</f>
        <v>5545.08515233633</v>
      </c>
      <c r="CH336" s="56" t="n">
        <f aca="false">IF(AND(MOD(82,3)=0,CH335&gt;0),CH335*Assumptions!$B$59,0)</f>
        <v>0</v>
      </c>
      <c r="CI336" s="56" t="n">
        <f aca="false">IF(AND(MOD(83,3)=0,CI335&gt;0),CI335*Assumptions!$B$59,0)</f>
        <v>0</v>
      </c>
      <c r="CJ336" s="56" t="n">
        <f aca="false">IF(AND(MOD(84,3)=0,CJ335&gt;0),CJ335*Assumptions!$B$59,0)</f>
        <v>2701.95084554894</v>
      </c>
      <c r="CK336" s="56" t="n">
        <f aca="false">IF(AND(MOD(85,3)=0,CK335&gt;0),CK335*Assumptions!$B$59,0)</f>
        <v>0</v>
      </c>
      <c r="CL336" s="56" t="n">
        <f aca="false">IF(AND(MOD(86,3)=0,CL335&gt;0),CL335*Assumptions!$B$59,0)</f>
        <v>0</v>
      </c>
      <c r="CM336" s="56" t="n">
        <f aca="false">IF(AND(MOD(87,3)=0,CM335&gt;0),CM335*Assumptions!$B$59,0)</f>
        <v>0</v>
      </c>
      <c r="CN336" s="56" t="n">
        <f aca="false">IF(AND(MOD(88,3)=0,CN335&gt;0),CN335*Assumptions!$B$59,0)</f>
        <v>0</v>
      </c>
      <c r="CO336" s="56" t="n">
        <f aca="false">IF(AND(MOD(89,3)=0,CO335&gt;0),CO335*Assumptions!$B$59,0)</f>
        <v>0</v>
      </c>
      <c r="CP336" s="56" t="n">
        <f aca="false">IF(AND(MOD(90,3)=0,CP335&gt;0),CP335*Assumptions!$B$59,0)</f>
        <v>0</v>
      </c>
      <c r="CQ336" s="56" t="n">
        <f aca="false">IF(AND(MOD(91,3)=0,CQ335&gt;0),CQ335*Assumptions!$B$59,0)</f>
        <v>0</v>
      </c>
      <c r="CR336" s="56" t="n">
        <f aca="false">IF(AND(MOD(92,3)=0,CR335&gt;0),CR335*Assumptions!$B$59,0)</f>
        <v>0</v>
      </c>
      <c r="CS336" s="56" t="n">
        <f aca="false">IF(AND(MOD(93,3)=0,CS335&gt;0),CS335*Assumptions!$B$59,0)</f>
        <v>0</v>
      </c>
      <c r="CT336" s="56" t="n">
        <f aca="false">IF(AND(MOD(94,3)=0,CT335&gt;0),CT335*Assumptions!$B$59,0)</f>
        <v>0</v>
      </c>
      <c r="CU336" s="56" t="n">
        <f aca="false">IF(AND(MOD(95,3)=0,CU335&gt;0),CU335*Assumptions!$B$59,0)</f>
        <v>0</v>
      </c>
      <c r="CV336" s="56" t="n">
        <f aca="false">IF(AND(MOD(96,3)=0,CV335&gt;0),CV335*Assumptions!$B$59,0)</f>
        <v>0</v>
      </c>
      <c r="CW336" s="56" t="n">
        <f aca="false">IF(AND(MOD(97,3)=0,CW335&gt;0),CW335*Assumptions!$B$59,0)</f>
        <v>0</v>
      </c>
      <c r="CX336" s="56" t="n">
        <f aca="false">IF(AND(MOD(98,3)=0,CX335&gt;0),CX335*Assumptions!$B$59,0)</f>
        <v>0</v>
      </c>
      <c r="CY336" s="56" t="n">
        <f aca="false">IF(AND(MOD(99,3)=0,CY335&gt;0),CY335*Assumptions!$B$59,0)</f>
        <v>0</v>
      </c>
      <c r="CZ336" s="56" t="n">
        <f aca="false">IF(AND(MOD(100,3)=0,CZ335&gt;0),CZ335*Assumptions!$B$59,0)</f>
        <v>0</v>
      </c>
      <c r="DA336" s="56" t="n">
        <f aca="false">IF(AND(MOD(101,3)=0,DA335&gt;0),DA335*Assumptions!$B$59,0)</f>
        <v>0</v>
      </c>
      <c r="DB336" s="56" t="n">
        <f aca="false">IF(AND(MOD(102,3)=0,DB335&gt;0),DB335*Assumptions!$B$59,0)</f>
        <v>0</v>
      </c>
      <c r="DC336" s="56" t="n">
        <f aca="false">IF(AND(MOD(103,3)=0,DC335&gt;0),DC335*Assumptions!$B$59,0)</f>
        <v>0</v>
      </c>
      <c r="DD336" s="56" t="n">
        <f aca="false">IF(AND(MOD(104,3)=0,DD335&gt;0),DD335*Assumptions!$B$59,0)</f>
        <v>0</v>
      </c>
      <c r="DE336" s="56" t="n">
        <f aca="false">IF(AND(MOD(105,3)=0,DE335&gt;0),DE335*Assumptions!$B$59,0)</f>
        <v>0</v>
      </c>
    </row>
    <row r="337" customFormat="false" ht="15" hidden="false" customHeight="true" outlineLevel="0" collapsed="false">
      <c r="A337" s="55" t="s">
        <v>172</v>
      </c>
      <c r="B337" s="56"/>
      <c r="C337" s="56"/>
      <c r="D337" s="56"/>
      <c r="E337" s="56" t="n">
        <v>0</v>
      </c>
      <c r="F337" s="56" t="n">
        <v>0</v>
      </c>
      <c r="G337" s="56" t="n">
        <v>0</v>
      </c>
      <c r="H337" s="56" t="n">
        <v>0</v>
      </c>
      <c r="I337" s="56" t="n">
        <v>0</v>
      </c>
      <c r="J337" s="56" t="n">
        <v>0</v>
      </c>
      <c r="K337" s="56" t="n">
        <v>0</v>
      </c>
      <c r="L337" s="56" t="n">
        <v>0</v>
      </c>
      <c r="M337" s="56" t="n">
        <v>0</v>
      </c>
      <c r="N337" s="56" t="n">
        <v>0</v>
      </c>
      <c r="O337" s="56" t="n">
        <v>0</v>
      </c>
      <c r="P337" s="56" t="n">
        <v>0</v>
      </c>
      <c r="Q337" s="56" t="n">
        <f aca="false">IF(Projects!$G$13="Yes",Assumptions!$B$74,0)</f>
        <v>-1450000</v>
      </c>
      <c r="R337" s="56" t="n">
        <v>0</v>
      </c>
      <c r="S337" s="56" t="n">
        <v>0</v>
      </c>
      <c r="T337" s="56" t="n">
        <v>0</v>
      </c>
      <c r="U337" s="56" t="n">
        <v>0</v>
      </c>
      <c r="V337" s="56" t="n">
        <v>0</v>
      </c>
      <c r="W337" s="56" t="n">
        <v>0</v>
      </c>
      <c r="X337" s="56" t="n">
        <v>0</v>
      </c>
      <c r="Y337" s="56" t="n">
        <v>0</v>
      </c>
      <c r="Z337" s="56" t="n">
        <v>0</v>
      </c>
      <c r="AA337" s="56" t="n">
        <v>0</v>
      </c>
      <c r="AB337" s="56" t="n">
        <v>0</v>
      </c>
      <c r="AC337" s="56" t="n">
        <v>0</v>
      </c>
      <c r="AD337" s="56" t="n">
        <v>0</v>
      </c>
      <c r="AE337" s="56" t="n">
        <v>0</v>
      </c>
      <c r="AF337" s="56" t="n">
        <v>0</v>
      </c>
      <c r="AG337" s="56" t="n">
        <v>0</v>
      </c>
      <c r="AH337" s="56" t="n">
        <v>0</v>
      </c>
      <c r="AI337" s="56" t="n">
        <v>0</v>
      </c>
      <c r="AJ337" s="56" t="n">
        <v>0</v>
      </c>
      <c r="AK337" s="56" t="n">
        <v>0</v>
      </c>
      <c r="AL337" s="56" t="n">
        <v>0</v>
      </c>
      <c r="AM337" s="56" t="n">
        <v>0</v>
      </c>
      <c r="AN337" s="56" t="n">
        <v>0</v>
      </c>
      <c r="AO337" s="56" t="n">
        <v>0</v>
      </c>
      <c r="AP337" s="56" t="n">
        <v>0</v>
      </c>
      <c r="AQ337" s="56" t="n">
        <v>0</v>
      </c>
      <c r="AR337" s="56" t="n">
        <v>0</v>
      </c>
      <c r="AS337" s="56" t="n">
        <v>0</v>
      </c>
      <c r="AT337" s="56" t="n">
        <v>0</v>
      </c>
      <c r="AU337" s="56" t="n">
        <v>0</v>
      </c>
      <c r="AV337" s="56" t="n">
        <v>0</v>
      </c>
      <c r="AW337" s="56" t="n">
        <v>0</v>
      </c>
      <c r="AX337" s="56" t="n">
        <v>0</v>
      </c>
      <c r="AY337" s="56" t="n">
        <v>0</v>
      </c>
      <c r="AZ337" s="56" t="n">
        <v>0</v>
      </c>
      <c r="BA337" s="56" t="n">
        <v>0</v>
      </c>
      <c r="BB337" s="56" t="n">
        <v>0</v>
      </c>
      <c r="BC337" s="56" t="n">
        <v>0</v>
      </c>
      <c r="BD337" s="56" t="n">
        <v>0</v>
      </c>
      <c r="BE337" s="56" t="n">
        <v>0</v>
      </c>
      <c r="BF337" s="56" t="n">
        <v>0</v>
      </c>
      <c r="BG337" s="56" t="n">
        <v>0</v>
      </c>
      <c r="BH337" s="56" t="n">
        <v>0</v>
      </c>
      <c r="BI337" s="56" t="n">
        <v>0</v>
      </c>
      <c r="BJ337" s="56" t="n">
        <v>0</v>
      </c>
      <c r="BK337" s="56" t="n">
        <v>0</v>
      </c>
      <c r="BL337" s="56" t="n">
        <v>0</v>
      </c>
      <c r="BM337" s="56" t="n">
        <v>0</v>
      </c>
      <c r="BN337" s="56" t="n">
        <v>0</v>
      </c>
      <c r="BO337" s="56" t="n">
        <v>0</v>
      </c>
      <c r="BP337" s="56" t="n">
        <v>0</v>
      </c>
      <c r="BQ337" s="56" t="n">
        <v>0</v>
      </c>
      <c r="BR337" s="56" t="n">
        <v>0</v>
      </c>
      <c r="BS337" s="56" t="n">
        <v>0</v>
      </c>
      <c r="BT337" s="56" t="n">
        <v>0</v>
      </c>
      <c r="BU337" s="56" t="n">
        <v>0</v>
      </c>
      <c r="BV337" s="56" t="n">
        <v>0</v>
      </c>
      <c r="BW337" s="56" t="n">
        <v>0</v>
      </c>
      <c r="BX337" s="56" t="n">
        <v>0</v>
      </c>
      <c r="BY337" s="56" t="n">
        <v>0</v>
      </c>
      <c r="BZ337" s="56" t="n">
        <v>0</v>
      </c>
      <c r="CA337" s="56" t="n">
        <v>0</v>
      </c>
      <c r="CB337" s="56" t="n">
        <v>0</v>
      </c>
      <c r="CC337" s="56" t="n">
        <v>0</v>
      </c>
      <c r="CD337" s="56" t="n">
        <v>0</v>
      </c>
      <c r="CE337" s="56" t="n">
        <v>0</v>
      </c>
      <c r="CF337" s="56" t="n">
        <v>0</v>
      </c>
      <c r="CG337" s="56" t="n">
        <v>0</v>
      </c>
      <c r="CH337" s="56" t="n">
        <v>0</v>
      </c>
      <c r="CI337" s="56" t="n">
        <v>0</v>
      </c>
      <c r="CJ337" s="56" t="n">
        <v>0</v>
      </c>
      <c r="CK337" s="56" t="n">
        <v>0</v>
      </c>
      <c r="CL337" s="56" t="n">
        <v>0</v>
      </c>
      <c r="CM337" s="56" t="n">
        <v>0</v>
      </c>
      <c r="CN337" s="56" t="n">
        <v>0</v>
      </c>
      <c r="CO337" s="56" t="n">
        <v>0</v>
      </c>
      <c r="CP337" s="56" t="n">
        <v>0</v>
      </c>
      <c r="CQ337" s="56" t="n">
        <v>0</v>
      </c>
      <c r="CR337" s="56" t="n">
        <v>0</v>
      </c>
      <c r="CS337" s="56" t="n">
        <v>0</v>
      </c>
      <c r="CT337" s="56"/>
      <c r="CU337" s="56"/>
      <c r="CV337" s="56"/>
      <c r="CW337" s="56"/>
      <c r="CX337" s="56"/>
      <c r="CY337" s="56"/>
      <c r="CZ337" s="56"/>
      <c r="DA337" s="56"/>
      <c r="DB337" s="56"/>
      <c r="DC337" s="56"/>
      <c r="DD337" s="56"/>
      <c r="DE337" s="56"/>
    </row>
    <row r="338" customFormat="false" ht="15" hidden="false" customHeight="true" outlineLevel="0" collapsed="false">
      <c r="A338" s="57" t="s">
        <v>173</v>
      </c>
      <c r="B338" s="58"/>
      <c r="C338" s="58"/>
      <c r="D338" s="58"/>
      <c r="E338" s="58" t="n">
        <f aca="false">-MIN(E335+E336+E337,MAX(0,E255-Helpers!C23))</f>
        <v>-0</v>
      </c>
      <c r="F338" s="58" t="n">
        <f aca="false">-MIN(F335+F336+F337,MAX(0,F255-Helpers!D23))</f>
        <v>-0</v>
      </c>
      <c r="G338" s="58" t="n">
        <f aca="false">-MIN(G335+G336+G337,MAX(0,G255-Helpers!E23))</f>
        <v>-0</v>
      </c>
      <c r="H338" s="58" t="n">
        <f aca="false">-MIN(H335+H336+H337,MAX(0,H255-Helpers!F23))</f>
        <v>-0</v>
      </c>
      <c r="I338" s="58" t="n">
        <f aca="false">-MIN(I335+I336+I337,MAX(0,I255-Helpers!G23))</f>
        <v>-0</v>
      </c>
      <c r="J338" s="58" t="n">
        <f aca="false">-MIN(J335+J336+J337,MAX(0,J255-Helpers!H23))</f>
        <v>-0</v>
      </c>
      <c r="K338" s="58" t="n">
        <f aca="false">-MIN(K335+K336+K337,MAX(0,K255-Helpers!I23))</f>
        <v>-0</v>
      </c>
      <c r="L338" s="58" t="n">
        <f aca="false">-MIN(L335+L336+L337,MAX(0,L255-Helpers!J23))</f>
        <v>-0</v>
      </c>
      <c r="M338" s="58" t="n">
        <f aca="false">-MIN(M335+M336+M337,MAX(0,M255-Helpers!K23))</f>
        <v>-0</v>
      </c>
      <c r="N338" s="58" t="n">
        <f aca="false">-MIN(N335+N336+N337,MAX(0,N255-Helpers!L23))</f>
        <v>-0</v>
      </c>
      <c r="O338" s="58" t="n">
        <f aca="false">-MIN(O335+O336+O337,MAX(0,O255-Helpers!M23))</f>
        <v>-0</v>
      </c>
      <c r="P338" s="58" t="n">
        <f aca="false">-MIN(P335+P336+P337,MAX(0,P255-Helpers!N23))</f>
        <v>-0</v>
      </c>
      <c r="Q338" s="58" t="n">
        <f aca="false">-MIN(Q335+Q336+Q337,MAX(0,Q255-Helpers!O23))</f>
        <v>-0</v>
      </c>
      <c r="R338" s="58" t="n">
        <f aca="false">-MIN(R335+R336+R337,MAX(0,R255-Helpers!P23))</f>
        <v>-0</v>
      </c>
      <c r="S338" s="58" t="n">
        <f aca="false">-MIN(S335+S336+S337,MAX(0,S255-Helpers!Q23))</f>
        <v>-0</v>
      </c>
      <c r="T338" s="58" t="n">
        <f aca="false">-MIN(T335+T336+T337,MAX(0,T255-Helpers!R23))</f>
        <v>-0</v>
      </c>
      <c r="U338" s="58" t="n">
        <f aca="false">-MIN(U335+U336+U337,MAX(0,U255-Helpers!S23))</f>
        <v>-0</v>
      </c>
      <c r="V338" s="58" t="n">
        <f aca="false">-MIN(V335+V336+V337,MAX(0,V255-Helpers!T23))</f>
        <v>-0</v>
      </c>
      <c r="W338" s="58" t="n">
        <f aca="false">-MIN(W335+W336+W337,MAX(0,W255-Helpers!U23))</f>
        <v>-0</v>
      </c>
      <c r="X338" s="58" t="n">
        <f aca="false">-MIN(X335+X336+X337,MAX(0,X255-Helpers!V23))</f>
        <v>-0</v>
      </c>
      <c r="Y338" s="58" t="n">
        <f aca="false">-MIN(Y335+Y336+Y337,MAX(0,Y255-Helpers!W23))</f>
        <v>-0</v>
      </c>
      <c r="Z338" s="58" t="n">
        <f aca="false">-MIN(Z335+Z336+Z337,MAX(0,Z255-Helpers!X23))</f>
        <v>-0</v>
      </c>
      <c r="AA338" s="58" t="n">
        <f aca="false">-MIN(AA335+AA336+AA337,MAX(0,AA255-Helpers!Y23))</f>
        <v>-0</v>
      </c>
      <c r="AB338" s="58" t="n">
        <f aca="false">-MIN(AB335+AB336+AB337,MAX(0,AB255-Helpers!Z23))</f>
        <v>-0</v>
      </c>
      <c r="AC338" s="58" t="n">
        <f aca="false">-MIN(AC335+AC336+AC337,MAX(0,AC255-Helpers!AA23))</f>
        <v>-0</v>
      </c>
      <c r="AD338" s="58" t="n">
        <f aca="false">-MIN(AD335+AD336+AD337,MAX(0,AD255-Helpers!AB23))</f>
        <v>-0</v>
      </c>
      <c r="AE338" s="58" t="n">
        <f aca="false">-MIN(AE335+AE336+AE337,MAX(0,AE255-Helpers!AC23))</f>
        <v>-0</v>
      </c>
      <c r="AF338" s="58" t="n">
        <f aca="false">-MIN(AF335+AF336+AF337,MAX(0,AF255-Helpers!AD23))</f>
        <v>-0</v>
      </c>
      <c r="AG338" s="58" t="n">
        <f aca="false">-MIN(AG335+AG336+AG337,MAX(0,AG255-Helpers!AE23))</f>
        <v>-0</v>
      </c>
      <c r="AH338" s="58" t="n">
        <f aca="false">-MIN(AH335+AH336+AH337,MAX(0,AH255-Helpers!AF23))</f>
        <v>-0</v>
      </c>
      <c r="AI338" s="58" t="n">
        <f aca="false">-MIN(AI335+AI336+AI337,MAX(0,AI255-Helpers!AG23))</f>
        <v>-0</v>
      </c>
      <c r="AJ338" s="58" t="n">
        <f aca="false">-MIN(AJ335+AJ336+AJ337,MAX(0,AJ255-Helpers!AH23))</f>
        <v>-0</v>
      </c>
      <c r="AK338" s="58" t="n">
        <f aca="false">-MIN(AK335+AK336+AK337,MAX(0,AK255-Helpers!AI23))</f>
        <v>-0</v>
      </c>
      <c r="AL338" s="58" t="n">
        <f aca="false">-MIN(AL335+AL336+AL337,MAX(0,AL255-Helpers!AJ23))</f>
        <v>-0</v>
      </c>
      <c r="AM338" s="58" t="n">
        <f aca="false">-MIN(AM335+AM336+AM337,MAX(0,AM255-Helpers!AK23))</f>
        <v>-0</v>
      </c>
      <c r="AN338" s="58" t="n">
        <f aca="false">-MIN(AN335+AN336+AN337,MAX(0,AN255-Helpers!AL23))</f>
        <v>-0</v>
      </c>
      <c r="AO338" s="58" t="n">
        <f aca="false">-MIN(AO335+AO336+AO337,MAX(0,AO255-Helpers!AM23))</f>
        <v>-0</v>
      </c>
      <c r="AP338" s="58" t="n">
        <f aca="false">-MIN(AP335+AP336+AP337,MAX(0,AP255-Helpers!AN23))</f>
        <v>-0</v>
      </c>
      <c r="AQ338" s="58" t="n">
        <f aca="false">-MIN(AQ335+AQ336+AQ337,MAX(0,AQ255-Helpers!AO23))</f>
        <v>-0</v>
      </c>
      <c r="AR338" s="58" t="n">
        <f aca="false">-MIN(AR335+AR336+AR337,MAX(0,AR255-Helpers!AP23))</f>
        <v>-0</v>
      </c>
      <c r="AS338" s="58" t="n">
        <f aca="false">-MIN(AS335+AS336+AS337,MAX(0,AS255-Helpers!AQ23))</f>
        <v>-0</v>
      </c>
      <c r="AT338" s="58" t="n">
        <f aca="false">-MIN(AT335+AT336+AT337,MAX(0,AT255-Helpers!AR23))</f>
        <v>-0</v>
      </c>
      <c r="AU338" s="58" t="n">
        <f aca="false">-MIN(AU335+AU336+AU337,MAX(0,AU255-Helpers!AS23))</f>
        <v>-0</v>
      </c>
      <c r="AV338" s="58" t="n">
        <f aca="false">-MIN(AV335+AV336+AV337,MAX(0,AV255-Helpers!AT23))</f>
        <v>-0</v>
      </c>
      <c r="AW338" s="58" t="n">
        <f aca="false">-MIN(AW335+AW336+AW337,MAX(0,AW255-Helpers!AU23))</f>
        <v>-0</v>
      </c>
      <c r="AX338" s="58" t="n">
        <f aca="false">-MIN(AX335+AX336+AX337,MAX(0,AX255-Helpers!AV23))</f>
        <v>-0</v>
      </c>
      <c r="AY338" s="58" t="n">
        <f aca="false">-MIN(AY335+AY336+AY337,MAX(0,AY255-Helpers!AW23))</f>
        <v>-0</v>
      </c>
      <c r="AZ338" s="58" t="n">
        <f aca="false">-MIN(AZ335+AZ336+AZ337,MAX(0,AZ255-Helpers!AX23))</f>
        <v>-0</v>
      </c>
      <c r="BA338" s="58" t="n">
        <f aca="false">-MIN(BA335+BA336+BA337,MAX(0,BA255-Helpers!AY23))</f>
        <v>-0</v>
      </c>
      <c r="BB338" s="58" t="n">
        <f aca="false">-MIN(BB335+BB336+BB337,MAX(0,BB255-Helpers!AZ23))</f>
        <v>-0</v>
      </c>
      <c r="BC338" s="58" t="n">
        <f aca="false">-MIN(BC335+BC336+BC337,MAX(0,BC255-Helpers!BA23))</f>
        <v>-249171.3</v>
      </c>
      <c r="BD338" s="58" t="n">
        <f aca="false">-MIN(BD335+BD336+BD337,MAX(0,BD255-Helpers!BB23))</f>
        <v>-0</v>
      </c>
      <c r="BE338" s="58" t="n">
        <f aca="false">-MIN(BE335+BE336+BE337,MAX(0,BE255-Helpers!BC23))</f>
        <v>-0</v>
      </c>
      <c r="BF338" s="58" t="n">
        <f aca="false">-MIN(BF335+BF336+BF337,MAX(0,BF255-Helpers!BD23))</f>
        <v>-71700</v>
      </c>
      <c r="BG338" s="58" t="n">
        <f aca="false">-MIN(BG335+BG336+BG337,MAX(0,BG255-Helpers!BE23))</f>
        <v>-0</v>
      </c>
      <c r="BH338" s="58" t="n">
        <f aca="false">-MIN(BH335+BH336+BH337,MAX(0,BH255-Helpers!BF23))</f>
        <v>-0</v>
      </c>
      <c r="BI338" s="58" t="n">
        <f aca="false">-MIN(BI335+BI336+BI337,MAX(0,BI255-Helpers!BG23))</f>
        <v>-71700</v>
      </c>
      <c r="BJ338" s="58" t="n">
        <f aca="false">-MIN(BJ335+BJ336+BJ337,MAX(0,BJ255-Helpers!BH23))</f>
        <v>-0</v>
      </c>
      <c r="BK338" s="58" t="n">
        <f aca="false">-MIN(BK335+BK336+BK337,MAX(0,BK255-Helpers!BI23))</f>
        <v>-0</v>
      </c>
      <c r="BL338" s="58" t="n">
        <f aca="false">-MIN(BL335+BL336+BL337,MAX(0,BL255-Helpers!BJ23))</f>
        <v>-71700</v>
      </c>
      <c r="BM338" s="58" t="n">
        <f aca="false">-MIN(BM335+BM336+BM337,MAX(0,BM255-Helpers!BK23))</f>
        <v>-0</v>
      </c>
      <c r="BN338" s="58" t="n">
        <f aca="false">-MIN(BN335+BN336+BN337,MAX(0,BN255-Helpers!BL23))</f>
        <v>-0</v>
      </c>
      <c r="BO338" s="58" t="n">
        <f aca="false">-MIN(BO335+BO336+BO337,MAX(0,BO255-Helpers!BM23))</f>
        <v>-71700</v>
      </c>
      <c r="BP338" s="58" t="n">
        <f aca="false">-MIN(BP335+BP336+BP337,MAX(0,BP255-Helpers!BN23))</f>
        <v>-0</v>
      </c>
      <c r="BQ338" s="58" t="n">
        <f aca="false">-MIN(BQ335+BQ336+BQ337,MAX(0,BQ255-Helpers!BO23))</f>
        <v>-0</v>
      </c>
      <c r="BR338" s="58" t="n">
        <f aca="false">-MIN(BR335+BR336+BR337,MAX(0,BR255-Helpers!BP23))</f>
        <v>-74643</v>
      </c>
      <c r="BS338" s="58" t="n">
        <f aca="false">-MIN(BS335+BS336+BS337,MAX(0,BS255-Helpers!BQ23))</f>
        <v>-0</v>
      </c>
      <c r="BT338" s="58" t="n">
        <f aca="false">-MIN(BT335+BT336+BT337,MAX(0,BT255-Helpers!BR23))</f>
        <v>-0</v>
      </c>
      <c r="BU338" s="58" t="n">
        <f aca="false">-MIN(BU335+BU336+BU337,MAX(0,BU255-Helpers!BS23))</f>
        <v>-74640</v>
      </c>
      <c r="BV338" s="58" t="n">
        <f aca="false">-MIN(BV335+BV336+BV337,MAX(0,BV255-Helpers!BT23))</f>
        <v>-0</v>
      </c>
      <c r="BW338" s="58" t="n">
        <f aca="false">-MIN(BW335+BW336+BW337,MAX(0,BW255-Helpers!BU23))</f>
        <v>-0</v>
      </c>
      <c r="BX338" s="58" t="n">
        <f aca="false">-MIN(BX335+BX336+BX337,MAX(0,BX255-Helpers!BV23))</f>
        <v>-74640</v>
      </c>
      <c r="BY338" s="58" t="n">
        <f aca="false">-MIN(BY335+BY336+BY337,MAX(0,BY255-Helpers!BW23))</f>
        <v>-0</v>
      </c>
      <c r="BZ338" s="58" t="n">
        <f aca="false">-MIN(BZ335+BZ336+BZ337,MAX(0,BZ255-Helpers!BX23))</f>
        <v>-0</v>
      </c>
      <c r="CA338" s="58" t="n">
        <f aca="false">-MIN(CA335+CA336+CA337,MAX(0,CA255-Helpers!BY23))</f>
        <v>-74640</v>
      </c>
      <c r="CB338" s="58" t="n">
        <f aca="false">-MIN(CB335+CB336+CB337,MAX(0,CB255-Helpers!BZ23))</f>
        <v>-0</v>
      </c>
      <c r="CC338" s="58" t="n">
        <f aca="false">-MIN(CC335+CC336+CC337,MAX(0,CC255-Helpers!CA23))</f>
        <v>-0</v>
      </c>
      <c r="CD338" s="58" t="n">
        <f aca="false">-MIN(CD335+CD336+CD337,MAX(0,CD255-Helpers!CB23))</f>
        <v>-81363</v>
      </c>
      <c r="CE338" s="58" t="n">
        <f aca="false">-MIN(CE335+CE336+CE337,MAX(0,CE255-Helpers!CC23))</f>
        <v>-0</v>
      </c>
      <c r="CF338" s="58" t="n">
        <f aca="false">-MIN(CF335+CF336+CF337,MAX(0,CF255-Helpers!CD23))</f>
        <v>-0</v>
      </c>
      <c r="CG338" s="58" t="n">
        <f aca="false">-MIN(CG335+CG336+CG337,MAX(0,CG255-Helpers!CE23))</f>
        <v>-81362</v>
      </c>
      <c r="CH338" s="58" t="n">
        <f aca="false">-MIN(CH335+CH336+CH337,MAX(0,CH255-Helpers!CF23))</f>
        <v>-0</v>
      </c>
      <c r="CI338" s="58" t="n">
        <f aca="false">-MIN(CI335+CI336+CI337,MAX(0,CI255-Helpers!CG23))</f>
        <v>-0</v>
      </c>
      <c r="CJ338" s="58" t="n">
        <f aca="false">-MIN(CJ335+CJ336+CJ337,MAX(0,CJ255-Helpers!CH23))</f>
        <v>-74753.9733935208</v>
      </c>
      <c r="CK338" s="58" t="n">
        <f aca="false">-MIN(CK335+CK336+CK337,MAX(0,CK255-Helpers!CI23))</f>
        <v>-0</v>
      </c>
      <c r="CL338" s="58" t="n">
        <f aca="false">-MIN(CL335+CL336+CL337,MAX(0,CL255-Helpers!CJ23))</f>
        <v>-0</v>
      </c>
      <c r="CM338" s="58" t="n">
        <f aca="false">-MIN(CM335+CM336+CM337,MAX(0,CM255-Helpers!CK23))</f>
        <v>-0</v>
      </c>
      <c r="CN338" s="58" t="n">
        <f aca="false">-MIN(CN335+CN336+CN337,MAX(0,CN255-Helpers!CL23))</f>
        <v>-0</v>
      </c>
      <c r="CO338" s="58" t="n">
        <f aca="false">-MIN(CO335+CO336+CO337,MAX(0,CO255-Helpers!CM23))</f>
        <v>-0</v>
      </c>
      <c r="CP338" s="58" t="n">
        <f aca="false">-MIN(CP335+CP336+CP337,MAX(0,CP255-Helpers!CN23))</f>
        <v>-0</v>
      </c>
      <c r="CQ338" s="58" t="n">
        <f aca="false">-MIN(CQ335+CQ336+CQ337,MAX(0,CQ255-Helpers!CO23))</f>
        <v>-0</v>
      </c>
      <c r="CR338" s="58" t="n">
        <f aca="false">-MIN(CR335+CR336+CR337,MAX(0,CR255-Helpers!CP23))</f>
        <v>-0</v>
      </c>
      <c r="CS338" s="58" t="n">
        <f aca="false">-MIN(CS335+CS336+CS337,MAX(0,CS255-Helpers!CQ23))</f>
        <v>-0</v>
      </c>
      <c r="CT338" s="58" t="n">
        <f aca="false">-MIN(CT335+CT336+CT337,MAX(0,CT255-Helpers!CR23))</f>
        <v>-0</v>
      </c>
      <c r="CU338" s="58" t="n">
        <f aca="false">-MIN(CU335+CU336+CU337,MAX(0,CU255-Helpers!CS23))</f>
        <v>-0</v>
      </c>
      <c r="CV338" s="58" t="n">
        <f aca="false">-MIN(CV335+CV336+CV337,MAX(0,CV255-Helpers!CT23))</f>
        <v>-0</v>
      </c>
      <c r="CW338" s="58" t="n">
        <f aca="false">-MIN(CW335+CW336+CW337,MAX(0,CW255-Helpers!CU23))</f>
        <v>-0</v>
      </c>
      <c r="CX338" s="58" t="n">
        <f aca="false">-MIN(CX335+CX336+CX337,MAX(0,CX255-Helpers!CV23))</f>
        <v>-0</v>
      </c>
      <c r="CY338" s="58" t="n">
        <f aca="false">-MIN(CY335+CY336+CY337,MAX(0,CY255-Helpers!CW23))</f>
        <v>-0</v>
      </c>
      <c r="CZ338" s="58" t="n">
        <f aca="false">-MIN(CZ335+CZ336+CZ337,MAX(0,CZ255-Helpers!CX23))</f>
        <v>-0</v>
      </c>
      <c r="DA338" s="58" t="n">
        <f aca="false">-MIN(DA335+DA336+DA337,MAX(0,DA255-Helpers!CY23))</f>
        <v>-0</v>
      </c>
      <c r="DB338" s="58" t="n">
        <f aca="false">-MIN(DB335+DB336+DB337,MAX(0,DB255-Helpers!CZ23))</f>
        <v>-0</v>
      </c>
      <c r="DC338" s="58" t="n">
        <f aca="false">-MIN(DC335+DC336+DC337,MAX(0,DC255-Helpers!DA23))</f>
        <v>-0</v>
      </c>
      <c r="DD338" s="58" t="n">
        <f aca="false">-MIN(DD335+DD336+DD337,MAX(0,DD255-Helpers!DB23))</f>
        <v>-0</v>
      </c>
      <c r="DE338" s="58" t="n">
        <f aca="false">-MIN(DE335+DE336+DE337,MAX(0,DE255-Helpers!DC23))</f>
        <v>-0</v>
      </c>
    </row>
    <row r="339" customFormat="false" ht="15" hidden="false" customHeight="true" outlineLevel="0" collapsed="false">
      <c r="A339" s="59" t="s">
        <v>174</v>
      </c>
      <c r="B339" s="60"/>
      <c r="C339" s="60"/>
      <c r="D339" s="60"/>
      <c r="E339" s="60" t="n">
        <f aca="false">MAX(0,E335+E336+E337+E338)</f>
        <v>1134000</v>
      </c>
      <c r="F339" s="60" t="n">
        <f aca="false">MAX(0,F335+F336+F337+F338)</f>
        <v>1184000</v>
      </c>
      <c r="G339" s="60" t="n">
        <f aca="false">MAX(0,G335+G336+G337+G338)</f>
        <v>1280275</v>
      </c>
      <c r="H339" s="60" t="n">
        <f aca="false">MAX(0,H335+H336+H337+H338)</f>
        <v>1330275</v>
      </c>
      <c r="I339" s="60" t="n">
        <f aca="false">MAX(0,I335+I336+I337+I338)</f>
        <v>1380275</v>
      </c>
      <c r="J339" s="60" t="n">
        <f aca="false">MAX(0,J335+J336+J337+J338)</f>
        <v>1483910.3125</v>
      </c>
      <c r="K339" s="60" t="n">
        <f aca="false">MAX(0,K335+K336+K337+K338)</f>
        <v>1533910.3125</v>
      </c>
      <c r="L339" s="60" t="n">
        <f aca="false">MAX(0,L335+L336+L337+L338)</f>
        <v>1583910.3125</v>
      </c>
      <c r="M339" s="60" t="n">
        <f aca="false">MAX(0,M335+M336+M337+M338)</f>
        <v>1695181.94921875</v>
      </c>
      <c r="N339" s="60" t="n">
        <f aca="false">MAX(0,N335+N336+N337+N338)</f>
        <v>1745181.94921875</v>
      </c>
      <c r="O339" s="60" t="n">
        <f aca="false">MAX(0,O335+O336+O337+O338)</f>
        <v>1795181.94921875</v>
      </c>
      <c r="P339" s="60" t="n">
        <f aca="false">MAX(0,P335+P336+P337+P338)</f>
        <v>1914376.27231445</v>
      </c>
      <c r="Q339" s="60" t="n">
        <f aca="false">MAX(0,Q335+Q336+Q337+Q338)</f>
        <v>514376.272314453</v>
      </c>
      <c r="R339" s="60" t="n">
        <f aca="false">MAX(0,R335+R336+R337+R338)</f>
        <v>564376.272314453</v>
      </c>
      <c r="S339" s="60" t="n">
        <f aca="false">MAX(0,S335+S336+S337+S338)</f>
        <v>585540.382526245</v>
      </c>
      <c r="T339" s="60" t="n">
        <f aca="false">MAX(0,T335+T336+T337+T338)</f>
        <v>585540.382526245</v>
      </c>
      <c r="U339" s="60" t="n">
        <f aca="false">MAX(0,U335+U336+U337+U338)</f>
        <v>585540.382526245</v>
      </c>
      <c r="V339" s="60" t="n">
        <f aca="false">MAX(0,V335+V336+V337+V338)</f>
        <v>607498.146870979</v>
      </c>
      <c r="W339" s="60" t="n">
        <f aca="false">MAX(0,W335+W336+W337+W338)</f>
        <v>607498.146870979</v>
      </c>
      <c r="X339" s="60" t="n">
        <f aca="false">MAX(0,X335+X336+X337+X338)</f>
        <v>607498.146870979</v>
      </c>
      <c r="Y339" s="60" t="n">
        <f aca="false">MAX(0,Y335+Y336+Y337+Y338)</f>
        <v>630279.327378641</v>
      </c>
      <c r="Z339" s="60" t="n">
        <f aca="false">MAX(0,Z335+Z336+Z337+Z338)</f>
        <v>630279.327378641</v>
      </c>
      <c r="AA339" s="60" t="n">
        <f aca="false">MAX(0,AA335+AA336+AA337+AA338)</f>
        <v>630279.327378641</v>
      </c>
      <c r="AB339" s="60" t="n">
        <f aca="false">MAX(0,AB335+AB336+AB337+AB338)</f>
        <v>653914.80215534</v>
      </c>
      <c r="AC339" s="60" t="n">
        <f aca="false">MAX(0,AC335+AC336+AC337+AC338)</f>
        <v>653914.80215534</v>
      </c>
      <c r="AD339" s="60" t="n">
        <f aca="false">MAX(0,AD335+AD336+AD337+AD338)</f>
        <v>653914.80215534</v>
      </c>
      <c r="AE339" s="60" t="n">
        <f aca="false">MAX(0,AE335+AE336+AE337+AE338)</f>
        <v>678436.607236165</v>
      </c>
      <c r="AF339" s="60" t="n">
        <f aca="false">MAX(0,AF335+AF336+AF337+AF338)</f>
        <v>678436.607236165</v>
      </c>
      <c r="AG339" s="60" t="n">
        <f aca="false">MAX(0,AG335+AG336+AG337+AG338)</f>
        <v>678436.607236165</v>
      </c>
      <c r="AH339" s="60" t="n">
        <f aca="false">MAX(0,AH335+AH336+AH337+AH338)</f>
        <v>703877.980007521</v>
      </c>
      <c r="AI339" s="60" t="n">
        <f aca="false">MAX(0,AI335+AI336+AI337+AI338)</f>
        <v>703877.980007521</v>
      </c>
      <c r="AJ339" s="60" t="n">
        <f aca="false">MAX(0,AJ335+AJ336+AJ337+AJ338)</f>
        <v>703877.980007521</v>
      </c>
      <c r="AK339" s="60" t="n">
        <f aca="false">MAX(0,AK335+AK336+AK337+AK338)</f>
        <v>730273.404257803</v>
      </c>
      <c r="AL339" s="60" t="n">
        <f aca="false">MAX(0,AL335+AL336+AL337+AL338)</f>
        <v>730273.404257803</v>
      </c>
      <c r="AM339" s="60" t="n">
        <f aca="false">MAX(0,AM335+AM336+AM337+AM338)</f>
        <v>730273.404257803</v>
      </c>
      <c r="AN339" s="60" t="n">
        <f aca="false">MAX(0,AN335+AN336+AN337+AN338)</f>
        <v>757658.656917471</v>
      </c>
      <c r="AO339" s="60" t="n">
        <f aca="false">MAX(0,AO335+AO336+AO337+AO338)</f>
        <v>757658.656917471</v>
      </c>
      <c r="AP339" s="60" t="n">
        <f aca="false">MAX(0,AP335+AP336+AP337+AP338)</f>
        <v>757658.656917471</v>
      </c>
      <c r="AQ339" s="60" t="n">
        <f aca="false">MAX(0,AQ335+AQ336+AQ337+AQ338)</f>
        <v>786070.856551876</v>
      </c>
      <c r="AR339" s="60" t="n">
        <f aca="false">MAX(0,AR335+AR336+AR337+AR338)</f>
        <v>786070.856551876</v>
      </c>
      <c r="AS339" s="60" t="n">
        <f aca="false">MAX(0,AS335+AS336+AS337+AS338)</f>
        <v>786070.856551876</v>
      </c>
      <c r="AT339" s="60" t="n">
        <f aca="false">MAX(0,AT335+AT336+AT337+AT338)</f>
        <v>815548.513672571</v>
      </c>
      <c r="AU339" s="60" t="n">
        <f aca="false">MAX(0,AU335+AU336+AU337+AU338)</f>
        <v>815548.513672571</v>
      </c>
      <c r="AV339" s="60" t="n">
        <f aca="false">MAX(0,AV335+AV336+AV337+AV338)</f>
        <v>815548.513672571</v>
      </c>
      <c r="AW339" s="60" t="n">
        <f aca="false">MAX(0,AW335+AW336+AW337+AW338)</f>
        <v>846131.582935293</v>
      </c>
      <c r="AX339" s="60" t="n">
        <f aca="false">MAX(0,AX335+AX336+AX337+AX338)</f>
        <v>846131.582935293</v>
      </c>
      <c r="AY339" s="60" t="n">
        <f aca="false">MAX(0,AY335+AY336+AY337+AY338)</f>
        <v>846131.582935293</v>
      </c>
      <c r="AZ339" s="60" t="n">
        <f aca="false">MAX(0,AZ335+AZ336+AZ337+AZ338)</f>
        <v>877861.517295366</v>
      </c>
      <c r="BA339" s="60" t="n">
        <f aca="false">MAX(0,BA335+BA336+BA337+BA338)</f>
        <v>877861.517295366</v>
      </c>
      <c r="BB339" s="60" t="n">
        <f aca="false">MAX(0,BB335+BB336+BB337+BB338)</f>
        <v>877861.517295366</v>
      </c>
      <c r="BC339" s="60" t="n">
        <f aca="false">MAX(0,BC335+BC336+BC337+BC338)</f>
        <v>661610.024193943</v>
      </c>
      <c r="BD339" s="60" t="n">
        <f aca="false">MAX(0,BD335+BD336+BD337+BD338)</f>
        <v>661610.024193943</v>
      </c>
      <c r="BE339" s="60" t="n">
        <f aca="false">MAX(0,BE335+BE336+BE337+BE338)</f>
        <v>661610.024193943</v>
      </c>
      <c r="BF339" s="60" t="n">
        <f aca="false">MAX(0,BF335+BF336+BF337+BF338)</f>
        <v>614720.400101215</v>
      </c>
      <c r="BG339" s="60" t="n">
        <f aca="false">MAX(0,BG335+BG336+BG337+BG338)</f>
        <v>614720.400101215</v>
      </c>
      <c r="BH339" s="60" t="n">
        <f aca="false">MAX(0,BH335+BH336+BH337+BH338)</f>
        <v>614720.400101215</v>
      </c>
      <c r="BI339" s="60" t="n">
        <f aca="false">MAX(0,BI335+BI336+BI337+BI338)</f>
        <v>566072.415105011</v>
      </c>
      <c r="BJ339" s="60" t="n">
        <f aca="false">MAX(0,BJ335+BJ336+BJ337+BJ338)</f>
        <v>566072.415105011</v>
      </c>
      <c r="BK339" s="60" t="n">
        <f aca="false">MAX(0,BK335+BK336+BK337+BK338)</f>
        <v>566072.415105011</v>
      </c>
      <c r="BL339" s="60" t="n">
        <f aca="false">MAX(0,BL335+BL336+BL337+BL338)</f>
        <v>515600.130671449</v>
      </c>
      <c r="BM339" s="60" t="n">
        <f aca="false">MAX(0,BM335+BM336+BM337+BM338)</f>
        <v>515600.130671449</v>
      </c>
      <c r="BN339" s="60" t="n">
        <f aca="false">MAX(0,BN335+BN336+BN337+BN338)</f>
        <v>515600.130671449</v>
      </c>
      <c r="BO339" s="60" t="n">
        <f aca="false">MAX(0,BO335+BO336+BO337+BO338)</f>
        <v>463235.135571628</v>
      </c>
      <c r="BP339" s="60" t="n">
        <f aca="false">MAX(0,BP335+BP336+BP337+BP338)</f>
        <v>463235.135571628</v>
      </c>
      <c r="BQ339" s="60" t="n">
        <f aca="false">MAX(0,BQ335+BQ336+BQ337+BQ338)</f>
        <v>463235.135571628</v>
      </c>
      <c r="BR339" s="60" t="n">
        <f aca="false">MAX(0,BR335+BR336+BR337+BR338)</f>
        <v>405963.453155564</v>
      </c>
      <c r="BS339" s="60" t="n">
        <f aca="false">MAX(0,BS335+BS336+BS337+BS338)</f>
        <v>405963.453155564</v>
      </c>
      <c r="BT339" s="60" t="n">
        <f aca="false">MAX(0,BT335+BT336+BT337+BT338)</f>
        <v>405963.453155564</v>
      </c>
      <c r="BU339" s="60" t="n">
        <f aca="false">MAX(0,BU335+BU336+BU337+BU338)</f>
        <v>346547.082648898</v>
      </c>
      <c r="BV339" s="60" t="n">
        <f aca="false">MAX(0,BV335+BV336+BV337+BV338)</f>
        <v>346547.082648898</v>
      </c>
      <c r="BW339" s="60" t="n">
        <f aca="false">MAX(0,BW335+BW336+BW337+BW338)</f>
        <v>346547.082648898</v>
      </c>
      <c r="BX339" s="60" t="n">
        <f aca="false">MAX(0,BX335+BX336+BX337+BX338)</f>
        <v>284902.598248232</v>
      </c>
      <c r="BY339" s="60" t="n">
        <f aca="false">MAX(0,BY335+BY336+BY337+BY338)</f>
        <v>284902.598248232</v>
      </c>
      <c r="BZ339" s="60" t="n">
        <f aca="false">MAX(0,BZ335+BZ336+BZ337+BZ338)</f>
        <v>284902.598248232</v>
      </c>
      <c r="CA339" s="60" t="n">
        <f aca="false">MAX(0,CA335+CA336+CA337+CA338)</f>
        <v>220946.44568254</v>
      </c>
      <c r="CB339" s="60" t="n">
        <f aca="false">MAX(0,CB335+CB336+CB337+CB338)</f>
        <v>220946.44568254</v>
      </c>
      <c r="CC339" s="60" t="n">
        <f aca="false">MAX(0,CC335+CC336+CC337+CC338)</f>
        <v>220946.44568254</v>
      </c>
      <c r="CD339" s="60" t="n">
        <f aca="false">MAX(0,CD335+CD336+CD337+CD338)</f>
        <v>147868.937395636</v>
      </c>
      <c r="CE339" s="60" t="n">
        <f aca="false">MAX(0,CE335+CE336+CE337+CE338)</f>
        <v>147868.937395636</v>
      </c>
      <c r="CF339" s="60" t="n">
        <f aca="false">MAX(0,CF335+CF336+CF337+CF338)</f>
        <v>147868.937395636</v>
      </c>
      <c r="CG339" s="60" t="n">
        <f aca="false">MAX(0,CG335+CG336+CG337+CG338)</f>
        <v>72052.0225479718</v>
      </c>
      <c r="CH339" s="60" t="n">
        <f aca="false">MAX(0,CH335+CH336+CH337+CH338)</f>
        <v>72052.0225479718</v>
      </c>
      <c r="CI339" s="60" t="n">
        <f aca="false">MAX(0,CI335+CI336+CI337+CI338)</f>
        <v>72052.0225479718</v>
      </c>
      <c r="CJ339" s="60" t="n">
        <f aca="false">MAX(0,CJ335+CJ336+CJ337+CJ338)</f>
        <v>0</v>
      </c>
      <c r="CK339" s="60" t="n">
        <f aca="false">MAX(0,CK335+CK336+CK337+CK338)</f>
        <v>0</v>
      </c>
      <c r="CL339" s="60" t="n">
        <f aca="false">MAX(0,CL335+CL336+CL337+CL338)</f>
        <v>0</v>
      </c>
      <c r="CM339" s="60" t="n">
        <f aca="false">MAX(0,CM335+CM336+CM337+CM338)</f>
        <v>0</v>
      </c>
      <c r="CN339" s="60" t="n">
        <f aca="false">MAX(0,CN335+CN336+CN337+CN338)</f>
        <v>0</v>
      </c>
      <c r="CO339" s="60" t="n">
        <f aca="false">MAX(0,CO335+CO336+CO337+CO338)</f>
        <v>0</v>
      </c>
      <c r="CP339" s="60" t="n">
        <f aca="false">MAX(0,CP335+CP336+CP337+CP338)</f>
        <v>0</v>
      </c>
      <c r="CQ339" s="60" t="n">
        <f aca="false">MAX(0,CQ335+CQ336+CQ337+CQ338)</f>
        <v>0</v>
      </c>
      <c r="CR339" s="60" t="n">
        <f aca="false">MAX(0,CR335+CR336+CR337+CR338)</f>
        <v>0</v>
      </c>
      <c r="CS339" s="60" t="n">
        <f aca="false">MAX(0,CS335+CS336+CS337+CS338)</f>
        <v>0</v>
      </c>
      <c r="CT339" s="60" t="n">
        <f aca="false">MAX(0,CT335+CT336+CT337+CT338)</f>
        <v>0</v>
      </c>
      <c r="CU339" s="60" t="n">
        <f aca="false">MAX(0,CU335+CU336+CU337+CU338)</f>
        <v>0</v>
      </c>
      <c r="CV339" s="60" t="n">
        <f aca="false">MAX(0,CV335+CV336+CV337+CV338)</f>
        <v>0</v>
      </c>
      <c r="CW339" s="60" t="n">
        <f aca="false">MAX(0,CW335+CW336+CW337+CW338)</f>
        <v>0</v>
      </c>
      <c r="CX339" s="60" t="n">
        <f aca="false">MAX(0,CX335+CX336+CX337+CX338)</f>
        <v>0</v>
      </c>
      <c r="CY339" s="60" t="n">
        <f aca="false">MAX(0,CY335+CY336+CY337+CY338)</f>
        <v>0</v>
      </c>
      <c r="CZ339" s="60" t="n">
        <f aca="false">MAX(0,CZ335+CZ336+CZ337+CZ338)</f>
        <v>0</v>
      </c>
      <c r="DA339" s="60" t="n">
        <f aca="false">MAX(0,DA335+DA336+DA337+DA338)</f>
        <v>0</v>
      </c>
      <c r="DB339" s="60" t="n">
        <f aca="false">MAX(0,DB335+DB336+DB337+DB338)</f>
        <v>0</v>
      </c>
      <c r="DC339" s="60" t="n">
        <f aca="false">MAX(0,DC335+DC336+DC337+DC338)</f>
        <v>0</v>
      </c>
      <c r="DD339" s="60" t="n">
        <f aca="false">MAX(0,DD335+DD336+DD337+DD338)</f>
        <v>0</v>
      </c>
      <c r="DE339" s="60" t="n">
        <f aca="false">MAX(0,DE335+DE336+DE337+DE338)</f>
        <v>0</v>
      </c>
    </row>
    <row r="340" customFormat="false" ht="15" hidden="false" customHeight="true" outlineLevel="0" collapsed="false">
      <c r="A340" s="61"/>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row>
    <row r="341" customFormat="false" ht="15" hidden="false" customHeight="true" outlineLevel="0" collapsed="false">
      <c r="A341" s="63" t="s">
        <v>175</v>
      </c>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c r="CD341" s="64"/>
      <c r="CE341" s="64"/>
      <c r="CF341" s="64"/>
      <c r="CG341" s="64"/>
      <c r="CH341" s="64"/>
      <c r="CI341" s="64"/>
      <c r="CJ341" s="64"/>
      <c r="CK341" s="64"/>
      <c r="CL341" s="64"/>
      <c r="CM341" s="64"/>
      <c r="CN341" s="64"/>
      <c r="CO341" s="64"/>
      <c r="CP341" s="64"/>
      <c r="CQ341" s="64"/>
      <c r="CR341" s="64"/>
      <c r="CS341" s="64"/>
      <c r="CT341" s="64"/>
      <c r="CU341" s="64"/>
      <c r="CV341" s="64"/>
      <c r="CW341" s="64"/>
      <c r="CX341" s="64"/>
      <c r="CY341" s="64"/>
      <c r="CZ341" s="64"/>
      <c r="DA341" s="64"/>
      <c r="DB341" s="64"/>
      <c r="DC341" s="64"/>
      <c r="DD341" s="64"/>
      <c r="DE341" s="64"/>
    </row>
    <row r="342" customFormat="false" ht="15" hidden="false" customHeight="true" outlineLevel="0" collapsed="false">
      <c r="A342" s="22" t="s">
        <v>9</v>
      </c>
      <c r="B342" s="13"/>
      <c r="C342" s="13"/>
      <c r="D342" s="13"/>
      <c r="E342" s="13" t="n">
        <f aca="false">Helpers!C8</f>
        <v>11187175.79</v>
      </c>
      <c r="F342" s="13" t="n">
        <f aca="false">Helpers!D8</f>
        <v>10356493.69</v>
      </c>
      <c r="G342" s="13" t="n">
        <f aca="false">Helpers!E8</f>
        <v>9450240.48</v>
      </c>
      <c r="H342" s="13" t="n">
        <f aca="false">Helpers!F8</f>
        <v>8485833.11</v>
      </c>
      <c r="I342" s="13" t="n">
        <f aca="false">Helpers!G8</f>
        <v>6546008.3</v>
      </c>
      <c r="J342" s="13" t="n">
        <f aca="false">Helpers!H8</f>
        <v>5950977.14</v>
      </c>
      <c r="K342" s="13" t="n">
        <f aca="false">Helpers!I8</f>
        <v>5403449.04</v>
      </c>
      <c r="L342" s="13" t="n">
        <f aca="false">Helpers!J8</f>
        <v>4778618.53</v>
      </c>
      <c r="M342" s="13" t="n">
        <f aca="false">Helpers!K8</f>
        <v>4012283.82</v>
      </c>
      <c r="N342" s="13" t="n">
        <f aca="false">Helpers!L8</f>
        <v>3317496.87</v>
      </c>
      <c r="O342" s="13" t="n">
        <f aca="false">Helpers!M8</f>
        <v>2693094.26</v>
      </c>
      <c r="P342" s="13" t="n">
        <f aca="false">Helpers!N8</f>
        <v>1981609.96</v>
      </c>
      <c r="Q342" s="13" t="n">
        <f aca="false">Helpers!O8</f>
        <v>1250721.11</v>
      </c>
      <c r="R342" s="13" t="n">
        <f aca="false">Helpers!P8</f>
        <v>661631.3</v>
      </c>
      <c r="S342" s="13" t="n">
        <f aca="false">Helpers!Q8</f>
        <v>297802.14</v>
      </c>
      <c r="T342" s="13" t="n">
        <f aca="false">Helpers!R8</f>
        <v>126194.42</v>
      </c>
      <c r="U342" s="13" t="n">
        <f aca="false">Helpers!S8</f>
        <v>0</v>
      </c>
      <c r="V342" s="13" t="n">
        <f aca="false">Helpers!T8</f>
        <v>0</v>
      </c>
      <c r="W342" s="13" t="n">
        <f aca="false">Helpers!U8</f>
        <v>0</v>
      </c>
      <c r="X342" s="13" t="n">
        <f aca="false">Helpers!V8</f>
        <v>0</v>
      </c>
      <c r="Y342" s="13" t="n">
        <f aca="false">Helpers!W8</f>
        <v>0</v>
      </c>
      <c r="Z342" s="13" t="n">
        <f aca="false">Helpers!X8</f>
        <v>0</v>
      </c>
      <c r="AA342" s="13" t="n">
        <f aca="false">Helpers!Y8</f>
        <v>0</v>
      </c>
      <c r="AB342" s="13" t="n">
        <f aca="false">Helpers!Z8</f>
        <v>0</v>
      </c>
      <c r="AC342" s="13" t="n">
        <f aca="false">Helpers!AA8</f>
        <v>0</v>
      </c>
      <c r="AD342" s="13" t="n">
        <f aca="false">Helpers!AB8</f>
        <v>0</v>
      </c>
      <c r="AE342" s="13" t="n">
        <f aca="false">Helpers!AC8</f>
        <v>0</v>
      </c>
      <c r="AF342" s="13" t="n">
        <f aca="false">Helpers!AD8</f>
        <v>0</v>
      </c>
      <c r="AG342" s="13" t="n">
        <f aca="false">Helpers!AE8</f>
        <v>0</v>
      </c>
      <c r="AH342" s="13" t="n">
        <f aca="false">Helpers!AF8</f>
        <v>0</v>
      </c>
      <c r="AI342" s="13" t="n">
        <f aca="false">Helpers!AG8</f>
        <v>0</v>
      </c>
      <c r="AJ342" s="13" t="n">
        <f aca="false">Helpers!AH8</f>
        <v>0</v>
      </c>
      <c r="AK342" s="13" t="n">
        <f aca="false">Helpers!AI8</f>
        <v>0</v>
      </c>
      <c r="AL342" s="13" t="n">
        <f aca="false">Helpers!AJ8</f>
        <v>0</v>
      </c>
      <c r="AM342" s="13" t="n">
        <f aca="false">Helpers!AK8</f>
        <v>0</v>
      </c>
      <c r="AN342" s="13" t="n">
        <f aca="false">Helpers!AL8</f>
        <v>0</v>
      </c>
      <c r="AO342" s="13" t="n">
        <f aca="false">Helpers!AM8</f>
        <v>0</v>
      </c>
      <c r="AP342" s="13" t="n">
        <f aca="false">Helpers!AN8</f>
        <v>0</v>
      </c>
      <c r="AQ342" s="13" t="n">
        <f aca="false">Helpers!AO8</f>
        <v>0</v>
      </c>
      <c r="AR342" s="13" t="n">
        <f aca="false">Helpers!AP8</f>
        <v>0</v>
      </c>
      <c r="AS342" s="13" t="n">
        <f aca="false">Helpers!AQ8</f>
        <v>0</v>
      </c>
      <c r="AT342" s="13" t="n">
        <f aca="false">Helpers!AR8</f>
        <v>0</v>
      </c>
      <c r="AU342" s="13" t="n">
        <f aca="false">Helpers!AS8</f>
        <v>0</v>
      </c>
      <c r="AV342" s="13" t="n">
        <f aca="false">Helpers!AT8</f>
        <v>0</v>
      </c>
      <c r="AW342" s="13" t="n">
        <f aca="false">Helpers!AU8</f>
        <v>0</v>
      </c>
      <c r="AX342" s="13" t="n">
        <f aca="false">Helpers!AV8</f>
        <v>0</v>
      </c>
      <c r="AY342" s="13" t="n">
        <f aca="false">Helpers!AW8</f>
        <v>0</v>
      </c>
      <c r="AZ342" s="13" t="n">
        <f aca="false">Helpers!AX8</f>
        <v>0</v>
      </c>
      <c r="BA342" s="13" t="n">
        <f aca="false">Helpers!AY8</f>
        <v>0</v>
      </c>
      <c r="BB342" s="13" t="n">
        <f aca="false">Helpers!AZ8</f>
        <v>0</v>
      </c>
      <c r="BC342" s="13" t="n">
        <f aca="false">Helpers!BA8</f>
        <v>0</v>
      </c>
      <c r="BD342" s="13" t="n">
        <f aca="false">Helpers!BB8</f>
        <v>0</v>
      </c>
      <c r="BE342" s="13" t="n">
        <f aca="false">Helpers!BC8</f>
        <v>0</v>
      </c>
      <c r="BF342" s="13" t="n">
        <f aca="false">Helpers!BD8</f>
        <v>0</v>
      </c>
      <c r="BG342" s="13" t="n">
        <f aca="false">Helpers!BE8</f>
        <v>0</v>
      </c>
      <c r="BH342" s="13" t="n">
        <f aca="false">Helpers!BF8</f>
        <v>0</v>
      </c>
      <c r="BI342" s="13" t="n">
        <f aca="false">Helpers!BG8</f>
        <v>0</v>
      </c>
      <c r="BJ342" s="13" t="n">
        <f aca="false">Helpers!BH8</f>
        <v>0</v>
      </c>
      <c r="BK342" s="13" t="n">
        <f aca="false">Helpers!BI8</f>
        <v>0</v>
      </c>
      <c r="BL342" s="13" t="n">
        <f aca="false">Helpers!BJ8</f>
        <v>0</v>
      </c>
      <c r="BM342" s="13" t="n">
        <f aca="false">Helpers!BK8</f>
        <v>0</v>
      </c>
      <c r="BN342" s="13" t="n">
        <f aca="false">Helpers!BL8</f>
        <v>0</v>
      </c>
      <c r="BO342" s="13" t="n">
        <f aca="false">Helpers!BM8</f>
        <v>0</v>
      </c>
      <c r="BP342" s="13" t="n">
        <f aca="false">Helpers!BN8</f>
        <v>0</v>
      </c>
      <c r="BQ342" s="13" t="n">
        <f aca="false">Helpers!BO8</f>
        <v>0</v>
      </c>
      <c r="BR342" s="13" t="n">
        <f aca="false">Helpers!BP8</f>
        <v>0</v>
      </c>
      <c r="BS342" s="13" t="n">
        <f aca="false">Helpers!BQ8</f>
        <v>0</v>
      </c>
      <c r="BT342" s="13" t="n">
        <f aca="false">Helpers!BR8</f>
        <v>0</v>
      </c>
      <c r="BU342" s="13" t="n">
        <f aca="false">Helpers!BS8</f>
        <v>0</v>
      </c>
      <c r="BV342" s="13" t="n">
        <f aca="false">Helpers!BT8</f>
        <v>0</v>
      </c>
      <c r="BW342" s="13" t="n">
        <f aca="false">Helpers!BU8</f>
        <v>0</v>
      </c>
      <c r="BX342" s="13" t="n">
        <f aca="false">Helpers!BV8</f>
        <v>0</v>
      </c>
      <c r="BY342" s="13" t="n">
        <f aca="false">Helpers!BW8</f>
        <v>0</v>
      </c>
      <c r="BZ342" s="13" t="n">
        <f aca="false">Helpers!BX8</f>
        <v>0</v>
      </c>
      <c r="CA342" s="13" t="n">
        <f aca="false">Helpers!BY8</f>
        <v>0</v>
      </c>
      <c r="CB342" s="13" t="n">
        <f aca="false">Helpers!BZ8</f>
        <v>0</v>
      </c>
      <c r="CC342" s="13" t="n">
        <f aca="false">Helpers!CA8</f>
        <v>0</v>
      </c>
      <c r="CD342" s="13" t="n">
        <f aca="false">Helpers!CB8</f>
        <v>0</v>
      </c>
      <c r="CE342" s="13" t="n">
        <f aca="false">Helpers!CC8</f>
        <v>0</v>
      </c>
      <c r="CF342" s="13" t="n">
        <f aca="false">Helpers!CD8</f>
        <v>0</v>
      </c>
      <c r="CG342" s="13" t="n">
        <f aca="false">Helpers!CE8</f>
        <v>0</v>
      </c>
      <c r="CH342" s="13" t="n">
        <f aca="false">Helpers!CF8</f>
        <v>0</v>
      </c>
      <c r="CI342" s="13" t="n">
        <f aca="false">Helpers!CG8</f>
        <v>0</v>
      </c>
      <c r="CJ342" s="13" t="n">
        <f aca="false">Helpers!CH8</f>
        <v>0</v>
      </c>
      <c r="CK342" s="13" t="n">
        <f aca="false">Helpers!CI8</f>
        <v>0</v>
      </c>
      <c r="CL342" s="13" t="n">
        <f aca="false">Helpers!CJ8</f>
        <v>0</v>
      </c>
      <c r="CM342" s="13" t="n">
        <f aca="false">Helpers!CK8</f>
        <v>0</v>
      </c>
      <c r="CN342" s="13" t="n">
        <f aca="false">Helpers!CL8</f>
        <v>0</v>
      </c>
      <c r="CO342" s="13" t="n">
        <f aca="false">Helpers!CM8</f>
        <v>0</v>
      </c>
      <c r="CP342" s="13" t="n">
        <f aca="false">Helpers!CN8</f>
        <v>0</v>
      </c>
      <c r="CQ342" s="13" t="n">
        <f aca="false">Helpers!CO8</f>
        <v>0</v>
      </c>
      <c r="CR342" s="13" t="n">
        <f aca="false">Helpers!CP8</f>
        <v>0</v>
      </c>
      <c r="CS342" s="13" t="n">
        <f aca="false">Helpers!CQ8</f>
        <v>0</v>
      </c>
      <c r="CT342" s="13" t="n">
        <f aca="false">Helpers!CR8</f>
        <v>0</v>
      </c>
      <c r="CU342" s="13" t="n">
        <f aca="false">Helpers!CS8</f>
        <v>0</v>
      </c>
      <c r="CV342" s="13" t="n">
        <f aca="false">Helpers!CT8</f>
        <v>0</v>
      </c>
      <c r="CW342" s="13" t="n">
        <f aca="false">Helpers!CU8</f>
        <v>0</v>
      </c>
      <c r="CX342" s="13" t="n">
        <f aca="false">Helpers!CV8</f>
        <v>0</v>
      </c>
      <c r="CY342" s="13" t="n">
        <f aca="false">Helpers!CW8</f>
        <v>0</v>
      </c>
      <c r="CZ342" s="13" t="n">
        <f aca="false">Helpers!CX8</f>
        <v>0</v>
      </c>
      <c r="DA342" s="13" t="n">
        <f aca="false">Helpers!CY8</f>
        <v>0</v>
      </c>
      <c r="DB342" s="13" t="n">
        <f aca="false">Helpers!CZ8</f>
        <v>0</v>
      </c>
      <c r="DC342" s="13" t="n">
        <f aca="false">Helpers!DA8</f>
        <v>0</v>
      </c>
      <c r="DD342" s="13" t="n">
        <f aca="false">Helpers!DB8</f>
        <v>0</v>
      </c>
      <c r="DE342" s="13" t="n">
        <f aca="false">Helpers!DC8</f>
        <v>0</v>
      </c>
    </row>
    <row r="343" customFormat="false" ht="15" hidden="false" customHeight="true" outlineLevel="0" collapsed="false">
      <c r="A343" s="22" t="s">
        <v>10</v>
      </c>
      <c r="B343" s="13"/>
      <c r="C343" s="13"/>
      <c r="D343" s="13"/>
      <c r="E343" s="13" t="n">
        <f aca="false">Helpers!C9</f>
        <v>13529664.56</v>
      </c>
      <c r="F343" s="13" t="n">
        <f aca="false">Helpers!D9</f>
        <v>12525045.48</v>
      </c>
      <c r="G343" s="13" t="n">
        <f aca="false">Helpers!E9</f>
        <v>11429031.43</v>
      </c>
      <c r="H343" s="13" t="n">
        <f aca="false">Helpers!F9</f>
        <v>10262686.27</v>
      </c>
      <c r="I343" s="13" t="n">
        <f aca="false">Helpers!G9</f>
        <v>9354156.4</v>
      </c>
      <c r="J343" s="13" t="n">
        <f aca="false">Helpers!H9</f>
        <v>8576474.68</v>
      </c>
      <c r="K343" s="13" t="n">
        <f aca="false">Helpers!I9</f>
        <v>7686708.76</v>
      </c>
      <c r="L343" s="13" t="n">
        <f aca="false">Helpers!J9</f>
        <v>7003935.62</v>
      </c>
      <c r="M343" s="13" t="n">
        <f aca="false">Helpers!K9</f>
        <v>6232412.67</v>
      </c>
      <c r="N343" s="13" t="n">
        <f aca="false">Helpers!L9</f>
        <v>5543806.21</v>
      </c>
      <c r="O343" s="13" t="n">
        <f aca="false">Helpers!M9</f>
        <v>4887352.83</v>
      </c>
      <c r="P343" s="13" t="n">
        <f aca="false">Helpers!N9</f>
        <v>4294423.23</v>
      </c>
      <c r="Q343" s="13" t="n">
        <f aca="false">Helpers!O9</f>
        <v>3826241.58</v>
      </c>
      <c r="R343" s="13" t="n">
        <f aca="false">Helpers!P9</f>
        <v>3410361.03</v>
      </c>
      <c r="S343" s="13" t="n">
        <f aca="false">Helpers!Q9</f>
        <v>2510448.86</v>
      </c>
      <c r="T343" s="13" t="n">
        <f aca="false">Helpers!R9</f>
        <v>1384588.44</v>
      </c>
      <c r="U343" s="13" t="n">
        <f aca="false">Helpers!S9</f>
        <v>631341.78</v>
      </c>
      <c r="V343" s="13" t="n">
        <f aca="false">Helpers!T9</f>
        <v>164743.84</v>
      </c>
      <c r="W343" s="13" t="n">
        <f aca="false">Helpers!U9</f>
        <v>0</v>
      </c>
      <c r="X343" s="13" t="n">
        <f aca="false">Helpers!V9</f>
        <v>0</v>
      </c>
      <c r="Y343" s="13" t="n">
        <f aca="false">Helpers!W9</f>
        <v>0</v>
      </c>
      <c r="Z343" s="13" t="n">
        <f aca="false">Helpers!X9</f>
        <v>0</v>
      </c>
      <c r="AA343" s="13" t="n">
        <f aca="false">Helpers!Y9</f>
        <v>0</v>
      </c>
      <c r="AB343" s="13" t="n">
        <f aca="false">Helpers!Z9</f>
        <v>0</v>
      </c>
      <c r="AC343" s="13" t="n">
        <f aca="false">Helpers!AA9</f>
        <v>0</v>
      </c>
      <c r="AD343" s="13" t="n">
        <f aca="false">Helpers!AB9</f>
        <v>0</v>
      </c>
      <c r="AE343" s="13" t="n">
        <f aca="false">Helpers!AC9</f>
        <v>0</v>
      </c>
      <c r="AF343" s="13" t="n">
        <f aca="false">Helpers!AD9</f>
        <v>0</v>
      </c>
      <c r="AG343" s="13" t="n">
        <f aca="false">Helpers!AE9</f>
        <v>0</v>
      </c>
      <c r="AH343" s="13" t="n">
        <f aca="false">Helpers!AF9</f>
        <v>0</v>
      </c>
      <c r="AI343" s="13" t="n">
        <f aca="false">Helpers!AG9</f>
        <v>0</v>
      </c>
      <c r="AJ343" s="13" t="n">
        <f aca="false">Helpers!AH9</f>
        <v>0</v>
      </c>
      <c r="AK343" s="13" t="n">
        <f aca="false">Helpers!AI9</f>
        <v>0</v>
      </c>
      <c r="AL343" s="13" t="n">
        <f aca="false">Helpers!AJ9</f>
        <v>0</v>
      </c>
      <c r="AM343" s="13" t="n">
        <f aca="false">Helpers!AK9</f>
        <v>0</v>
      </c>
      <c r="AN343" s="13" t="n">
        <f aca="false">Helpers!AL9</f>
        <v>0</v>
      </c>
      <c r="AO343" s="13" t="n">
        <f aca="false">Helpers!AM9</f>
        <v>0</v>
      </c>
      <c r="AP343" s="13" t="n">
        <f aca="false">Helpers!AN9</f>
        <v>0</v>
      </c>
      <c r="AQ343" s="13" t="n">
        <f aca="false">Helpers!AO9</f>
        <v>0</v>
      </c>
      <c r="AR343" s="13" t="n">
        <f aca="false">Helpers!AP9</f>
        <v>0</v>
      </c>
      <c r="AS343" s="13" t="n">
        <f aca="false">Helpers!AQ9</f>
        <v>0</v>
      </c>
      <c r="AT343" s="13" t="n">
        <f aca="false">Helpers!AR9</f>
        <v>0</v>
      </c>
      <c r="AU343" s="13" t="n">
        <f aca="false">Helpers!AS9</f>
        <v>0</v>
      </c>
      <c r="AV343" s="13" t="n">
        <f aca="false">Helpers!AT9</f>
        <v>0</v>
      </c>
      <c r="AW343" s="13" t="n">
        <f aca="false">Helpers!AU9</f>
        <v>0</v>
      </c>
      <c r="AX343" s="13" t="n">
        <f aca="false">Helpers!AV9</f>
        <v>0</v>
      </c>
      <c r="AY343" s="13" t="n">
        <f aca="false">Helpers!AW9</f>
        <v>0</v>
      </c>
      <c r="AZ343" s="13" t="n">
        <f aca="false">Helpers!AX9</f>
        <v>0</v>
      </c>
      <c r="BA343" s="13" t="n">
        <f aca="false">Helpers!AY9</f>
        <v>0</v>
      </c>
      <c r="BB343" s="13" t="n">
        <f aca="false">Helpers!AZ9</f>
        <v>0</v>
      </c>
      <c r="BC343" s="13" t="n">
        <f aca="false">Helpers!BA9</f>
        <v>0</v>
      </c>
      <c r="BD343" s="13" t="n">
        <f aca="false">Helpers!BB9</f>
        <v>0</v>
      </c>
      <c r="BE343" s="13" t="n">
        <f aca="false">Helpers!BC9</f>
        <v>0</v>
      </c>
      <c r="BF343" s="13" t="n">
        <f aca="false">Helpers!BD9</f>
        <v>0</v>
      </c>
      <c r="BG343" s="13" t="n">
        <f aca="false">Helpers!BE9</f>
        <v>0</v>
      </c>
      <c r="BH343" s="13" t="n">
        <f aca="false">Helpers!BF9</f>
        <v>0</v>
      </c>
      <c r="BI343" s="13" t="n">
        <f aca="false">Helpers!BG9</f>
        <v>0</v>
      </c>
      <c r="BJ343" s="13" t="n">
        <f aca="false">Helpers!BH9</f>
        <v>0</v>
      </c>
      <c r="BK343" s="13" t="n">
        <f aca="false">Helpers!BI9</f>
        <v>0</v>
      </c>
      <c r="BL343" s="13" t="n">
        <f aca="false">Helpers!BJ9</f>
        <v>0</v>
      </c>
      <c r="BM343" s="13" t="n">
        <f aca="false">Helpers!BK9</f>
        <v>0</v>
      </c>
      <c r="BN343" s="13" t="n">
        <f aca="false">Helpers!BL9</f>
        <v>0</v>
      </c>
      <c r="BO343" s="13" t="n">
        <f aca="false">Helpers!BM9</f>
        <v>0</v>
      </c>
      <c r="BP343" s="13" t="n">
        <f aca="false">Helpers!BN9</f>
        <v>0</v>
      </c>
      <c r="BQ343" s="13" t="n">
        <f aca="false">Helpers!BO9</f>
        <v>0</v>
      </c>
      <c r="BR343" s="13" t="n">
        <f aca="false">Helpers!BP9</f>
        <v>0</v>
      </c>
      <c r="BS343" s="13" t="n">
        <f aca="false">Helpers!BQ9</f>
        <v>0</v>
      </c>
      <c r="BT343" s="13" t="n">
        <f aca="false">Helpers!BR9</f>
        <v>0</v>
      </c>
      <c r="BU343" s="13" t="n">
        <f aca="false">Helpers!BS9</f>
        <v>0</v>
      </c>
      <c r="BV343" s="13" t="n">
        <f aca="false">Helpers!BT9</f>
        <v>0</v>
      </c>
      <c r="BW343" s="13" t="n">
        <f aca="false">Helpers!BU9</f>
        <v>0</v>
      </c>
      <c r="BX343" s="13" t="n">
        <f aca="false">Helpers!BV9</f>
        <v>0</v>
      </c>
      <c r="BY343" s="13" t="n">
        <f aca="false">Helpers!BW9</f>
        <v>0</v>
      </c>
      <c r="BZ343" s="13" t="n">
        <f aca="false">Helpers!BX9</f>
        <v>0</v>
      </c>
      <c r="CA343" s="13" t="n">
        <f aca="false">Helpers!BY9</f>
        <v>0</v>
      </c>
      <c r="CB343" s="13" t="n">
        <f aca="false">Helpers!BZ9</f>
        <v>0</v>
      </c>
      <c r="CC343" s="13" t="n">
        <f aca="false">Helpers!CA9</f>
        <v>0</v>
      </c>
      <c r="CD343" s="13" t="n">
        <f aca="false">Helpers!CB9</f>
        <v>0</v>
      </c>
      <c r="CE343" s="13" t="n">
        <f aca="false">Helpers!CC9</f>
        <v>0</v>
      </c>
      <c r="CF343" s="13" t="n">
        <f aca="false">Helpers!CD9</f>
        <v>0</v>
      </c>
      <c r="CG343" s="13" t="n">
        <f aca="false">Helpers!CE9</f>
        <v>0</v>
      </c>
      <c r="CH343" s="13" t="n">
        <f aca="false">Helpers!CF9</f>
        <v>0</v>
      </c>
      <c r="CI343" s="13" t="n">
        <f aca="false">Helpers!CG9</f>
        <v>0</v>
      </c>
      <c r="CJ343" s="13" t="n">
        <f aca="false">Helpers!CH9</f>
        <v>0</v>
      </c>
      <c r="CK343" s="13" t="n">
        <f aca="false">Helpers!CI9</f>
        <v>0</v>
      </c>
      <c r="CL343" s="13" t="n">
        <f aca="false">Helpers!CJ9</f>
        <v>0</v>
      </c>
      <c r="CM343" s="13" t="n">
        <f aca="false">Helpers!CK9</f>
        <v>0</v>
      </c>
      <c r="CN343" s="13" t="n">
        <f aca="false">Helpers!CL9</f>
        <v>0</v>
      </c>
      <c r="CO343" s="13" t="n">
        <f aca="false">Helpers!CM9</f>
        <v>0</v>
      </c>
      <c r="CP343" s="13" t="n">
        <f aca="false">Helpers!CN9</f>
        <v>0</v>
      </c>
      <c r="CQ343" s="13" t="n">
        <f aca="false">Helpers!CO9</f>
        <v>0</v>
      </c>
      <c r="CR343" s="13" t="n">
        <f aca="false">Helpers!CP9</f>
        <v>0</v>
      </c>
      <c r="CS343" s="13" t="n">
        <f aca="false">Helpers!CQ9</f>
        <v>0</v>
      </c>
      <c r="CT343" s="13" t="n">
        <f aca="false">Helpers!CR9</f>
        <v>0</v>
      </c>
      <c r="CU343" s="13" t="n">
        <f aca="false">Helpers!CS9</f>
        <v>0</v>
      </c>
      <c r="CV343" s="13" t="n">
        <f aca="false">Helpers!CT9</f>
        <v>0</v>
      </c>
      <c r="CW343" s="13" t="n">
        <f aca="false">Helpers!CU9</f>
        <v>0</v>
      </c>
      <c r="CX343" s="13" t="n">
        <f aca="false">Helpers!CV9</f>
        <v>0</v>
      </c>
      <c r="CY343" s="13" t="n">
        <f aca="false">Helpers!CW9</f>
        <v>0</v>
      </c>
      <c r="CZ343" s="13" t="n">
        <f aca="false">Helpers!CX9</f>
        <v>0</v>
      </c>
      <c r="DA343" s="13" t="n">
        <f aca="false">Helpers!CY9</f>
        <v>0</v>
      </c>
      <c r="DB343" s="13" t="n">
        <f aca="false">Helpers!CZ9</f>
        <v>0</v>
      </c>
      <c r="DC343" s="13" t="n">
        <f aca="false">Helpers!DA9</f>
        <v>0</v>
      </c>
      <c r="DD343" s="13" t="n">
        <f aca="false">Helpers!DB9</f>
        <v>0</v>
      </c>
      <c r="DE343" s="13" t="n">
        <f aca="false">Helpers!DC9</f>
        <v>0</v>
      </c>
    </row>
    <row r="344" customFormat="false" ht="15" hidden="false" customHeight="true" outlineLevel="0" collapsed="false">
      <c r="A344" s="22" t="s">
        <v>12</v>
      </c>
      <c r="B344" s="13"/>
      <c r="C344" s="13"/>
      <c r="D344" s="13"/>
      <c r="E344" s="13" t="n">
        <f aca="false">Helpers!C10</f>
        <v>0</v>
      </c>
      <c r="F344" s="13" t="n">
        <f aca="false">Helpers!D10</f>
        <v>0</v>
      </c>
      <c r="G344" s="13" t="n">
        <f aca="false">Helpers!E10</f>
        <v>0</v>
      </c>
      <c r="H344" s="13" t="n">
        <f aca="false">Helpers!F10</f>
        <v>0</v>
      </c>
      <c r="I344" s="13" t="n">
        <f aca="false">Helpers!G10</f>
        <v>42418193.38</v>
      </c>
      <c r="J344" s="13" t="n">
        <f aca="false">Helpers!H10</f>
        <v>41557159.51</v>
      </c>
      <c r="K344" s="13" t="n">
        <f aca="false">Helpers!I10</f>
        <v>40347746.5</v>
      </c>
      <c r="L344" s="13" t="n">
        <f aca="false">Helpers!J10</f>
        <v>39561567.49</v>
      </c>
      <c r="M344" s="13" t="n">
        <f aca="false">Helpers!K10</f>
        <v>38972367.12</v>
      </c>
      <c r="N344" s="13" t="n">
        <f aca="false">Helpers!L10</f>
        <v>38221747.38</v>
      </c>
      <c r="O344" s="13" t="n">
        <f aca="false">Helpers!M10</f>
        <v>37614512.89</v>
      </c>
      <c r="P344" s="13" t="n">
        <f aca="false">Helpers!N10</f>
        <v>36881872.23</v>
      </c>
      <c r="Q344" s="13" t="n">
        <f aca="false">Helpers!O10</f>
        <v>36263088.93</v>
      </c>
      <c r="R344" s="13" t="n">
        <f aca="false">Helpers!P10</f>
        <v>35502601.32</v>
      </c>
      <c r="S344" s="13" t="n">
        <f aca="false">Helpers!Q10</f>
        <v>34787831.07</v>
      </c>
      <c r="T344" s="13" t="n">
        <f aca="false">Helpers!R10</f>
        <v>33505756.49</v>
      </c>
      <c r="U344" s="13" t="n">
        <f aca="false">Helpers!S10</f>
        <v>32686448.68</v>
      </c>
      <c r="V344" s="13" t="n">
        <f aca="false">Helpers!T10</f>
        <v>30243213.22</v>
      </c>
      <c r="W344" s="13" t="n">
        <f aca="false">Helpers!U10</f>
        <v>28699798.34</v>
      </c>
      <c r="X344" s="13" t="n">
        <f aca="false">Helpers!V10</f>
        <v>25529541</v>
      </c>
      <c r="Y344" s="13" t="n">
        <f aca="false">Helpers!W10</f>
        <v>23704130.61</v>
      </c>
      <c r="Z344" s="13" t="n">
        <f aca="false">Helpers!X10</f>
        <v>20828303.45</v>
      </c>
      <c r="AA344" s="13" t="n">
        <f aca="false">Helpers!Y10</f>
        <v>18426892.45</v>
      </c>
      <c r="AB344" s="13" t="n">
        <f aca="false">Helpers!Z10</f>
        <v>16789882.88</v>
      </c>
      <c r="AC344" s="13" t="n">
        <f aca="false">Helpers!AA10</f>
        <v>15753895.35</v>
      </c>
      <c r="AD344" s="13" t="n">
        <f aca="false">Helpers!AB10</f>
        <v>14527106.83</v>
      </c>
      <c r="AE344" s="13" t="n">
        <f aca="false">Helpers!AC10</f>
        <v>13375707.75</v>
      </c>
      <c r="AF344" s="13" t="n">
        <f aca="false">Helpers!AD10</f>
        <v>11951889.75</v>
      </c>
      <c r="AG344" s="13" t="n">
        <f aca="false">Helpers!AE10</f>
        <v>9479263.81</v>
      </c>
      <c r="AH344" s="13" t="n">
        <f aca="false">Helpers!AF10</f>
        <v>7184499.57</v>
      </c>
      <c r="AI344" s="13" t="n">
        <f aca="false">Helpers!AG10</f>
        <v>4941005.43</v>
      </c>
      <c r="AJ344" s="13" t="n">
        <f aca="false">Helpers!AH10</f>
        <v>3716991.2</v>
      </c>
      <c r="AK344" s="13" t="n">
        <f aca="false">Helpers!AI10</f>
        <v>2700888.54</v>
      </c>
      <c r="AL344" s="13" t="n">
        <f aca="false">Helpers!AJ10</f>
        <v>1565814.84</v>
      </c>
      <c r="AM344" s="13" t="n">
        <f aca="false">Helpers!AK10</f>
        <v>331958.4</v>
      </c>
      <c r="AN344" s="13" t="n">
        <f aca="false">Helpers!AL10</f>
        <v>0</v>
      </c>
      <c r="AO344" s="13" t="n">
        <f aca="false">Helpers!AM10</f>
        <v>0</v>
      </c>
      <c r="AP344" s="13" t="n">
        <f aca="false">Helpers!AN10</f>
        <v>0</v>
      </c>
      <c r="AQ344" s="13" t="n">
        <f aca="false">Helpers!AO10</f>
        <v>0</v>
      </c>
      <c r="AR344" s="13" t="n">
        <f aca="false">Helpers!AP10</f>
        <v>0</v>
      </c>
      <c r="AS344" s="13" t="n">
        <f aca="false">Helpers!AQ10</f>
        <v>0</v>
      </c>
      <c r="AT344" s="13" t="n">
        <f aca="false">Helpers!AR10</f>
        <v>0</v>
      </c>
      <c r="AU344" s="13" t="n">
        <f aca="false">Helpers!AS10</f>
        <v>0</v>
      </c>
      <c r="AV344" s="13" t="n">
        <f aca="false">Helpers!AT10</f>
        <v>0</v>
      </c>
      <c r="AW344" s="13" t="n">
        <f aca="false">Helpers!AU10</f>
        <v>0</v>
      </c>
      <c r="AX344" s="13" t="n">
        <f aca="false">Helpers!AV10</f>
        <v>0</v>
      </c>
      <c r="AY344" s="13" t="n">
        <f aca="false">Helpers!AW10</f>
        <v>0</v>
      </c>
      <c r="AZ344" s="13" t="n">
        <f aca="false">Helpers!AX10</f>
        <v>0</v>
      </c>
      <c r="BA344" s="13" t="n">
        <f aca="false">Helpers!AY10</f>
        <v>0</v>
      </c>
      <c r="BB344" s="13" t="n">
        <f aca="false">Helpers!AZ10</f>
        <v>0</v>
      </c>
      <c r="BC344" s="13" t="n">
        <f aca="false">Helpers!BA10</f>
        <v>0</v>
      </c>
      <c r="BD344" s="13" t="n">
        <f aca="false">Helpers!BB10</f>
        <v>0</v>
      </c>
      <c r="BE344" s="13" t="n">
        <f aca="false">Helpers!BC10</f>
        <v>0</v>
      </c>
      <c r="BF344" s="13" t="n">
        <f aca="false">Helpers!BD10</f>
        <v>0</v>
      </c>
      <c r="BG344" s="13" t="n">
        <f aca="false">Helpers!BE10</f>
        <v>0</v>
      </c>
      <c r="BH344" s="13" t="n">
        <f aca="false">Helpers!BF10</f>
        <v>0</v>
      </c>
      <c r="BI344" s="13" t="n">
        <f aca="false">Helpers!BG10</f>
        <v>0</v>
      </c>
      <c r="BJ344" s="13" t="n">
        <f aca="false">Helpers!BH10</f>
        <v>0</v>
      </c>
      <c r="BK344" s="13" t="n">
        <f aca="false">Helpers!BI10</f>
        <v>0</v>
      </c>
      <c r="BL344" s="13" t="n">
        <f aca="false">Helpers!BJ10</f>
        <v>0</v>
      </c>
      <c r="BM344" s="13" t="n">
        <f aca="false">Helpers!BK10</f>
        <v>0</v>
      </c>
      <c r="BN344" s="13" t="n">
        <f aca="false">Helpers!BL10</f>
        <v>0</v>
      </c>
      <c r="BO344" s="13" t="n">
        <f aca="false">Helpers!BM10</f>
        <v>0</v>
      </c>
      <c r="BP344" s="13" t="n">
        <f aca="false">Helpers!BN10</f>
        <v>0</v>
      </c>
      <c r="BQ344" s="13" t="n">
        <f aca="false">Helpers!BO10</f>
        <v>0</v>
      </c>
      <c r="BR344" s="13" t="n">
        <f aca="false">Helpers!BP10</f>
        <v>0</v>
      </c>
      <c r="BS344" s="13" t="n">
        <f aca="false">Helpers!BQ10</f>
        <v>0</v>
      </c>
      <c r="BT344" s="13" t="n">
        <f aca="false">Helpers!BR10</f>
        <v>0</v>
      </c>
      <c r="BU344" s="13" t="n">
        <f aca="false">Helpers!BS10</f>
        <v>0</v>
      </c>
      <c r="BV344" s="13" t="n">
        <f aca="false">Helpers!BT10</f>
        <v>0</v>
      </c>
      <c r="BW344" s="13" t="n">
        <f aca="false">Helpers!BU10</f>
        <v>0</v>
      </c>
      <c r="BX344" s="13" t="n">
        <f aca="false">Helpers!BV10</f>
        <v>0</v>
      </c>
      <c r="BY344" s="13" t="n">
        <f aca="false">Helpers!BW10</f>
        <v>0</v>
      </c>
      <c r="BZ344" s="13" t="n">
        <f aca="false">Helpers!BX10</f>
        <v>0</v>
      </c>
      <c r="CA344" s="13" t="n">
        <f aca="false">Helpers!BY10</f>
        <v>0</v>
      </c>
      <c r="CB344" s="13" t="n">
        <f aca="false">Helpers!BZ10</f>
        <v>0</v>
      </c>
      <c r="CC344" s="13" t="n">
        <f aca="false">Helpers!CA10</f>
        <v>0</v>
      </c>
      <c r="CD344" s="13" t="n">
        <f aca="false">Helpers!CB10</f>
        <v>0</v>
      </c>
      <c r="CE344" s="13" t="n">
        <f aca="false">Helpers!CC10</f>
        <v>0</v>
      </c>
      <c r="CF344" s="13" t="n">
        <f aca="false">Helpers!CD10</f>
        <v>0</v>
      </c>
      <c r="CG344" s="13" t="n">
        <f aca="false">Helpers!CE10</f>
        <v>0</v>
      </c>
      <c r="CH344" s="13" t="n">
        <f aca="false">Helpers!CF10</f>
        <v>0</v>
      </c>
      <c r="CI344" s="13" t="n">
        <f aca="false">Helpers!CG10</f>
        <v>0</v>
      </c>
      <c r="CJ344" s="13" t="n">
        <f aca="false">Helpers!CH10</f>
        <v>0</v>
      </c>
      <c r="CK344" s="13" t="n">
        <f aca="false">Helpers!CI10</f>
        <v>0</v>
      </c>
      <c r="CL344" s="13" t="n">
        <f aca="false">Helpers!CJ10</f>
        <v>0</v>
      </c>
      <c r="CM344" s="13" t="n">
        <f aca="false">Helpers!CK10</f>
        <v>0</v>
      </c>
      <c r="CN344" s="13" t="n">
        <f aca="false">Helpers!CL10</f>
        <v>0</v>
      </c>
      <c r="CO344" s="13" t="n">
        <f aca="false">Helpers!CM10</f>
        <v>0</v>
      </c>
      <c r="CP344" s="13" t="n">
        <f aca="false">Helpers!CN10</f>
        <v>0</v>
      </c>
      <c r="CQ344" s="13" t="n">
        <f aca="false">Helpers!CO10</f>
        <v>0</v>
      </c>
      <c r="CR344" s="13" t="n">
        <f aca="false">Helpers!CP10</f>
        <v>0</v>
      </c>
      <c r="CS344" s="13" t="n">
        <f aca="false">Helpers!CQ10</f>
        <v>0</v>
      </c>
      <c r="CT344" s="13" t="n">
        <f aca="false">Helpers!CR10</f>
        <v>0</v>
      </c>
      <c r="CU344" s="13" t="n">
        <f aca="false">Helpers!CS10</f>
        <v>0</v>
      </c>
      <c r="CV344" s="13" t="n">
        <f aca="false">Helpers!CT10</f>
        <v>0</v>
      </c>
      <c r="CW344" s="13" t="n">
        <f aca="false">Helpers!CU10</f>
        <v>0</v>
      </c>
      <c r="CX344" s="13" t="n">
        <f aca="false">Helpers!CV10</f>
        <v>0</v>
      </c>
      <c r="CY344" s="13" t="n">
        <f aca="false">Helpers!CW10</f>
        <v>0</v>
      </c>
      <c r="CZ344" s="13" t="n">
        <f aca="false">Helpers!CX10</f>
        <v>0</v>
      </c>
      <c r="DA344" s="13" t="n">
        <f aca="false">Helpers!CY10</f>
        <v>0</v>
      </c>
      <c r="DB344" s="13" t="n">
        <f aca="false">Helpers!CZ10</f>
        <v>0</v>
      </c>
      <c r="DC344" s="13" t="n">
        <f aca="false">Helpers!DA10</f>
        <v>0</v>
      </c>
      <c r="DD344" s="13" t="n">
        <f aca="false">Helpers!DB10</f>
        <v>0</v>
      </c>
      <c r="DE344" s="13" t="n">
        <f aca="false">Helpers!DC10</f>
        <v>0</v>
      </c>
    </row>
    <row r="345" customFormat="false" ht="15" hidden="false" customHeight="true" outlineLevel="0" collapsed="false">
      <c r="A345" s="22" t="s">
        <v>13</v>
      </c>
      <c r="B345" s="13"/>
      <c r="C345" s="13"/>
      <c r="D345" s="13"/>
      <c r="E345" s="13" t="n">
        <f aca="false">Helpers!C11</f>
        <v>0</v>
      </c>
      <c r="F345" s="13" t="n">
        <f aca="false">Helpers!D11</f>
        <v>0</v>
      </c>
      <c r="G345" s="13" t="n">
        <f aca="false">Helpers!E11</f>
        <v>0</v>
      </c>
      <c r="H345" s="13" t="n">
        <f aca="false">Helpers!F11</f>
        <v>0</v>
      </c>
      <c r="I345" s="13" t="n">
        <f aca="false">Helpers!G11</f>
        <v>0</v>
      </c>
      <c r="J345" s="13" t="n">
        <f aca="false">Helpers!H11</f>
        <v>12649220.0904822</v>
      </c>
      <c r="K345" s="13" t="n">
        <f aca="false">Helpers!I11</f>
        <v>12223530.9933081</v>
      </c>
      <c r="L345" s="13" t="n">
        <f aca="false">Helpers!J11</f>
        <v>11710510.727302</v>
      </c>
      <c r="M345" s="13" t="n">
        <f aca="false">Helpers!K11</f>
        <v>11107443.5932694</v>
      </c>
      <c r="N345" s="13" t="n">
        <f aca="false">Helpers!L11</f>
        <v>10415940.8194405</v>
      </c>
      <c r="O345" s="13" t="n">
        <f aca="false">Helpers!M11</f>
        <v>9642525.2813924</v>
      </c>
      <c r="P345" s="13" t="n">
        <f aca="false">Helpers!N11</f>
        <v>8798748.44603355</v>
      </c>
      <c r="Q345" s="13" t="n">
        <f aca="false">Helpers!O11</f>
        <v>7900826.54587435</v>
      </c>
      <c r="R345" s="13" t="n">
        <f aca="false">Helpers!P11</f>
        <v>6968757.00225575</v>
      </c>
      <c r="S345" s="13" t="n">
        <f aca="false">Helpers!Q11</f>
        <v>6025019.04774425</v>
      </c>
      <c r="T345" s="13" t="n">
        <f aca="false">Helpers!R11</f>
        <v>5092949.50412565</v>
      </c>
      <c r="U345" s="13" t="n">
        <f aca="false">Helpers!S11</f>
        <v>4195027.60396645</v>
      </c>
      <c r="V345" s="13" t="n">
        <f aca="false">Helpers!T11</f>
        <v>3351250.7686076</v>
      </c>
      <c r="W345" s="13" t="n">
        <f aca="false">Helpers!U11</f>
        <v>2577835.2305595</v>
      </c>
      <c r="X345" s="13" t="n">
        <f aca="false">Helpers!V11</f>
        <v>1886332.4567306</v>
      </c>
      <c r="Y345" s="13" t="n">
        <f aca="false">Helpers!W11</f>
        <v>1283265.322698</v>
      </c>
      <c r="Z345" s="13" t="n">
        <f aca="false">Helpers!X11</f>
        <v>770245.056691899</v>
      </c>
      <c r="AA345" s="13" t="n">
        <f aca="false">Helpers!Y11</f>
        <v>344555.95951785</v>
      </c>
      <c r="AB345" s="13" t="n">
        <f aca="false">Helpers!Z11</f>
        <v>0</v>
      </c>
      <c r="AC345" s="13" t="n">
        <f aca="false">Helpers!AA11</f>
        <v>0</v>
      </c>
      <c r="AD345" s="13" t="n">
        <f aca="false">Helpers!AB11</f>
        <v>0</v>
      </c>
      <c r="AE345" s="13" t="n">
        <f aca="false">Helpers!AC11</f>
        <v>0</v>
      </c>
      <c r="AF345" s="13" t="n">
        <f aca="false">Helpers!AD11</f>
        <v>0</v>
      </c>
      <c r="AG345" s="13" t="n">
        <f aca="false">Helpers!AE11</f>
        <v>0</v>
      </c>
      <c r="AH345" s="13" t="n">
        <f aca="false">Helpers!AF11</f>
        <v>0</v>
      </c>
      <c r="AI345" s="13" t="n">
        <f aca="false">Helpers!AG11</f>
        <v>0</v>
      </c>
      <c r="AJ345" s="13" t="n">
        <f aca="false">Helpers!AH11</f>
        <v>0</v>
      </c>
      <c r="AK345" s="13" t="n">
        <f aca="false">Helpers!AI11</f>
        <v>0</v>
      </c>
      <c r="AL345" s="13" t="n">
        <f aca="false">Helpers!AJ11</f>
        <v>0</v>
      </c>
      <c r="AM345" s="13" t="n">
        <f aca="false">Helpers!AK11</f>
        <v>0</v>
      </c>
      <c r="AN345" s="13" t="n">
        <f aca="false">Helpers!AL11</f>
        <v>0</v>
      </c>
      <c r="AO345" s="13" t="n">
        <f aca="false">Helpers!AM11</f>
        <v>0</v>
      </c>
      <c r="AP345" s="13" t="n">
        <f aca="false">Helpers!AN11</f>
        <v>0</v>
      </c>
      <c r="AQ345" s="13" t="n">
        <f aca="false">Helpers!AO11</f>
        <v>0</v>
      </c>
      <c r="AR345" s="13" t="n">
        <f aca="false">Helpers!AP11</f>
        <v>0</v>
      </c>
      <c r="AS345" s="13" t="n">
        <f aca="false">Helpers!AQ11</f>
        <v>0</v>
      </c>
      <c r="AT345" s="13" t="n">
        <f aca="false">Helpers!AR11</f>
        <v>0</v>
      </c>
      <c r="AU345" s="13" t="n">
        <f aca="false">Helpers!AS11</f>
        <v>0</v>
      </c>
      <c r="AV345" s="13" t="n">
        <f aca="false">Helpers!AT11</f>
        <v>0</v>
      </c>
      <c r="AW345" s="13" t="n">
        <f aca="false">Helpers!AU11</f>
        <v>0</v>
      </c>
      <c r="AX345" s="13" t="n">
        <f aca="false">Helpers!AV11</f>
        <v>0</v>
      </c>
      <c r="AY345" s="13" t="n">
        <f aca="false">Helpers!AW11</f>
        <v>0</v>
      </c>
      <c r="AZ345" s="13" t="n">
        <f aca="false">Helpers!AX11</f>
        <v>0</v>
      </c>
      <c r="BA345" s="13" t="n">
        <f aca="false">Helpers!AY11</f>
        <v>0</v>
      </c>
      <c r="BB345" s="13" t="n">
        <f aca="false">Helpers!AZ11</f>
        <v>0</v>
      </c>
      <c r="BC345" s="13" t="n">
        <f aca="false">Helpers!BA11</f>
        <v>0</v>
      </c>
      <c r="BD345" s="13" t="n">
        <f aca="false">Helpers!BB11</f>
        <v>0</v>
      </c>
      <c r="BE345" s="13" t="n">
        <f aca="false">Helpers!BC11</f>
        <v>0</v>
      </c>
      <c r="BF345" s="13" t="n">
        <f aca="false">Helpers!BD11</f>
        <v>0</v>
      </c>
      <c r="BG345" s="13" t="n">
        <f aca="false">Helpers!BE11</f>
        <v>0</v>
      </c>
      <c r="BH345" s="13" t="n">
        <f aca="false">Helpers!BF11</f>
        <v>0</v>
      </c>
      <c r="BI345" s="13" t="n">
        <f aca="false">Helpers!BG11</f>
        <v>0</v>
      </c>
      <c r="BJ345" s="13" t="n">
        <f aca="false">Helpers!BH11</f>
        <v>0</v>
      </c>
      <c r="BK345" s="13" t="n">
        <f aca="false">Helpers!BI11</f>
        <v>0</v>
      </c>
      <c r="BL345" s="13" t="n">
        <f aca="false">Helpers!BJ11</f>
        <v>0</v>
      </c>
      <c r="BM345" s="13" t="n">
        <f aca="false">Helpers!BK11</f>
        <v>0</v>
      </c>
      <c r="BN345" s="13" t="n">
        <f aca="false">Helpers!BL11</f>
        <v>0</v>
      </c>
      <c r="BO345" s="13" t="n">
        <f aca="false">Helpers!BM11</f>
        <v>0</v>
      </c>
      <c r="BP345" s="13" t="n">
        <f aca="false">Helpers!BN11</f>
        <v>0</v>
      </c>
      <c r="BQ345" s="13" t="n">
        <f aca="false">Helpers!BO11</f>
        <v>0</v>
      </c>
      <c r="BR345" s="13" t="n">
        <f aca="false">Helpers!BP11</f>
        <v>0</v>
      </c>
      <c r="BS345" s="13" t="n">
        <f aca="false">Helpers!BQ11</f>
        <v>0</v>
      </c>
      <c r="BT345" s="13" t="n">
        <f aca="false">Helpers!BR11</f>
        <v>0</v>
      </c>
      <c r="BU345" s="13" t="n">
        <f aca="false">Helpers!BS11</f>
        <v>0</v>
      </c>
      <c r="BV345" s="13" t="n">
        <f aca="false">Helpers!BT11</f>
        <v>0</v>
      </c>
      <c r="BW345" s="13" t="n">
        <f aca="false">Helpers!BU11</f>
        <v>0</v>
      </c>
      <c r="BX345" s="13" t="n">
        <f aca="false">Helpers!BV11</f>
        <v>0</v>
      </c>
      <c r="BY345" s="13" t="n">
        <f aca="false">Helpers!BW11</f>
        <v>0</v>
      </c>
      <c r="BZ345" s="13" t="n">
        <f aca="false">Helpers!BX11</f>
        <v>0</v>
      </c>
      <c r="CA345" s="13" t="n">
        <f aca="false">Helpers!BY11</f>
        <v>0</v>
      </c>
      <c r="CB345" s="13" t="n">
        <f aca="false">Helpers!BZ11</f>
        <v>0</v>
      </c>
      <c r="CC345" s="13" t="n">
        <f aca="false">Helpers!CA11</f>
        <v>0</v>
      </c>
      <c r="CD345" s="13" t="n">
        <f aca="false">Helpers!CB11</f>
        <v>0</v>
      </c>
      <c r="CE345" s="13" t="n">
        <f aca="false">Helpers!CC11</f>
        <v>0</v>
      </c>
      <c r="CF345" s="13" t="n">
        <f aca="false">Helpers!CD11</f>
        <v>0</v>
      </c>
      <c r="CG345" s="13" t="n">
        <f aca="false">Helpers!CE11</f>
        <v>0</v>
      </c>
      <c r="CH345" s="13" t="n">
        <f aca="false">Helpers!CF11</f>
        <v>0</v>
      </c>
      <c r="CI345" s="13" t="n">
        <f aca="false">Helpers!CG11</f>
        <v>0</v>
      </c>
      <c r="CJ345" s="13" t="n">
        <f aca="false">Helpers!CH11</f>
        <v>0</v>
      </c>
      <c r="CK345" s="13" t="n">
        <f aca="false">Helpers!CI11</f>
        <v>0</v>
      </c>
      <c r="CL345" s="13" t="n">
        <f aca="false">Helpers!CJ11</f>
        <v>0</v>
      </c>
      <c r="CM345" s="13" t="n">
        <f aca="false">Helpers!CK11</f>
        <v>0</v>
      </c>
      <c r="CN345" s="13" t="n">
        <f aca="false">Helpers!CL11</f>
        <v>0</v>
      </c>
      <c r="CO345" s="13" t="n">
        <f aca="false">Helpers!CM11</f>
        <v>0</v>
      </c>
      <c r="CP345" s="13" t="n">
        <f aca="false">Helpers!CN11</f>
        <v>0</v>
      </c>
      <c r="CQ345" s="13" t="n">
        <f aca="false">Helpers!CO11</f>
        <v>0</v>
      </c>
      <c r="CR345" s="13" t="n">
        <f aca="false">Helpers!CP11</f>
        <v>0</v>
      </c>
      <c r="CS345" s="13" t="n">
        <f aca="false">Helpers!CQ11</f>
        <v>0</v>
      </c>
      <c r="CT345" s="13" t="n">
        <f aca="false">Helpers!CR11</f>
        <v>0</v>
      </c>
      <c r="CU345" s="13" t="n">
        <f aca="false">Helpers!CS11</f>
        <v>0</v>
      </c>
      <c r="CV345" s="13" t="n">
        <f aca="false">Helpers!CT11</f>
        <v>0</v>
      </c>
      <c r="CW345" s="13" t="n">
        <f aca="false">Helpers!CU11</f>
        <v>0</v>
      </c>
      <c r="CX345" s="13" t="n">
        <f aca="false">Helpers!CV11</f>
        <v>0</v>
      </c>
      <c r="CY345" s="13" t="n">
        <f aca="false">Helpers!CW11</f>
        <v>0</v>
      </c>
      <c r="CZ345" s="13" t="n">
        <f aca="false">Helpers!CX11</f>
        <v>0</v>
      </c>
      <c r="DA345" s="13" t="n">
        <f aca="false">Helpers!CY11</f>
        <v>0</v>
      </c>
      <c r="DB345" s="13" t="n">
        <f aca="false">Helpers!CZ11</f>
        <v>0</v>
      </c>
      <c r="DC345" s="13" t="n">
        <f aca="false">Helpers!DA11</f>
        <v>0</v>
      </c>
      <c r="DD345" s="13" t="n">
        <f aca="false">Helpers!DB11</f>
        <v>0</v>
      </c>
      <c r="DE345" s="13" t="n">
        <f aca="false">Helpers!DC11</f>
        <v>0</v>
      </c>
    </row>
    <row r="346" customFormat="false" ht="15" hidden="false" customHeight="true" outlineLevel="0" collapsed="false">
      <c r="A346" s="22" t="s">
        <v>14</v>
      </c>
      <c r="B346" s="13"/>
      <c r="C346" s="13"/>
      <c r="D346" s="13"/>
      <c r="E346" s="13" t="n">
        <f aca="false">Helpers!C12</f>
        <v>0</v>
      </c>
      <c r="F346" s="13" t="n">
        <f aca="false">Helpers!D12</f>
        <v>0</v>
      </c>
      <c r="G346" s="13" t="n">
        <f aca="false">Helpers!E12</f>
        <v>0</v>
      </c>
      <c r="H346" s="13" t="n">
        <f aca="false">Helpers!F12</f>
        <v>0</v>
      </c>
      <c r="I346" s="13" t="n">
        <f aca="false">Helpers!G12</f>
        <v>14106170.5891092</v>
      </c>
      <c r="J346" s="13" t="n">
        <f aca="false">Helpers!H12</f>
        <v>13840677.8231148</v>
      </c>
      <c r="K346" s="13" t="n">
        <f aca="false">Helpers!I12</f>
        <v>13538353.2763752</v>
      </c>
      <c r="L346" s="13" t="n">
        <f aca="false">Helpers!J12</f>
        <v>13197519.5186268</v>
      </c>
      <c r="M346" s="13" t="n">
        <f aca="false">Helpers!K12</f>
        <v>12817086.9370488</v>
      </c>
      <c r="N346" s="13" t="n">
        <f aca="false">Helpers!L12</f>
        <v>12396682.7693604</v>
      </c>
      <c r="O346" s="13" t="n">
        <f aca="false">Helpers!M12</f>
        <v>11936722.7888748</v>
      </c>
      <c r="P346" s="13" t="n">
        <f aca="false">Helpers!N12</f>
        <v>11438482.9895532</v>
      </c>
      <c r="Q346" s="13" t="n">
        <f aca="false">Helpers!O12</f>
        <v>10904156.934048</v>
      </c>
      <c r="R346" s="13" t="n">
        <f aca="false">Helpers!P12</f>
        <v>10336812.7426704</v>
      </c>
      <c r="S346" s="13" t="n">
        <f aca="false">Helpers!Q12</f>
        <v>9740407.4304012</v>
      </c>
      <c r="T346" s="13" t="n">
        <f aca="false">Helpers!R12</f>
        <v>9119686.5478152</v>
      </c>
      <c r="U346" s="13" t="n">
        <f aca="false">Helpers!S12</f>
        <v>8480069.4849948</v>
      </c>
      <c r="V346" s="13" t="n">
        <f aca="false">Helpers!T12</f>
        <v>7827549.1124544</v>
      </c>
      <c r="W346" s="13" t="n">
        <f aca="false">Helpers!U12</f>
        <v>7168476.7259784</v>
      </c>
      <c r="X346" s="13" t="n">
        <f aca="false">Helpers!V12</f>
        <v>6509404.3395024</v>
      </c>
      <c r="Y346" s="13" t="n">
        <f aca="false">Helpers!W12</f>
        <v>5856883.966962</v>
      </c>
      <c r="Z346" s="13" t="n">
        <f aca="false">Helpers!X12</f>
        <v>5217266.9041416</v>
      </c>
      <c r="AA346" s="13" t="n">
        <f aca="false">Helpers!Y12</f>
        <v>4596546.0215556</v>
      </c>
      <c r="AB346" s="13" t="n">
        <f aca="false">Helpers!Z12</f>
        <v>0</v>
      </c>
      <c r="AC346" s="13" t="n">
        <f aca="false">Helpers!AA12</f>
        <v>0</v>
      </c>
      <c r="AD346" s="13" t="n">
        <f aca="false">Helpers!AB12</f>
        <v>0</v>
      </c>
      <c r="AE346" s="13" t="n">
        <f aca="false">Helpers!AC12</f>
        <v>0</v>
      </c>
      <c r="AF346" s="13" t="n">
        <f aca="false">Helpers!AD12</f>
        <v>0</v>
      </c>
      <c r="AG346" s="13" t="n">
        <f aca="false">Helpers!AE12</f>
        <v>0</v>
      </c>
      <c r="AH346" s="13" t="n">
        <f aca="false">Helpers!AF12</f>
        <v>0</v>
      </c>
      <c r="AI346" s="13" t="n">
        <f aca="false">Helpers!AG12</f>
        <v>0</v>
      </c>
      <c r="AJ346" s="13" t="n">
        <f aca="false">Helpers!AH12</f>
        <v>0</v>
      </c>
      <c r="AK346" s="13" t="n">
        <f aca="false">Helpers!AI12</f>
        <v>0</v>
      </c>
      <c r="AL346" s="13" t="n">
        <f aca="false">Helpers!AJ12</f>
        <v>0</v>
      </c>
      <c r="AM346" s="13" t="n">
        <f aca="false">Helpers!AK12</f>
        <v>0</v>
      </c>
      <c r="AN346" s="13" t="n">
        <f aca="false">Helpers!AL12</f>
        <v>0</v>
      </c>
      <c r="AO346" s="13" t="n">
        <f aca="false">Helpers!AM12</f>
        <v>0</v>
      </c>
      <c r="AP346" s="13" t="n">
        <f aca="false">Helpers!AN12</f>
        <v>0</v>
      </c>
      <c r="AQ346" s="13" t="n">
        <f aca="false">Helpers!AO12</f>
        <v>0</v>
      </c>
      <c r="AR346" s="13" t="n">
        <f aca="false">Helpers!AP12</f>
        <v>0</v>
      </c>
      <c r="AS346" s="13" t="n">
        <f aca="false">Helpers!AQ12</f>
        <v>0</v>
      </c>
      <c r="AT346" s="13" t="n">
        <f aca="false">Helpers!AR12</f>
        <v>0</v>
      </c>
      <c r="AU346" s="13" t="n">
        <f aca="false">Helpers!AS12</f>
        <v>0</v>
      </c>
      <c r="AV346" s="13" t="n">
        <f aca="false">Helpers!AT12</f>
        <v>0</v>
      </c>
      <c r="AW346" s="13" t="n">
        <f aca="false">Helpers!AU12</f>
        <v>0</v>
      </c>
      <c r="AX346" s="13" t="n">
        <f aca="false">Helpers!AV12</f>
        <v>0</v>
      </c>
      <c r="AY346" s="13" t="n">
        <f aca="false">Helpers!AW12</f>
        <v>0</v>
      </c>
      <c r="AZ346" s="13" t="n">
        <f aca="false">Helpers!AX12</f>
        <v>0</v>
      </c>
      <c r="BA346" s="13" t="n">
        <f aca="false">Helpers!AY12</f>
        <v>0</v>
      </c>
      <c r="BB346" s="13" t="n">
        <f aca="false">Helpers!AZ12</f>
        <v>0</v>
      </c>
      <c r="BC346" s="13" t="n">
        <f aca="false">Helpers!BA12</f>
        <v>0</v>
      </c>
      <c r="BD346" s="13" t="n">
        <f aca="false">Helpers!BB12</f>
        <v>0</v>
      </c>
      <c r="BE346" s="13" t="n">
        <f aca="false">Helpers!BC12</f>
        <v>0</v>
      </c>
      <c r="BF346" s="13" t="n">
        <f aca="false">Helpers!BD12</f>
        <v>0</v>
      </c>
      <c r="BG346" s="13" t="n">
        <f aca="false">Helpers!BE12</f>
        <v>0</v>
      </c>
      <c r="BH346" s="13" t="n">
        <f aca="false">Helpers!BF12</f>
        <v>0</v>
      </c>
      <c r="BI346" s="13" t="n">
        <f aca="false">Helpers!BG12</f>
        <v>0</v>
      </c>
      <c r="BJ346" s="13" t="n">
        <f aca="false">Helpers!BH12</f>
        <v>0</v>
      </c>
      <c r="BK346" s="13" t="n">
        <f aca="false">Helpers!BI12</f>
        <v>0</v>
      </c>
      <c r="BL346" s="13" t="n">
        <f aca="false">Helpers!BJ12</f>
        <v>0</v>
      </c>
      <c r="BM346" s="13" t="n">
        <f aca="false">Helpers!BK12</f>
        <v>0</v>
      </c>
      <c r="BN346" s="13" t="n">
        <f aca="false">Helpers!BL12</f>
        <v>0</v>
      </c>
      <c r="BO346" s="13" t="n">
        <f aca="false">Helpers!BM12</f>
        <v>0</v>
      </c>
      <c r="BP346" s="13" t="n">
        <f aca="false">Helpers!BN12</f>
        <v>0</v>
      </c>
      <c r="BQ346" s="13" t="n">
        <f aca="false">Helpers!BO12</f>
        <v>0</v>
      </c>
      <c r="BR346" s="13" t="n">
        <f aca="false">Helpers!BP12</f>
        <v>0</v>
      </c>
      <c r="BS346" s="13" t="n">
        <f aca="false">Helpers!BQ12</f>
        <v>0</v>
      </c>
      <c r="BT346" s="13" t="n">
        <f aca="false">Helpers!BR12</f>
        <v>0</v>
      </c>
      <c r="BU346" s="13" t="n">
        <f aca="false">Helpers!BS12</f>
        <v>0</v>
      </c>
      <c r="BV346" s="13" t="n">
        <f aca="false">Helpers!BT12</f>
        <v>0</v>
      </c>
      <c r="BW346" s="13" t="n">
        <f aca="false">Helpers!BU12</f>
        <v>0</v>
      </c>
      <c r="BX346" s="13" t="n">
        <f aca="false">Helpers!BV12</f>
        <v>0</v>
      </c>
      <c r="BY346" s="13" t="n">
        <f aca="false">Helpers!BW12</f>
        <v>0</v>
      </c>
      <c r="BZ346" s="13" t="n">
        <f aca="false">Helpers!BX12</f>
        <v>0</v>
      </c>
      <c r="CA346" s="13" t="n">
        <f aca="false">Helpers!BY12</f>
        <v>0</v>
      </c>
      <c r="CB346" s="13" t="n">
        <f aca="false">Helpers!BZ12</f>
        <v>0</v>
      </c>
      <c r="CC346" s="13" t="n">
        <f aca="false">Helpers!CA12</f>
        <v>0</v>
      </c>
      <c r="CD346" s="13" t="n">
        <f aca="false">Helpers!CB12</f>
        <v>0</v>
      </c>
      <c r="CE346" s="13" t="n">
        <f aca="false">Helpers!CC12</f>
        <v>0</v>
      </c>
      <c r="CF346" s="13" t="n">
        <f aca="false">Helpers!CD12</f>
        <v>0</v>
      </c>
      <c r="CG346" s="13" t="n">
        <f aca="false">Helpers!CE12</f>
        <v>0</v>
      </c>
      <c r="CH346" s="13" t="n">
        <f aca="false">Helpers!CF12</f>
        <v>0</v>
      </c>
      <c r="CI346" s="13" t="n">
        <f aca="false">Helpers!CG12</f>
        <v>0</v>
      </c>
      <c r="CJ346" s="13" t="n">
        <f aca="false">Helpers!CH12</f>
        <v>0</v>
      </c>
      <c r="CK346" s="13" t="n">
        <f aca="false">Helpers!CI12</f>
        <v>0</v>
      </c>
      <c r="CL346" s="13" t="n">
        <f aca="false">Helpers!CJ12</f>
        <v>0</v>
      </c>
      <c r="CM346" s="13" t="n">
        <f aca="false">Helpers!CK12</f>
        <v>0</v>
      </c>
      <c r="CN346" s="13" t="n">
        <f aca="false">Helpers!CL12</f>
        <v>0</v>
      </c>
      <c r="CO346" s="13" t="n">
        <f aca="false">Helpers!CM12</f>
        <v>0</v>
      </c>
      <c r="CP346" s="13" t="n">
        <f aca="false">Helpers!CN12</f>
        <v>0</v>
      </c>
      <c r="CQ346" s="13" t="n">
        <f aca="false">Helpers!CO12</f>
        <v>0</v>
      </c>
      <c r="CR346" s="13" t="n">
        <f aca="false">Helpers!CP12</f>
        <v>0</v>
      </c>
      <c r="CS346" s="13" t="n">
        <f aca="false">Helpers!CQ12</f>
        <v>0</v>
      </c>
      <c r="CT346" s="13" t="n">
        <f aca="false">Helpers!CR12</f>
        <v>0</v>
      </c>
      <c r="CU346" s="13" t="n">
        <f aca="false">Helpers!CS12</f>
        <v>0</v>
      </c>
      <c r="CV346" s="13" t="n">
        <f aca="false">Helpers!CT12</f>
        <v>0</v>
      </c>
      <c r="CW346" s="13" t="n">
        <f aca="false">Helpers!CU12</f>
        <v>0</v>
      </c>
      <c r="CX346" s="13" t="n">
        <f aca="false">Helpers!CV12</f>
        <v>0</v>
      </c>
      <c r="CY346" s="13" t="n">
        <f aca="false">Helpers!CW12</f>
        <v>0</v>
      </c>
      <c r="CZ346" s="13" t="n">
        <f aca="false">Helpers!CX12</f>
        <v>0</v>
      </c>
      <c r="DA346" s="13" t="n">
        <f aca="false">Helpers!CY12</f>
        <v>0</v>
      </c>
      <c r="DB346" s="13" t="n">
        <f aca="false">Helpers!CZ12</f>
        <v>0</v>
      </c>
      <c r="DC346" s="13" t="n">
        <f aca="false">Helpers!DA12</f>
        <v>0</v>
      </c>
      <c r="DD346" s="13" t="n">
        <f aca="false">Helpers!DB12</f>
        <v>0</v>
      </c>
      <c r="DE346" s="13" t="n">
        <f aca="false">Helpers!DC12</f>
        <v>0</v>
      </c>
    </row>
    <row r="347" customFormat="false" ht="15" hidden="false" customHeight="true" outlineLevel="0" collapsed="false">
      <c r="A347" s="22" t="s">
        <v>15</v>
      </c>
      <c r="B347" s="13"/>
      <c r="C347" s="13"/>
      <c r="D347" s="13"/>
      <c r="E347" s="13" t="n">
        <f aca="false">Helpers!C13</f>
        <v>0</v>
      </c>
      <c r="F347" s="13" t="n">
        <f aca="false">Helpers!D13</f>
        <v>0</v>
      </c>
      <c r="G347" s="13" t="n">
        <f aca="false">Helpers!E13</f>
        <v>0</v>
      </c>
      <c r="H347" s="13" t="n">
        <f aca="false">Helpers!F13</f>
        <v>0</v>
      </c>
      <c r="I347" s="13" t="n">
        <f aca="false">Helpers!G13</f>
        <v>0</v>
      </c>
      <c r="J347" s="13" t="n">
        <f aca="false">Helpers!H13</f>
        <v>0</v>
      </c>
      <c r="K347" s="13" t="n">
        <f aca="false">Helpers!I13</f>
        <v>0</v>
      </c>
      <c r="L347" s="13" t="n">
        <f aca="false">Helpers!J13</f>
        <v>0</v>
      </c>
      <c r="M347" s="13" t="n">
        <f aca="false">Helpers!K13</f>
        <v>20699563.289615</v>
      </c>
      <c r="N347" s="13" t="n">
        <f aca="false">Helpers!L13</f>
        <v>20002952.87841</v>
      </c>
      <c r="O347" s="13" t="n">
        <f aca="false">Helpers!M13</f>
        <v>19163431.1222</v>
      </c>
      <c r="P347" s="13" t="n">
        <f aca="false">Helpers!N13</f>
        <v>18176553.96934</v>
      </c>
      <c r="Q347" s="13" t="n">
        <f aca="false">Helpers!O13</f>
        <v>17044958.08205</v>
      </c>
      <c r="R347" s="13" t="n">
        <f aca="false">Helpers!P13</f>
        <v>15779317.68964</v>
      </c>
      <c r="S347" s="13" t="n">
        <f aca="false">Helpers!Q13</f>
        <v>14398535.959155</v>
      </c>
      <c r="T347" s="13" t="n">
        <f aca="false">Helpers!R13</f>
        <v>12929149.620035</v>
      </c>
      <c r="U347" s="13" t="n">
        <f aca="false">Helpers!S13</f>
        <v>11403883.052575</v>
      </c>
      <c r="V347" s="13" t="n">
        <f aca="false">Helpers!T13</f>
        <v>9859521.947425</v>
      </c>
      <c r="W347" s="13" t="n">
        <f aca="false">Helpers!U13</f>
        <v>8334255.379965</v>
      </c>
      <c r="X347" s="13" t="n">
        <f aca="false">Helpers!V13</f>
        <v>6864869.040845</v>
      </c>
      <c r="Y347" s="13" t="n">
        <f aca="false">Helpers!W13</f>
        <v>5484087.31036</v>
      </c>
      <c r="Z347" s="13" t="n">
        <f aca="false">Helpers!X13</f>
        <v>4218446.91795</v>
      </c>
      <c r="AA347" s="13" t="n">
        <f aca="false">Helpers!Y13</f>
        <v>3086851.03066</v>
      </c>
      <c r="AB347" s="13" t="n">
        <f aca="false">Helpers!Z13</f>
        <v>2099973.8778</v>
      </c>
      <c r="AC347" s="13" t="n">
        <f aca="false">Helpers!AA13</f>
        <v>1260452.12159</v>
      </c>
      <c r="AD347" s="13" t="n">
        <f aca="false">Helpers!AB13</f>
        <v>563841.710385</v>
      </c>
      <c r="AE347" s="13" t="n">
        <f aca="false">Helpers!AC13</f>
        <v>0</v>
      </c>
      <c r="AF347" s="13" t="n">
        <f aca="false">Helpers!AD13</f>
        <v>0</v>
      </c>
      <c r="AG347" s="13" t="n">
        <f aca="false">Helpers!AE13</f>
        <v>0</v>
      </c>
      <c r="AH347" s="13" t="n">
        <f aca="false">Helpers!AF13</f>
        <v>0</v>
      </c>
      <c r="AI347" s="13" t="n">
        <f aca="false">Helpers!AG13</f>
        <v>0</v>
      </c>
      <c r="AJ347" s="13" t="n">
        <f aca="false">Helpers!AH13</f>
        <v>0</v>
      </c>
      <c r="AK347" s="13" t="n">
        <f aca="false">Helpers!AI13</f>
        <v>0</v>
      </c>
      <c r="AL347" s="13" t="n">
        <f aca="false">Helpers!AJ13</f>
        <v>0</v>
      </c>
      <c r="AM347" s="13" t="n">
        <f aca="false">Helpers!AK13</f>
        <v>0</v>
      </c>
      <c r="AN347" s="13" t="n">
        <f aca="false">Helpers!AL13</f>
        <v>0</v>
      </c>
      <c r="AO347" s="13" t="n">
        <f aca="false">Helpers!AM13</f>
        <v>0</v>
      </c>
      <c r="AP347" s="13" t="n">
        <f aca="false">Helpers!AN13</f>
        <v>0</v>
      </c>
      <c r="AQ347" s="13" t="n">
        <f aca="false">Helpers!AO13</f>
        <v>0</v>
      </c>
      <c r="AR347" s="13" t="n">
        <f aca="false">Helpers!AP13</f>
        <v>0</v>
      </c>
      <c r="AS347" s="13" t="n">
        <f aca="false">Helpers!AQ13</f>
        <v>0</v>
      </c>
      <c r="AT347" s="13" t="n">
        <f aca="false">Helpers!AR13</f>
        <v>0</v>
      </c>
      <c r="AU347" s="13" t="n">
        <f aca="false">Helpers!AS13</f>
        <v>0</v>
      </c>
      <c r="AV347" s="13" t="n">
        <f aca="false">Helpers!AT13</f>
        <v>0</v>
      </c>
      <c r="AW347" s="13" t="n">
        <f aca="false">Helpers!AU13</f>
        <v>0</v>
      </c>
      <c r="AX347" s="13" t="n">
        <f aca="false">Helpers!AV13</f>
        <v>0</v>
      </c>
      <c r="AY347" s="13" t="n">
        <f aca="false">Helpers!AW13</f>
        <v>0</v>
      </c>
      <c r="AZ347" s="13" t="n">
        <f aca="false">Helpers!AX13</f>
        <v>0</v>
      </c>
      <c r="BA347" s="13" t="n">
        <f aca="false">Helpers!AY13</f>
        <v>0</v>
      </c>
      <c r="BB347" s="13" t="n">
        <f aca="false">Helpers!AZ13</f>
        <v>0</v>
      </c>
      <c r="BC347" s="13" t="n">
        <f aca="false">Helpers!BA13</f>
        <v>0</v>
      </c>
      <c r="BD347" s="13" t="n">
        <f aca="false">Helpers!BB13</f>
        <v>0</v>
      </c>
      <c r="BE347" s="13" t="n">
        <f aca="false">Helpers!BC13</f>
        <v>0</v>
      </c>
      <c r="BF347" s="13" t="n">
        <f aca="false">Helpers!BD13</f>
        <v>0</v>
      </c>
      <c r="BG347" s="13" t="n">
        <f aca="false">Helpers!BE13</f>
        <v>0</v>
      </c>
      <c r="BH347" s="13" t="n">
        <f aca="false">Helpers!BF13</f>
        <v>0</v>
      </c>
      <c r="BI347" s="13" t="n">
        <f aca="false">Helpers!BG13</f>
        <v>0</v>
      </c>
      <c r="BJ347" s="13" t="n">
        <f aca="false">Helpers!BH13</f>
        <v>0</v>
      </c>
      <c r="BK347" s="13" t="n">
        <f aca="false">Helpers!BI13</f>
        <v>0</v>
      </c>
      <c r="BL347" s="13" t="n">
        <f aca="false">Helpers!BJ13</f>
        <v>0</v>
      </c>
      <c r="BM347" s="13" t="n">
        <f aca="false">Helpers!BK13</f>
        <v>0</v>
      </c>
      <c r="BN347" s="13" t="n">
        <f aca="false">Helpers!BL13</f>
        <v>0</v>
      </c>
      <c r="BO347" s="13" t="n">
        <f aca="false">Helpers!BM13</f>
        <v>0</v>
      </c>
      <c r="BP347" s="13" t="n">
        <f aca="false">Helpers!BN13</f>
        <v>0</v>
      </c>
      <c r="BQ347" s="13" t="n">
        <f aca="false">Helpers!BO13</f>
        <v>0</v>
      </c>
      <c r="BR347" s="13" t="n">
        <f aca="false">Helpers!BP13</f>
        <v>0</v>
      </c>
      <c r="BS347" s="13" t="n">
        <f aca="false">Helpers!BQ13</f>
        <v>0</v>
      </c>
      <c r="BT347" s="13" t="n">
        <f aca="false">Helpers!BR13</f>
        <v>0</v>
      </c>
      <c r="BU347" s="13" t="n">
        <f aca="false">Helpers!BS13</f>
        <v>0</v>
      </c>
      <c r="BV347" s="13" t="n">
        <f aca="false">Helpers!BT13</f>
        <v>0</v>
      </c>
      <c r="BW347" s="13" t="n">
        <f aca="false">Helpers!BU13</f>
        <v>0</v>
      </c>
      <c r="BX347" s="13" t="n">
        <f aca="false">Helpers!BV13</f>
        <v>0</v>
      </c>
      <c r="BY347" s="13" t="n">
        <f aca="false">Helpers!BW13</f>
        <v>0</v>
      </c>
      <c r="BZ347" s="13" t="n">
        <f aca="false">Helpers!BX13</f>
        <v>0</v>
      </c>
      <c r="CA347" s="13" t="n">
        <f aca="false">Helpers!BY13</f>
        <v>0</v>
      </c>
      <c r="CB347" s="13" t="n">
        <f aca="false">Helpers!BZ13</f>
        <v>0</v>
      </c>
      <c r="CC347" s="13" t="n">
        <f aca="false">Helpers!CA13</f>
        <v>0</v>
      </c>
      <c r="CD347" s="13" t="n">
        <f aca="false">Helpers!CB13</f>
        <v>0</v>
      </c>
      <c r="CE347" s="13" t="n">
        <f aca="false">Helpers!CC13</f>
        <v>0</v>
      </c>
      <c r="CF347" s="13" t="n">
        <f aca="false">Helpers!CD13</f>
        <v>0</v>
      </c>
      <c r="CG347" s="13" t="n">
        <f aca="false">Helpers!CE13</f>
        <v>0</v>
      </c>
      <c r="CH347" s="13" t="n">
        <f aca="false">Helpers!CF13</f>
        <v>0</v>
      </c>
      <c r="CI347" s="13" t="n">
        <f aca="false">Helpers!CG13</f>
        <v>0</v>
      </c>
      <c r="CJ347" s="13" t="n">
        <f aca="false">Helpers!CH13</f>
        <v>0</v>
      </c>
      <c r="CK347" s="13" t="n">
        <f aca="false">Helpers!CI13</f>
        <v>0</v>
      </c>
      <c r="CL347" s="13" t="n">
        <f aca="false">Helpers!CJ13</f>
        <v>0</v>
      </c>
      <c r="CM347" s="13" t="n">
        <f aca="false">Helpers!CK13</f>
        <v>0</v>
      </c>
      <c r="CN347" s="13" t="n">
        <f aca="false">Helpers!CL13</f>
        <v>0</v>
      </c>
      <c r="CO347" s="13" t="n">
        <f aca="false">Helpers!CM13</f>
        <v>0</v>
      </c>
      <c r="CP347" s="13" t="n">
        <f aca="false">Helpers!CN13</f>
        <v>0</v>
      </c>
      <c r="CQ347" s="13" t="n">
        <f aca="false">Helpers!CO13</f>
        <v>0</v>
      </c>
      <c r="CR347" s="13" t="n">
        <f aca="false">Helpers!CP13</f>
        <v>0</v>
      </c>
      <c r="CS347" s="13" t="n">
        <f aca="false">Helpers!CQ13</f>
        <v>0</v>
      </c>
      <c r="CT347" s="13" t="n">
        <f aca="false">Helpers!CR13</f>
        <v>0</v>
      </c>
      <c r="CU347" s="13" t="n">
        <f aca="false">Helpers!CS13</f>
        <v>0</v>
      </c>
      <c r="CV347" s="13" t="n">
        <f aca="false">Helpers!CT13</f>
        <v>0</v>
      </c>
      <c r="CW347" s="13" t="n">
        <f aca="false">Helpers!CU13</f>
        <v>0</v>
      </c>
      <c r="CX347" s="13" t="n">
        <f aca="false">Helpers!CV13</f>
        <v>0</v>
      </c>
      <c r="CY347" s="13" t="n">
        <f aca="false">Helpers!CW13</f>
        <v>0</v>
      </c>
      <c r="CZ347" s="13" t="n">
        <f aca="false">Helpers!CX13</f>
        <v>0</v>
      </c>
      <c r="DA347" s="13" t="n">
        <f aca="false">Helpers!CY13</f>
        <v>0</v>
      </c>
      <c r="DB347" s="13" t="n">
        <f aca="false">Helpers!CZ13</f>
        <v>0</v>
      </c>
      <c r="DC347" s="13" t="n">
        <f aca="false">Helpers!DA13</f>
        <v>0</v>
      </c>
      <c r="DD347" s="13" t="n">
        <f aca="false">Helpers!DB13</f>
        <v>0</v>
      </c>
      <c r="DE347" s="13" t="n">
        <f aca="false">Helpers!DC13</f>
        <v>0</v>
      </c>
    </row>
    <row r="348" customFormat="false" ht="15" hidden="false" customHeight="true" outlineLevel="0" collapsed="false">
      <c r="A348" s="22" t="s">
        <v>18</v>
      </c>
      <c r="B348" s="13"/>
      <c r="C348" s="13"/>
      <c r="D348" s="13"/>
      <c r="E348" s="13" t="n">
        <f aca="false">Helpers!C14</f>
        <v>0</v>
      </c>
      <c r="F348" s="13" t="n">
        <f aca="false">Helpers!D14</f>
        <v>0</v>
      </c>
      <c r="G348" s="13" t="n">
        <f aca="false">Helpers!E14</f>
        <v>0</v>
      </c>
      <c r="H348" s="13" t="n">
        <f aca="false">Helpers!F14</f>
        <v>0</v>
      </c>
      <c r="I348" s="13" t="n">
        <f aca="false">Helpers!G14</f>
        <v>0</v>
      </c>
      <c r="J348" s="13" t="n">
        <f aca="false">Helpers!H14</f>
        <v>0</v>
      </c>
      <c r="K348" s="13" t="n">
        <f aca="false">Helpers!I14</f>
        <v>0</v>
      </c>
      <c r="L348" s="13" t="n">
        <f aca="false">Helpers!J14</f>
        <v>0</v>
      </c>
      <c r="M348" s="13" t="n">
        <f aca="false">Helpers!K14</f>
        <v>0</v>
      </c>
      <c r="N348" s="13" t="n">
        <f aca="false">Helpers!L14</f>
        <v>0</v>
      </c>
      <c r="O348" s="13" t="n">
        <f aca="false">Helpers!M14</f>
        <v>0</v>
      </c>
      <c r="P348" s="13" t="n">
        <f aca="false">Helpers!N14</f>
        <v>0</v>
      </c>
      <c r="Q348" s="13" t="n">
        <f aca="false">Helpers!O14</f>
        <v>44537929.73623</v>
      </c>
      <c r="R348" s="13" t="n">
        <f aca="false">Helpers!P14</f>
        <v>43699679.68937</v>
      </c>
      <c r="S348" s="13" t="n">
        <f aca="false">Helpers!Q14</f>
        <v>42745139.31038</v>
      </c>
      <c r="T348" s="13" t="n">
        <f aca="false">Helpers!R14</f>
        <v>41669012.38717</v>
      </c>
      <c r="U348" s="13" t="n">
        <f aca="false">Helpers!S14</f>
        <v>40467858.64522</v>
      </c>
      <c r="V348" s="13" t="n">
        <f aca="false">Helpers!T14</f>
        <v>39140501.14851</v>
      </c>
      <c r="W348" s="13" t="n">
        <f aca="false">Helpers!U14</f>
        <v>37688252.63337</v>
      </c>
      <c r="X348" s="13" t="n">
        <f aca="false">Helpers!V14</f>
        <v>36115141.84233</v>
      </c>
      <c r="Y348" s="13" t="n">
        <f aca="false">Helpers!W14</f>
        <v>34428094.5912</v>
      </c>
      <c r="Z348" s="13" t="n">
        <f aca="false">Helpers!X14</f>
        <v>32636797.96876</v>
      </c>
      <c r="AA348" s="13" t="n">
        <f aca="false">Helpers!Y14</f>
        <v>30753745.60353</v>
      </c>
      <c r="AB348" s="13" t="n">
        <f aca="false">Helpers!Z14</f>
        <v>28793920.79638</v>
      </c>
      <c r="AC348" s="13" t="n">
        <f aca="false">Helpers!AA14</f>
        <v>26774434.38637</v>
      </c>
      <c r="AD348" s="13" t="n">
        <f aca="false">Helpers!AB14</f>
        <v>24714207.88336</v>
      </c>
      <c r="AE348" s="13" t="n">
        <f aca="false">Helpers!AC14</f>
        <v>22633294.46646</v>
      </c>
      <c r="AF348" s="13" t="n">
        <f aca="false">Helpers!AD14</f>
        <v>20552381.04956</v>
      </c>
      <c r="AG348" s="13" t="n">
        <f aca="false">Helpers!AE14</f>
        <v>18492154.54655</v>
      </c>
      <c r="AH348" s="13" t="n">
        <f aca="false">Helpers!AF14</f>
        <v>16472668.13654</v>
      </c>
      <c r="AI348" s="13" t="n">
        <f aca="false">Helpers!AG14</f>
        <v>14512843.32939</v>
      </c>
      <c r="AJ348" s="13" t="n">
        <f aca="false">Helpers!AH14</f>
        <v>12629790.96416</v>
      </c>
      <c r="AK348" s="13" t="n">
        <f aca="false">Helpers!AI14</f>
        <v>10838494.34172</v>
      </c>
      <c r="AL348" s="13" t="n">
        <f aca="false">Helpers!AJ14</f>
        <v>9151447.09059</v>
      </c>
      <c r="AM348" s="13" t="n">
        <f aca="false">Helpers!AK14</f>
        <v>7578336.29955</v>
      </c>
      <c r="AN348" s="13" t="n">
        <f aca="false">Helpers!AL14</f>
        <v>6126087.78441</v>
      </c>
      <c r="AO348" s="13" t="n">
        <f aca="false">Helpers!AM14</f>
        <v>4798730.2877</v>
      </c>
      <c r="AP348" s="13" t="n">
        <f aca="false">Helpers!AN14</f>
        <v>3597576.54575</v>
      </c>
      <c r="AQ348" s="13" t="n">
        <f aca="false">Helpers!AO14</f>
        <v>2521449.62254</v>
      </c>
      <c r="AR348" s="13" t="n">
        <f aca="false">Helpers!AP14</f>
        <v>1566909.24355</v>
      </c>
      <c r="AS348" s="13" t="n">
        <f aca="false">Helpers!AQ14</f>
        <v>728659.196690001</v>
      </c>
      <c r="AT348" s="13" t="n">
        <f aca="false">Helpers!AR14</f>
        <v>-181.067079995155</v>
      </c>
      <c r="AU348" s="13" t="n">
        <f aca="false">Helpers!AS14</f>
        <v>0</v>
      </c>
      <c r="AV348" s="13" t="n">
        <f aca="false">Helpers!AT14</f>
        <v>0</v>
      </c>
      <c r="AW348" s="13" t="n">
        <f aca="false">Helpers!AU14</f>
        <v>0</v>
      </c>
      <c r="AX348" s="13" t="n">
        <f aca="false">Helpers!AV14</f>
        <v>0</v>
      </c>
      <c r="AY348" s="13" t="n">
        <f aca="false">Helpers!AW14</f>
        <v>0</v>
      </c>
      <c r="AZ348" s="13" t="n">
        <f aca="false">Helpers!AX14</f>
        <v>0</v>
      </c>
      <c r="BA348" s="13" t="n">
        <f aca="false">Helpers!AY14</f>
        <v>0</v>
      </c>
      <c r="BB348" s="13" t="n">
        <f aca="false">Helpers!AZ14</f>
        <v>0</v>
      </c>
      <c r="BC348" s="13" t="n">
        <f aca="false">Helpers!BA14</f>
        <v>0</v>
      </c>
      <c r="BD348" s="13" t="n">
        <f aca="false">Helpers!BB14</f>
        <v>0</v>
      </c>
      <c r="BE348" s="13" t="n">
        <f aca="false">Helpers!BC14</f>
        <v>0</v>
      </c>
      <c r="BF348" s="13" t="n">
        <f aca="false">Helpers!BD14</f>
        <v>0</v>
      </c>
      <c r="BG348" s="13" t="n">
        <f aca="false">Helpers!BE14</f>
        <v>0</v>
      </c>
      <c r="BH348" s="13" t="n">
        <f aca="false">Helpers!BF14</f>
        <v>0</v>
      </c>
      <c r="BI348" s="13" t="n">
        <f aca="false">Helpers!BG14</f>
        <v>0</v>
      </c>
      <c r="BJ348" s="13" t="n">
        <f aca="false">Helpers!BH14</f>
        <v>0</v>
      </c>
      <c r="BK348" s="13" t="n">
        <f aca="false">Helpers!BI14</f>
        <v>0</v>
      </c>
      <c r="BL348" s="13" t="n">
        <f aca="false">Helpers!BJ14</f>
        <v>0</v>
      </c>
      <c r="BM348" s="13" t="n">
        <f aca="false">Helpers!BK14</f>
        <v>0</v>
      </c>
      <c r="BN348" s="13" t="n">
        <f aca="false">Helpers!BL14</f>
        <v>0</v>
      </c>
      <c r="BO348" s="13" t="n">
        <f aca="false">Helpers!BM14</f>
        <v>0</v>
      </c>
      <c r="BP348" s="13" t="n">
        <f aca="false">Helpers!BN14</f>
        <v>0</v>
      </c>
      <c r="BQ348" s="13" t="n">
        <f aca="false">Helpers!BO14</f>
        <v>0</v>
      </c>
      <c r="BR348" s="13" t="n">
        <f aca="false">Helpers!BP14</f>
        <v>0</v>
      </c>
      <c r="BS348" s="13" t="n">
        <f aca="false">Helpers!BQ14</f>
        <v>0</v>
      </c>
      <c r="BT348" s="13" t="n">
        <f aca="false">Helpers!BR14</f>
        <v>0</v>
      </c>
      <c r="BU348" s="13" t="n">
        <f aca="false">Helpers!BS14</f>
        <v>0</v>
      </c>
      <c r="BV348" s="13" t="n">
        <f aca="false">Helpers!BT14</f>
        <v>0</v>
      </c>
      <c r="BW348" s="13" t="n">
        <f aca="false">Helpers!BU14</f>
        <v>0</v>
      </c>
      <c r="BX348" s="13" t="n">
        <f aca="false">Helpers!BV14</f>
        <v>0</v>
      </c>
      <c r="BY348" s="13" t="n">
        <f aca="false">Helpers!BW14</f>
        <v>0</v>
      </c>
      <c r="BZ348" s="13" t="n">
        <f aca="false">Helpers!BX14</f>
        <v>0</v>
      </c>
      <c r="CA348" s="13" t="n">
        <f aca="false">Helpers!BY14</f>
        <v>0</v>
      </c>
      <c r="CB348" s="13" t="n">
        <f aca="false">Helpers!BZ14</f>
        <v>0</v>
      </c>
      <c r="CC348" s="13" t="n">
        <f aca="false">Helpers!CA14</f>
        <v>0</v>
      </c>
      <c r="CD348" s="13" t="n">
        <f aca="false">Helpers!CB14</f>
        <v>0</v>
      </c>
      <c r="CE348" s="13" t="n">
        <f aca="false">Helpers!CC14</f>
        <v>0</v>
      </c>
      <c r="CF348" s="13" t="n">
        <f aca="false">Helpers!CD14</f>
        <v>0</v>
      </c>
      <c r="CG348" s="13" t="n">
        <f aca="false">Helpers!CE14</f>
        <v>0</v>
      </c>
      <c r="CH348" s="13" t="n">
        <f aca="false">Helpers!CF14</f>
        <v>0</v>
      </c>
      <c r="CI348" s="13" t="n">
        <f aca="false">Helpers!CG14</f>
        <v>0</v>
      </c>
      <c r="CJ348" s="13" t="n">
        <f aca="false">Helpers!CH14</f>
        <v>0</v>
      </c>
      <c r="CK348" s="13" t="n">
        <f aca="false">Helpers!CI14</f>
        <v>0</v>
      </c>
      <c r="CL348" s="13" t="n">
        <f aca="false">Helpers!CJ14</f>
        <v>0</v>
      </c>
      <c r="CM348" s="13" t="n">
        <f aca="false">Helpers!CK14</f>
        <v>0</v>
      </c>
      <c r="CN348" s="13" t="n">
        <f aca="false">Helpers!CL14</f>
        <v>0</v>
      </c>
      <c r="CO348" s="13" t="n">
        <f aca="false">Helpers!CM14</f>
        <v>0</v>
      </c>
      <c r="CP348" s="13" t="n">
        <f aca="false">Helpers!CN14</f>
        <v>0</v>
      </c>
      <c r="CQ348" s="13" t="n">
        <f aca="false">Helpers!CO14</f>
        <v>0</v>
      </c>
      <c r="CR348" s="13" t="n">
        <f aca="false">Helpers!CP14</f>
        <v>0</v>
      </c>
      <c r="CS348" s="13" t="n">
        <f aca="false">Helpers!CQ14</f>
        <v>0</v>
      </c>
      <c r="CT348" s="13" t="n">
        <f aca="false">Helpers!CR14</f>
        <v>0</v>
      </c>
      <c r="CU348" s="13" t="n">
        <f aca="false">Helpers!CS14</f>
        <v>0</v>
      </c>
      <c r="CV348" s="13" t="n">
        <f aca="false">Helpers!CT14</f>
        <v>0</v>
      </c>
      <c r="CW348" s="13" t="n">
        <f aca="false">Helpers!CU14</f>
        <v>0</v>
      </c>
      <c r="CX348" s="13" t="n">
        <f aca="false">Helpers!CV14</f>
        <v>0</v>
      </c>
      <c r="CY348" s="13" t="n">
        <f aca="false">Helpers!CW14</f>
        <v>0</v>
      </c>
      <c r="CZ348" s="13" t="n">
        <f aca="false">Helpers!CX14</f>
        <v>0</v>
      </c>
      <c r="DA348" s="13" t="n">
        <f aca="false">Helpers!CY14</f>
        <v>0</v>
      </c>
      <c r="DB348" s="13" t="n">
        <f aca="false">Helpers!CZ14</f>
        <v>0</v>
      </c>
      <c r="DC348" s="13" t="n">
        <f aca="false">Helpers!DA14</f>
        <v>0</v>
      </c>
      <c r="DD348" s="13" t="n">
        <f aca="false">Helpers!DB14</f>
        <v>0</v>
      </c>
      <c r="DE348" s="13" t="n">
        <f aca="false">Helpers!DC14</f>
        <v>0</v>
      </c>
    </row>
    <row r="349" customFormat="false" ht="15" hidden="false" customHeight="true" outlineLevel="0" collapsed="false">
      <c r="A349" s="22" t="s">
        <v>19</v>
      </c>
      <c r="B349" s="13"/>
      <c r="C349" s="13"/>
      <c r="D349" s="13"/>
      <c r="E349" s="13" t="n">
        <f aca="false">Helpers!C15</f>
        <v>0</v>
      </c>
      <c r="F349" s="13" t="n">
        <f aca="false">Helpers!D15</f>
        <v>0</v>
      </c>
      <c r="G349" s="13" t="n">
        <f aca="false">Helpers!E15</f>
        <v>0</v>
      </c>
      <c r="H349" s="13" t="n">
        <f aca="false">Helpers!F15</f>
        <v>0</v>
      </c>
      <c r="I349" s="13" t="n">
        <f aca="false">Helpers!G15</f>
        <v>0</v>
      </c>
      <c r="J349" s="13" t="n">
        <f aca="false">Helpers!H15</f>
        <v>0</v>
      </c>
      <c r="K349" s="13" t="n">
        <f aca="false">Helpers!I15</f>
        <v>0</v>
      </c>
      <c r="L349" s="13" t="n">
        <f aca="false">Helpers!J15</f>
        <v>0</v>
      </c>
      <c r="M349" s="13" t="n">
        <f aca="false">Helpers!K15</f>
        <v>0</v>
      </c>
      <c r="N349" s="13" t="n">
        <f aca="false">Helpers!L15</f>
        <v>0</v>
      </c>
      <c r="O349" s="13" t="n">
        <f aca="false">Helpers!M15</f>
        <v>0</v>
      </c>
      <c r="P349" s="13" t="n">
        <f aca="false">Helpers!N15</f>
        <v>0</v>
      </c>
      <c r="Q349" s="13" t="n">
        <f aca="false">Helpers!O15</f>
        <v>0</v>
      </c>
      <c r="R349" s="13" t="n">
        <f aca="false">Helpers!P15</f>
        <v>0</v>
      </c>
      <c r="S349" s="13" t="n">
        <f aca="false">Helpers!Q15</f>
        <v>0</v>
      </c>
      <c r="T349" s="13" t="n">
        <f aca="false">Helpers!R15</f>
        <v>0</v>
      </c>
      <c r="U349" s="13" t="n">
        <f aca="false">Helpers!S15</f>
        <v>0</v>
      </c>
      <c r="V349" s="13" t="n">
        <f aca="false">Helpers!T15</f>
        <v>0</v>
      </c>
      <c r="W349" s="13" t="n">
        <f aca="false">Helpers!U15</f>
        <v>0</v>
      </c>
      <c r="X349" s="13" t="n">
        <f aca="false">Helpers!V15</f>
        <v>0</v>
      </c>
      <c r="Y349" s="13" t="n">
        <f aca="false">Helpers!W15</f>
        <v>0</v>
      </c>
      <c r="Z349" s="13" t="n">
        <f aca="false">Helpers!X15</f>
        <v>0</v>
      </c>
      <c r="AA349" s="13" t="n">
        <f aca="false">Helpers!Y15</f>
        <v>0</v>
      </c>
      <c r="AB349" s="13" t="n">
        <f aca="false">Helpers!Z15</f>
        <v>0</v>
      </c>
      <c r="AC349" s="13" t="n">
        <f aca="false">Helpers!AA15</f>
        <v>0</v>
      </c>
      <c r="AD349" s="13" t="n">
        <f aca="false">Helpers!AB15</f>
        <v>0</v>
      </c>
      <c r="AE349" s="13" t="n">
        <f aca="false">Helpers!AC15</f>
        <v>40688781.070168</v>
      </c>
      <c r="AF349" s="13" t="n">
        <f aca="false">Helpers!AD15</f>
        <v>39922975.994792</v>
      </c>
      <c r="AG349" s="13" t="n">
        <f aca="false">Helpers!AE15</f>
        <v>39050930.869808</v>
      </c>
      <c r="AH349" s="13" t="n">
        <f aca="false">Helpers!AF15</f>
        <v>38067807.203272</v>
      </c>
      <c r="AI349" s="13" t="n">
        <f aca="false">Helpers!AG15</f>
        <v>36970462.043152</v>
      </c>
      <c r="AJ349" s="13" t="n">
        <f aca="false">Helpers!AH15</f>
        <v>35757820.169016</v>
      </c>
      <c r="AK349" s="13" t="n">
        <f aca="false">Helpers!AI15</f>
        <v>34431080.865192</v>
      </c>
      <c r="AL349" s="13" t="n">
        <f aca="false">Helpers!AJ15</f>
        <v>32993924.693928</v>
      </c>
      <c r="AM349" s="13" t="n">
        <f aca="false">Helpers!AK15</f>
        <v>31452678.91392</v>
      </c>
      <c r="AN349" s="13" t="n">
        <f aca="false">Helpers!AL15</f>
        <v>29816193.416416</v>
      </c>
      <c r="AO349" s="13" t="n">
        <f aca="false">Helpers!AM15</f>
        <v>28095882.079848</v>
      </c>
      <c r="AP349" s="13" t="n">
        <f aca="false">Helpers!AN15</f>
        <v>26305433.287408</v>
      </c>
      <c r="AQ349" s="13" t="n">
        <f aca="false">Helpers!AO15</f>
        <v>24460479.089992</v>
      </c>
      <c r="AR349" s="13" t="n">
        <f aca="false">Helpers!AP15</f>
        <v>22578305.723776</v>
      </c>
      <c r="AS349" s="13" t="n">
        <f aca="false">Helpers!AQ15</f>
        <v>20677233.290736</v>
      </c>
      <c r="AT349" s="13" t="n">
        <f aca="false">Helpers!AR15</f>
        <v>18776160.857696</v>
      </c>
      <c r="AU349" s="13" t="n">
        <f aca="false">Helpers!AS15</f>
        <v>16893987.49148</v>
      </c>
      <c r="AV349" s="13" t="n">
        <f aca="false">Helpers!AT15</f>
        <v>15049033.294064</v>
      </c>
      <c r="AW349" s="13" t="n">
        <f aca="false">Helpers!AU15</f>
        <v>13258584.501624</v>
      </c>
      <c r="AX349" s="13" t="n">
        <f aca="false">Helpers!AV15</f>
        <v>11538273.165056</v>
      </c>
      <c r="AY349" s="13" t="n">
        <f aca="false">Helpers!AW15</f>
        <v>9901787.667552</v>
      </c>
      <c r="AZ349" s="13" t="n">
        <f aca="false">Helpers!AX15</f>
        <v>8360541.887544</v>
      </c>
      <c r="BA349" s="13" t="n">
        <f aca="false">Helpers!AY15</f>
        <v>6923385.71628</v>
      </c>
      <c r="BB349" s="13" t="n">
        <f aca="false">Helpers!AZ15</f>
        <v>5596646.412456</v>
      </c>
      <c r="BC349" s="13" t="n">
        <f aca="false">Helpers!BA15</f>
        <v>4384004.53832</v>
      </c>
      <c r="BD349" s="13" t="n">
        <f aca="false">Helpers!BB15</f>
        <v>3286659.3782</v>
      </c>
      <c r="BE349" s="13" t="n">
        <f aca="false">Helpers!BC15</f>
        <v>2303535.711664</v>
      </c>
      <c r="BF349" s="13" t="n">
        <f aca="false">Helpers!BD15</f>
        <v>1431490.58668</v>
      </c>
      <c r="BG349" s="13" t="n">
        <f aca="false">Helpers!BE15</f>
        <v>665685.511304001</v>
      </c>
      <c r="BH349" s="13" t="n">
        <f aca="false">Helpers!BF15</f>
        <v>-165.418527995574</v>
      </c>
      <c r="BI349" s="13" t="n">
        <f aca="false">Helpers!BG15</f>
        <v>0</v>
      </c>
      <c r="BJ349" s="13" t="n">
        <f aca="false">Helpers!BH15</f>
        <v>0</v>
      </c>
      <c r="BK349" s="13" t="n">
        <f aca="false">Helpers!BI15</f>
        <v>0</v>
      </c>
      <c r="BL349" s="13" t="n">
        <f aca="false">Helpers!BJ15</f>
        <v>0</v>
      </c>
      <c r="BM349" s="13" t="n">
        <f aca="false">Helpers!BK15</f>
        <v>0</v>
      </c>
      <c r="BN349" s="13" t="n">
        <f aca="false">Helpers!BL15</f>
        <v>0</v>
      </c>
      <c r="BO349" s="13" t="n">
        <f aca="false">Helpers!BM15</f>
        <v>0</v>
      </c>
      <c r="BP349" s="13" t="n">
        <f aca="false">Helpers!BN15</f>
        <v>0</v>
      </c>
      <c r="BQ349" s="13" t="n">
        <f aca="false">Helpers!BO15</f>
        <v>0</v>
      </c>
      <c r="BR349" s="13" t="n">
        <f aca="false">Helpers!BP15</f>
        <v>0</v>
      </c>
      <c r="BS349" s="13" t="n">
        <f aca="false">Helpers!BQ15</f>
        <v>0</v>
      </c>
      <c r="BT349" s="13" t="n">
        <f aca="false">Helpers!BR15</f>
        <v>0</v>
      </c>
      <c r="BU349" s="13" t="n">
        <f aca="false">Helpers!BS15</f>
        <v>0</v>
      </c>
      <c r="BV349" s="13" t="n">
        <f aca="false">Helpers!BT15</f>
        <v>0</v>
      </c>
      <c r="BW349" s="13" t="n">
        <f aca="false">Helpers!BU15</f>
        <v>0</v>
      </c>
      <c r="BX349" s="13" t="n">
        <f aca="false">Helpers!BV15</f>
        <v>0</v>
      </c>
      <c r="BY349" s="13" t="n">
        <f aca="false">Helpers!BW15</f>
        <v>0</v>
      </c>
      <c r="BZ349" s="13" t="n">
        <f aca="false">Helpers!BX15</f>
        <v>0</v>
      </c>
      <c r="CA349" s="13" t="n">
        <f aca="false">Helpers!BY15</f>
        <v>0</v>
      </c>
      <c r="CB349" s="13" t="n">
        <f aca="false">Helpers!BZ15</f>
        <v>0</v>
      </c>
      <c r="CC349" s="13" t="n">
        <f aca="false">Helpers!CA15</f>
        <v>0</v>
      </c>
      <c r="CD349" s="13" t="n">
        <f aca="false">Helpers!CB15</f>
        <v>0</v>
      </c>
      <c r="CE349" s="13" t="n">
        <f aca="false">Helpers!CC15</f>
        <v>0</v>
      </c>
      <c r="CF349" s="13" t="n">
        <f aca="false">Helpers!CD15</f>
        <v>0</v>
      </c>
      <c r="CG349" s="13" t="n">
        <f aca="false">Helpers!CE15</f>
        <v>0</v>
      </c>
      <c r="CH349" s="13" t="n">
        <f aca="false">Helpers!CF15</f>
        <v>0</v>
      </c>
      <c r="CI349" s="13" t="n">
        <f aca="false">Helpers!CG15</f>
        <v>0</v>
      </c>
      <c r="CJ349" s="13" t="n">
        <f aca="false">Helpers!CH15</f>
        <v>0</v>
      </c>
      <c r="CK349" s="13" t="n">
        <f aca="false">Helpers!CI15</f>
        <v>0</v>
      </c>
      <c r="CL349" s="13" t="n">
        <f aca="false">Helpers!CJ15</f>
        <v>0</v>
      </c>
      <c r="CM349" s="13" t="n">
        <f aca="false">Helpers!CK15</f>
        <v>0</v>
      </c>
      <c r="CN349" s="13" t="n">
        <f aca="false">Helpers!CL15</f>
        <v>0</v>
      </c>
      <c r="CO349" s="13" t="n">
        <f aca="false">Helpers!CM15</f>
        <v>0</v>
      </c>
      <c r="CP349" s="13" t="n">
        <f aca="false">Helpers!CN15</f>
        <v>0</v>
      </c>
      <c r="CQ349" s="13" t="n">
        <f aca="false">Helpers!CO15</f>
        <v>0</v>
      </c>
      <c r="CR349" s="13" t="n">
        <f aca="false">Helpers!CP15</f>
        <v>0</v>
      </c>
      <c r="CS349" s="13" t="n">
        <f aca="false">Helpers!CQ15</f>
        <v>0</v>
      </c>
      <c r="CT349" s="13" t="n">
        <f aca="false">Helpers!CR15</f>
        <v>0</v>
      </c>
      <c r="CU349" s="13" t="n">
        <f aca="false">Helpers!CS15</f>
        <v>0</v>
      </c>
      <c r="CV349" s="13" t="n">
        <f aca="false">Helpers!CT15</f>
        <v>0</v>
      </c>
      <c r="CW349" s="13" t="n">
        <f aca="false">Helpers!CU15</f>
        <v>0</v>
      </c>
      <c r="CX349" s="13" t="n">
        <f aca="false">Helpers!CV15</f>
        <v>0</v>
      </c>
      <c r="CY349" s="13" t="n">
        <f aca="false">Helpers!CW15</f>
        <v>0</v>
      </c>
      <c r="CZ349" s="13" t="n">
        <f aca="false">Helpers!CX15</f>
        <v>0</v>
      </c>
      <c r="DA349" s="13" t="n">
        <f aca="false">Helpers!CY15</f>
        <v>0</v>
      </c>
      <c r="DB349" s="13" t="n">
        <f aca="false">Helpers!CZ15</f>
        <v>0</v>
      </c>
      <c r="DC349" s="13" t="n">
        <f aca="false">Helpers!DA15</f>
        <v>0</v>
      </c>
      <c r="DD349" s="13" t="n">
        <f aca="false">Helpers!DB15</f>
        <v>0</v>
      </c>
      <c r="DE349" s="13" t="n">
        <f aca="false">Helpers!DC15</f>
        <v>0</v>
      </c>
    </row>
    <row r="350" customFormat="false" ht="15" hidden="false" customHeight="true" outlineLevel="0" collapsed="false">
      <c r="A350" s="29" t="s">
        <v>176</v>
      </c>
      <c r="B350" s="30"/>
      <c r="C350" s="30"/>
      <c r="D350" s="30"/>
      <c r="E350" s="30" t="n">
        <f aca="false">SUM(E342:E349)+E351</f>
        <v>24716840.35</v>
      </c>
      <c r="F350" s="30" t="n">
        <f aca="false">SUM(F342:F349)+F351</f>
        <v>22881539.17</v>
      </c>
      <c r="G350" s="30" t="n">
        <f aca="false">SUM(G342:G349)+G351</f>
        <v>20879271.91</v>
      </c>
      <c r="H350" s="30" t="n">
        <f aca="false">SUM(H342:H349)+H351</f>
        <v>18748519.38</v>
      </c>
      <c r="I350" s="30" t="n">
        <f aca="false">SUM(I342:I349)+I351</f>
        <v>72424528.6691092</v>
      </c>
      <c r="J350" s="30" t="n">
        <f aca="false">SUM(J342:J349)+J351</f>
        <v>82574509.2435969</v>
      </c>
      <c r="K350" s="30" t="n">
        <f aca="false">SUM(K342:K349)+K351</f>
        <v>79199788.5696833</v>
      </c>
      <c r="L350" s="30" t="n">
        <f aca="false">SUM(L342:L349)+L351</f>
        <v>76252151.8859288</v>
      </c>
      <c r="M350" s="30" t="n">
        <f aca="false">SUM(M342:M349)+M351</f>
        <v>93841157.4299332</v>
      </c>
      <c r="N350" s="30" t="n">
        <f aca="false">SUM(N342:N349)+N351</f>
        <v>89898626.9272109</v>
      </c>
      <c r="O350" s="30" t="n">
        <f aca="false">SUM(O342:O349)+O351</f>
        <v>85937639.1724672</v>
      </c>
      <c r="P350" s="30" t="n">
        <f aca="false">SUM(P342:P349)+P351</f>
        <v>81571690.8249268</v>
      </c>
      <c r="Q350" s="30" t="n">
        <f aca="false">SUM(Q342:Q349)+Q351</f>
        <v>121727922.918202</v>
      </c>
      <c r="R350" s="30" t="n">
        <f aca="false">SUM(R342:R349)+R351</f>
        <v>131269041.004181</v>
      </c>
      <c r="S350" s="30" t="n">
        <f aca="false">SUM(S342:S349)+S351</f>
        <v>135930577.982465</v>
      </c>
      <c r="T350" s="30" t="n">
        <f aca="false">SUM(T342:T349)+T351</f>
        <v>146230977.914143</v>
      </c>
      <c r="U350" s="30" t="n">
        <f aca="false">SUM(U342:U349)+U351</f>
        <v>138506386.313794</v>
      </c>
      <c r="V350" s="30" t="n">
        <f aca="false">SUM(V342:V349)+V351</f>
        <v>129160029.539487</v>
      </c>
      <c r="W350" s="30" t="n">
        <f aca="false">SUM(W342:W349)+W351</f>
        <v>120671973.577775</v>
      </c>
      <c r="X350" s="30" t="n">
        <f aca="false">SUM(X342:X349)+X351</f>
        <v>110458947.210643</v>
      </c>
      <c r="Y350" s="30" t="n">
        <f aca="false">SUM(Y342:Y349)+Y351</f>
        <v>101419054.905732</v>
      </c>
      <c r="Z350" s="30" t="n">
        <f aca="false">SUM(Z342:Z349)+Z351</f>
        <v>91255310.3504825</v>
      </c>
      <c r="AA350" s="30" t="n">
        <f aca="false">SUM(AA342:AA349)+AA351</f>
        <v>81594151.1789565</v>
      </c>
      <c r="AB350" s="30" t="n">
        <f aca="false">SUM(AB342:AB349)+AB351</f>
        <v>68825770.901435</v>
      </c>
      <c r="AC350" s="30" t="n">
        <f aca="false">SUM(AC342:AC349)+AC351</f>
        <v>61721060.331365</v>
      </c>
      <c r="AD350" s="30" t="n">
        <f aca="false">SUM(AD342:AD349)+AD351</f>
        <v>54637845.552147</v>
      </c>
      <c r="AE350" s="30" t="n">
        <f aca="false">SUM(AE342:AE349)+AE351</f>
        <v>88609446.431479</v>
      </c>
      <c r="AF350" s="30" t="n">
        <f aca="false">SUM(AF342:AF349)+AF351</f>
        <v>81652570.77241</v>
      </c>
      <c r="AG350" s="30" t="n">
        <f aca="false">SUM(AG342:AG349)+AG351</f>
        <v>73836787.224888</v>
      </c>
      <c r="AH350" s="30" t="n">
        <f aca="false">SUM(AH342:AH349)+AH351</f>
        <v>66427956.25085</v>
      </c>
      <c r="AI350" s="30" t="n">
        <f aca="false">SUM(AI342:AI349)+AI351</f>
        <v>59322725.386767</v>
      </c>
      <c r="AJ350" s="30" t="n">
        <f aca="false">SUM(AJ342:AJ349)+AJ351</f>
        <v>53497955.892003</v>
      </c>
      <c r="AK350" s="30" t="n">
        <f aca="false">SUM(AK342:AK349)+AK351</f>
        <v>48459510.652485</v>
      </c>
      <c r="AL350" s="30" t="n">
        <f aca="false">SUM(AL342:AL349)+AL351</f>
        <v>43711186.624518</v>
      </c>
      <c r="AM350" s="30" t="n">
        <f aca="false">SUM(AM342:AM349)+AM351</f>
        <v>39362973.61347</v>
      </c>
      <c r="AN350" s="30" t="n">
        <f aca="false">SUM(AN342:AN349)+AN351</f>
        <v>35942281.200826</v>
      </c>
      <c r="AO350" s="30" t="n">
        <f aca="false">SUM(AO342:AO349)+AO351</f>
        <v>32894612.367548</v>
      </c>
      <c r="AP350" s="30" t="n">
        <f aca="false">SUM(AP342:AP349)+AP351</f>
        <v>29903009.833158</v>
      </c>
      <c r="AQ350" s="30" t="n">
        <f aca="false">SUM(AQ342:AQ349)+AQ351</f>
        <v>26981928.712532</v>
      </c>
      <c r="AR350" s="30" t="n">
        <f aca="false">SUM(AR342:AR349)+AR351</f>
        <v>24145214.967326</v>
      </c>
      <c r="AS350" s="30" t="n">
        <f aca="false">SUM(AS342:AS349)+AS351</f>
        <v>21405892.487426</v>
      </c>
      <c r="AT350" s="30" t="n">
        <f aca="false">SUM(AT342:AT349)+AT351</f>
        <v>18775979.790616</v>
      </c>
      <c r="AU350" s="30" t="n">
        <f aca="false">SUM(AU342:AU349)+AU351</f>
        <v>16893987.49148</v>
      </c>
      <c r="AV350" s="30" t="n">
        <f aca="false">SUM(AV342:AV349)+AV351</f>
        <v>15049033.294064</v>
      </c>
      <c r="AW350" s="30" t="n">
        <f aca="false">SUM(AW342:AW349)+AW351</f>
        <v>13258584.501624</v>
      </c>
      <c r="AX350" s="30" t="n">
        <f aca="false">SUM(AX342:AX349)+AX351</f>
        <v>11538273.165056</v>
      </c>
      <c r="AY350" s="30" t="n">
        <f aca="false">SUM(AY342:AY349)+AY351</f>
        <v>9901787.667552</v>
      </c>
      <c r="AZ350" s="30" t="n">
        <f aca="false">SUM(AZ342:AZ349)+AZ351</f>
        <v>8360541.887544</v>
      </c>
      <c r="BA350" s="30" t="n">
        <f aca="false">SUM(BA342:BA349)+BA351</f>
        <v>6923385.71628</v>
      </c>
      <c r="BB350" s="30" t="n">
        <f aca="false">SUM(BB342:BB349)+BB351</f>
        <v>5596646.412456</v>
      </c>
      <c r="BC350" s="30" t="n">
        <f aca="false">SUM(BC342:BC349)+BC351</f>
        <v>4384004.53832</v>
      </c>
      <c r="BD350" s="30" t="n">
        <f aca="false">SUM(BD342:BD349)+BD351</f>
        <v>3286659.3782</v>
      </c>
      <c r="BE350" s="30" t="n">
        <f aca="false">SUM(BE342:BE349)+BE351</f>
        <v>2303535.711664</v>
      </c>
      <c r="BF350" s="30" t="n">
        <f aca="false">SUM(BF342:BF349)+BF351</f>
        <v>1431490.58668</v>
      </c>
      <c r="BG350" s="30" t="n">
        <f aca="false">SUM(BG342:BG349)+BG351</f>
        <v>665685.511304001</v>
      </c>
      <c r="BH350" s="30" t="n">
        <f aca="false">SUM(BH342:BH349)+BH351</f>
        <v>-165.418527995574</v>
      </c>
      <c r="BI350" s="30" t="n">
        <f aca="false">SUM(BI342:BI349)+BI351</f>
        <v>0</v>
      </c>
      <c r="BJ350" s="30" t="n">
        <f aca="false">SUM(BJ342:BJ349)+BJ351</f>
        <v>0</v>
      </c>
      <c r="BK350" s="30" t="n">
        <f aca="false">SUM(BK342:BK349)+BK351</f>
        <v>0</v>
      </c>
      <c r="BL350" s="30" t="n">
        <f aca="false">SUM(BL342:BL349)+BL351</f>
        <v>0</v>
      </c>
      <c r="BM350" s="30" t="n">
        <f aca="false">SUM(BM342:BM349)+BM351</f>
        <v>0</v>
      </c>
      <c r="BN350" s="30" t="n">
        <f aca="false">SUM(BN342:BN349)+BN351</f>
        <v>0</v>
      </c>
      <c r="BO350" s="30" t="n">
        <f aca="false">SUM(BO342:BO349)+BO351</f>
        <v>0</v>
      </c>
      <c r="BP350" s="30" t="n">
        <f aca="false">SUM(BP342:BP349)+BP351</f>
        <v>0</v>
      </c>
      <c r="BQ350" s="30" t="n">
        <f aca="false">SUM(BQ342:BQ349)+BQ351</f>
        <v>0</v>
      </c>
      <c r="BR350" s="30" t="n">
        <f aca="false">SUM(BR342:BR349)+BR351</f>
        <v>0</v>
      </c>
      <c r="BS350" s="30" t="n">
        <f aca="false">SUM(BS342:BS349)+BS351</f>
        <v>0</v>
      </c>
      <c r="BT350" s="30" t="n">
        <f aca="false">SUM(BT342:BT349)+BT351</f>
        <v>0</v>
      </c>
      <c r="BU350" s="30" t="n">
        <f aca="false">SUM(BU342:BU349)+BU351</f>
        <v>0</v>
      </c>
      <c r="BV350" s="30" t="n">
        <f aca="false">SUM(BV342:BV349)+BV351</f>
        <v>0</v>
      </c>
      <c r="BW350" s="30" t="n">
        <f aca="false">SUM(BW342:BW349)+BW351</f>
        <v>0</v>
      </c>
      <c r="BX350" s="30" t="n">
        <f aca="false">SUM(BX342:BX349)+BX351</f>
        <v>0</v>
      </c>
      <c r="BY350" s="30" t="n">
        <f aca="false">SUM(BY342:BY349)+BY351</f>
        <v>0</v>
      </c>
      <c r="BZ350" s="30" t="n">
        <f aca="false">SUM(BZ342:BZ349)+BZ351</f>
        <v>0</v>
      </c>
      <c r="CA350" s="30" t="n">
        <f aca="false">SUM(CA342:CA349)+CA351</f>
        <v>0</v>
      </c>
      <c r="CB350" s="30" t="n">
        <f aca="false">SUM(CB342:CB349)+CB351</f>
        <v>0</v>
      </c>
      <c r="CC350" s="30" t="n">
        <f aca="false">SUM(CC342:CC349)+CC351</f>
        <v>0</v>
      </c>
      <c r="CD350" s="30" t="n">
        <f aca="false">SUM(CD342:CD349)+CD351</f>
        <v>0</v>
      </c>
      <c r="CE350" s="30" t="n">
        <f aca="false">SUM(CE342:CE349)+CE351</f>
        <v>0</v>
      </c>
      <c r="CF350" s="30" t="n">
        <f aca="false">SUM(CF342:CF349)+CF351</f>
        <v>0</v>
      </c>
      <c r="CG350" s="30" t="n">
        <f aca="false">SUM(CG342:CG349)+CG351</f>
        <v>0</v>
      </c>
      <c r="CH350" s="30" t="n">
        <f aca="false">SUM(CH342:CH349)+CH351</f>
        <v>0</v>
      </c>
      <c r="CI350" s="30" t="n">
        <f aca="false">SUM(CI342:CI349)+CI351</f>
        <v>0</v>
      </c>
      <c r="CJ350" s="30" t="n">
        <f aca="false">SUM(CJ342:CJ349)+CJ351</f>
        <v>0</v>
      </c>
      <c r="CK350" s="30" t="n">
        <f aca="false">SUM(CK342:CK349)+CK351</f>
        <v>0</v>
      </c>
      <c r="CL350" s="30" t="n">
        <f aca="false">SUM(CL342:CL349)+CL351</f>
        <v>0</v>
      </c>
      <c r="CM350" s="30" t="n">
        <f aca="false">SUM(CM342:CM349)+CM351</f>
        <v>0</v>
      </c>
      <c r="CN350" s="30" t="n">
        <f aca="false">SUM(CN342:CN349)+CN351</f>
        <v>0</v>
      </c>
      <c r="CO350" s="30" t="n">
        <f aca="false">SUM(CO342:CO349)+CO351</f>
        <v>0</v>
      </c>
      <c r="CP350" s="30" t="n">
        <f aca="false">SUM(CP342:CP349)+CP351</f>
        <v>0</v>
      </c>
      <c r="CQ350" s="30" t="n">
        <f aca="false">SUM(CQ342:CQ349)+CQ351</f>
        <v>0</v>
      </c>
      <c r="CR350" s="30" t="n">
        <f aca="false">SUM(CR342:CR349)+CR351</f>
        <v>0</v>
      </c>
      <c r="CS350" s="30" t="n">
        <f aca="false">SUM(CS342:CS349)+CS351</f>
        <v>0</v>
      </c>
      <c r="CT350" s="30" t="n">
        <f aca="false">SUM(CT342:CT349)+CT351</f>
        <v>0</v>
      </c>
      <c r="CU350" s="30" t="n">
        <f aca="false">SUM(CU342:CU349)+CU351</f>
        <v>0</v>
      </c>
      <c r="CV350" s="30" t="n">
        <f aca="false">SUM(CV342:CV349)+CV351</f>
        <v>0</v>
      </c>
      <c r="CW350" s="30" t="n">
        <f aca="false">SUM(CW342:CW349)+CW351</f>
        <v>0</v>
      </c>
      <c r="CX350" s="30" t="n">
        <f aca="false">SUM(CX342:CX349)+CX351</f>
        <v>0</v>
      </c>
      <c r="CY350" s="30" t="n">
        <f aca="false">SUM(CY342:CY349)+CY351</f>
        <v>0</v>
      </c>
      <c r="CZ350" s="30" t="n">
        <f aca="false">SUM(CZ342:CZ349)+CZ351</f>
        <v>0</v>
      </c>
      <c r="DA350" s="30" t="n">
        <f aca="false">SUM(DA342:DA349)+DA351</f>
        <v>0</v>
      </c>
      <c r="DB350" s="30" t="n">
        <f aca="false">SUM(DB342:DB349)+DB351</f>
        <v>0</v>
      </c>
      <c r="DC350" s="30" t="n">
        <f aca="false">SUM(DC342:DC349)+DC351</f>
        <v>0</v>
      </c>
      <c r="DD350" s="30" t="n">
        <f aca="false">SUM(DD342:DD349)+DD351</f>
        <v>0</v>
      </c>
      <c r="DE350" s="30" t="n">
        <f aca="false">SUM(DE342:DE349)+DE351</f>
        <v>0</v>
      </c>
    </row>
    <row r="351" customFormat="false" ht="15" hidden="false" customHeight="true" outlineLevel="0" collapsed="false">
      <c r="A351" s="3" t="s">
        <v>177</v>
      </c>
      <c r="B351" s="13"/>
      <c r="C351" s="13"/>
      <c r="D351" s="13"/>
      <c r="E351" s="13" t="n">
        <f aca="false">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$4:$AR$4)*(COLUMN(Curves!$B$4:$AR$4)-COLUMN(Curves!$B$4)+1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1" s="13" t="n">
        <f aca="false">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$4:$AR$4)*(COLUMN(Curves!$B$4:$AR$4)-COLUMN(Curves!$B$4)+1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1" s="13" t="n">
        <f aca="false">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$4:$AR$4)*(COLUMN(Curves!$B$4:$AR$4)-COLUMN(Curves!$B$4)+1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1" s="13" t="n">
        <f aca="false">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$4:$AR$4)*(COLUMN(Curves!$B$4:$AR$4)-COLUMN(Curves!$B$4)+1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1" s="13" t="n">
        <f aca="false">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$4:$AR$4)*(COLUMN(Curves!$B$4:$AR$4)-COLUMN(Curves!$B$4)+1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1" s="13" t="n">
        <f aca="false">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$4:$AR$4)*(COLUMN(Curves!$B$4:$AR$4)-COLUMN(Curves!$B$4)+1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1" s="13" t="n">
        <f aca="false">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$4:$AR$4)*(COLUMN(Curves!$B$4:$AR$4)-COLUMN(Curves!$B$4)+1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1" s="13" t="n">
        <f aca="false">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$4:$AR$4)*(COLUMN(Curves!$B$4:$AR$4)-COLUMN(Curves!$B$4)+1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1" s="13" t="n">
        <f aca="false">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$4:$AR$4)*(COLUMN(Curves!$B$4:$AR$4)-COLUMN(Curves!$B$4)+1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1" s="13" t="n">
        <f aca="false">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$4:$AR$4)*(COLUMN(Curves!$B$4:$AR$4)-COLUMN(Curves!$B$4)+1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1" s="13" t="n">
        <f aca="false">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$4:$AR$4)*(COLUMN(Curves!$B$4:$AR$4)-COLUMN(Curves!$B$4)+1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1" s="13" t="n">
        <f aca="false">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$4:$AR$4)*(COLUMN(Curves!$B$4:$AR$4)-COLUMN(Curves!$B$4)+1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1" s="13" t="n">
        <f aca="false">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$4:$AR$4)*(COLUMN(Curves!$B$4:$AR$4)-COLUMN(Curves!$B$4)+1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51" s="13" t="n">
        <f aca="false">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$4:$AR$4)*(COLUMN(Curves!$B$4:$AR$4)-COLUMN(Curves!$B$4)+1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14909880.230245</v>
      </c>
      <c r="S351" s="13" t="n">
        <f aca="false">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$4:$AR$4)*(COLUMN(Curves!$B$4:$AR$4)-COLUMN(Curves!$B$4)+1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25425394.164785</v>
      </c>
      <c r="T351" s="13" t="n">
        <f aca="false">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$4:$AR$4)*(COLUMN(Curves!$B$4:$AR$4)-COLUMN(Curves!$B$4)+1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42403640.504997</v>
      </c>
      <c r="U351" s="13" t="n">
        <f aca="false">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$4:$AR$4)*(COLUMN(Curves!$B$4:$AR$4)-COLUMN(Curves!$B$4)+1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40641757.067038</v>
      </c>
      <c r="V351" s="13" t="n">
        <f aca="false">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$4:$AR$4)*(COLUMN(Curves!$B$4:$AR$4)-COLUMN(Curves!$B$4)+1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38573249.50249</v>
      </c>
      <c r="W351" s="13" t="n">
        <f aca="false">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$4:$AR$4)*(COLUMN(Curves!$B$4:$AR$4)-COLUMN(Curves!$B$4)+1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36203355.267902</v>
      </c>
      <c r="X351" s="13" t="n">
        <f aca="false">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$4:$AR$4)*(COLUMN(Curves!$B$4:$AR$4)-COLUMN(Curves!$B$4)+1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33553658.531235</v>
      </c>
      <c r="Y351" s="13" t="n">
        <f aca="false">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$4:$AR$4)*(COLUMN(Curves!$B$4:$AR$4)-COLUMN(Curves!$B$4)+1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30662593.104512</v>
      </c>
      <c r="Z351" s="13" t="n">
        <f aca="false">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$4:$AR$4)*(COLUMN(Curves!$B$4:$AR$4)-COLUMN(Curves!$B$4)+1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27584250.052939</v>
      </c>
      <c r="AA351" s="13" t="n">
        <f aca="false">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$4:$AR$4)*(COLUMN(Curves!$B$4:$AR$4)-COLUMN(Curves!$B$4)+1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24385560.113693</v>
      </c>
      <c r="AB351" s="13" t="n">
        <f aca="false">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$4:$AR$4)*(COLUMN(Curves!$B$4:$AR$4)-COLUMN(Curves!$B$4)+1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21141993.347255</v>
      </c>
      <c r="AC351" s="13" t="n">
        <f aca="false">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$4:$AR$4)*(COLUMN(Curves!$B$4:$AR$4)-COLUMN(Curves!$B$4)+1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17932278.473405</v>
      </c>
      <c r="AD351" s="13" t="n">
        <f aca="false">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$4:$AR$4)*(COLUMN(Curves!$B$4:$AR$4)-COLUMN(Curves!$B$4)+1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14832689.128402</v>
      </c>
      <c r="AE351" s="13" t="n">
        <f aca="false">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$4:$AR$4)*(COLUMN(Curves!$B$4:$AR$4)-COLUMN(Curves!$B$4)+1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11911663.144851</v>
      </c>
      <c r="AF351" s="13" t="n">
        <f aca="false">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$4:$AR$4)*(COLUMN(Curves!$B$4:$AR$4)-COLUMN(Curves!$B$4)+1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9225323.978058</v>
      </c>
      <c r="AG351" s="13" t="n">
        <f aca="false">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$4:$AR$4)*(COLUMN(Curves!$B$4:$AR$4)-COLUMN(Curves!$B$4)+1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6814437.99853</v>
      </c>
      <c r="AH351" s="13" t="n">
        <f aca="false">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$4:$AR$4)*(COLUMN(Curves!$B$4:$AR$4)-COLUMN(Curves!$B$4)+1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4702981.341038</v>
      </c>
      <c r="AI351" s="13" t="n">
        <f aca="false">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$4:$AR$4)*(COLUMN(Curves!$B$4:$AR$4)-COLUMN(Curves!$B$4)+1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2898414.584225</v>
      </c>
      <c r="AJ351" s="13" t="n">
        <f aca="false">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$4:$AR$4)*(COLUMN(Curves!$B$4:$AR$4)-COLUMN(Curves!$B$4)+1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1393353.558827</v>
      </c>
      <c r="AK351" s="13" t="n">
        <f aca="false">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$4:$AR$4)*(COLUMN(Curves!$B$4:$AR$4)-COLUMN(Curves!$B$4)+1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489046.905573</v>
      </c>
      <c r="AL351" s="13" t="n">
        <f aca="false">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$4:$AR$4)*(COLUMN(Curves!$B$4:$AR$4)-COLUMN(Curves!$B$4)+1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0</v>
      </c>
      <c r="AM351" s="13" t="n">
        <f aca="false">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$4:$AR$4)*(COLUMN(Curves!$B$4:$AR$4)-COLUMN(Curves!$B$4)+1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0</v>
      </c>
      <c r="AN351" s="13" t="n">
        <f aca="false">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$4:$AR$4)*(COLUMN(Curves!$B$4:$AR$4)-COLUMN(Curves!$B$4)+1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0</v>
      </c>
      <c r="AO351" s="13" t="n">
        <f aca="false">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$4:$AR$4)*(COLUMN(Curves!$B$4:$AR$4)-COLUMN(Curves!$B$4)+1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1" s="13" t="n">
        <f aca="false">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$4:$AR$4)*(COLUMN(Curves!$B$4:$AR$4)-COLUMN(Curves!$B$4)+1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1" s="13" t="n">
        <f aca="false">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$4:$AR$4)*(COLUMN(Curves!$B$4:$AR$4)-COLUMN(Curves!$B$4)+1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1" s="13" t="n">
        <f aca="false">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$4:$AR$4)*(COLUMN(Curves!$B$4:$AR$4)-COLUMN(Curves!$B$4)+1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1" s="13" t="n">
        <f aca="false">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$4:$AR$4)*(COLUMN(Curves!$B$4:$AR$4)-COLUMN(Curves!$B$4)+1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1" s="13" t="n">
        <f aca="false">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$4:$AR$4)*(COLUMN(Curves!$B$4:$AR$4)-COLUMN(Curves!$B$4)+1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1" s="13" t="n">
        <f aca="false">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$4:$AR$4)*(COLUMN(Curves!$B$4:$AR$4)-COLUMN(Curves!$B$4)+1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1" s="13" t="n">
        <f aca="false">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$4:$AR$4)*(COLUMN(Curves!$B$4:$AR$4)-COLUMN(Curves!$B$4)+1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1" s="13" t="n">
        <f aca="false">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$4:$AR$4)*(COLUMN(Curves!$B$4:$AR$4)-COLUMN(Curves!$B$4)+1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1" s="13" t="n">
        <f aca="false">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$4:$AR$4)*(COLUMN(Curves!$B$4:$AR$4)-COLUMN(Curves!$B$4)+1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1" s="13" t="n">
        <f aca="false">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$4:$AR$4)*(COLUMN(Curves!$B$4:$AR$4)-COLUMN(Curves!$B$4)+1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1" s="13" t="n">
        <f aca="false">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$4:$AR$4)*(COLUMN(Curves!$B$4:$AR$4)-COLUMN(Curves!$B$4)+1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1" s="13" t="n">
        <f aca="false">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$4:$AR$4)*(COLUMN(Curves!$B$4:$AR$4)-COLUMN(Curves!$B$4)+1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1" s="13" t="n">
        <f aca="false">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$4:$AR$4)*(COLUMN(Curves!$B$4:$AR$4)-COLUMN(Curves!$B$4)+1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1" s="13" t="n">
        <f aca="false">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$4:$AR$4)*(COLUMN(Curves!$B$4:$AR$4)-COLUMN(Curves!$B$4)+1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1" s="13" t="n">
        <f aca="false">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$4:$AR$4)*(COLUMN(Curves!$B$4:$AR$4)-COLUMN(Curves!$B$4)+1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1" s="13" t="n">
        <f aca="false">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$4:$AR$4)*(COLUMN(Curves!$B$4:$AR$4)-COLUMN(Curves!$B$4)+1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1" s="13" t="n">
        <f aca="false">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$4:$AR$4)*(COLUMN(Curves!$B$4:$AR$4)-COLUMN(Curves!$B$4)+1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1" s="13" t="n">
        <f aca="false">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$4:$AR$4)*(COLUMN(Curves!$B$4:$AR$4)-COLUMN(Curves!$B$4)+1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1" s="13" t="n">
        <f aca="false">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$4:$AR$4)*(COLUMN(Curves!$B$4:$AR$4)-COLUMN(Curves!$B$4)+1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1" s="13" t="n">
        <f aca="false">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$4:$AR$4)*(COLUMN(Curves!$B$4:$AR$4)-COLUMN(Curves!$B$4)+1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1" s="13" t="n">
        <f aca="false">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$4:$AR$4)*(COLUMN(Curves!$B$4:$AR$4)-COLUMN(Curves!$B$4)+1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1" s="13" t="n">
        <f aca="false">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$4:$AR$4)*(COLUMN(Curves!$B$4:$AR$4)-COLUMN(Curves!$B$4)+1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1" s="13" t="n">
        <f aca="false">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$4:$AR$4)*(COLUMN(Curves!$B$4:$AR$4)-COLUMN(Curves!$B$4)+1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1" s="13" t="n">
        <f aca="false">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$4:$AR$4)*(COLUMN(Curves!$B$4:$AR$4)-COLUMN(Curves!$B$4)+1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1" s="13" t="n">
        <f aca="false">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$4:$AR$4)*(COLUMN(Curves!$B$4:$AR$4)-COLUMN(Curves!$B$4)+1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1" s="13" t="n">
        <f aca="false">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$4:$AR$4)*(COLUMN(Curves!$B$4:$AR$4)-COLUMN(Curves!$B$4)+1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1" s="13" t="n">
        <f aca="false">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$4:$AR$4)*(COLUMN(Curves!$B$4:$AR$4)-COLUMN(Curves!$B$4)+1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1" s="13" t="n">
        <f aca="false">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$4:$AR$4)*(COLUMN(Curves!$B$4:$AR$4)-COLUMN(Curves!$B$4)+1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1" s="13" t="n">
        <f aca="false">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$4:$AR$4)*(COLUMN(Curves!$B$4:$AR$4)-COLUMN(Curves!$B$4)+1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1" s="13" t="n">
        <f aca="false">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$4:$AR$4)*(COLUMN(Curves!$B$4:$AR$4)-COLUMN(Curves!$B$4)+1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1" s="13" t="n">
        <f aca="false">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$4:$AR$4)*(COLUMN(Curves!$B$4:$AR$4)-COLUMN(Curves!$B$4)+1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1" s="13" t="n">
        <f aca="false">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$4:$AR$4)*(COLUMN(Curves!$B$4:$AR$4)-COLUMN(Curves!$B$4)+1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1" s="13" t="n">
        <f aca="false">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$4:$AR$4)*(COLUMN(Curves!$B$4:$AR$4)-COLUMN(Curves!$B$4)+1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1" s="13" t="n">
        <f aca="false">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$4:$AR$4)*(COLUMN(Curves!$B$4:$AR$4)-COLUMN(Curves!$B$4)+1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1" s="13" t="n">
        <f aca="false">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$4:$AR$4)*(COLUMN(Curves!$B$4:$AR$4)-COLUMN(Curves!$B$4)+1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1" s="13" t="n">
        <f aca="false">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$4:$AR$4)*(COLUMN(Curves!$B$4:$AR$4)-COLUMN(Curves!$B$4)+1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1" s="13" t="n">
        <f aca="false">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$4:$AR$4)*(COLUMN(Curves!$B$4:$AR$4)-COLUMN(Curves!$B$4)+1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1" s="13" t="n">
        <f aca="false">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$4:$AR$4)*(COLUMN(Curves!$B$4:$AR$4)-COLUMN(Curves!$B$4)+1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1" s="13" t="n">
        <f aca="false">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$4:$AR$4)*(COLUMN(Curves!$B$4:$AR$4)-COLUMN(Curves!$B$4)+1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1" s="13" t="n">
        <f aca="false">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$4:$AR$4)*(COLUMN(Curves!$B$4:$AR$4)-COLUMN(Curves!$B$4)+1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1" s="13" t="n">
        <f aca="false">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$4:$AR$4)*(COLUMN(Curves!$B$4:$AR$4)-COLUMN(Curves!$B$4)+1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1" s="13" t="n">
        <f aca="false">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$4:$AR$4)*(COLUMN(Curves!$B$4:$AR$4)-COLUMN(Curves!$B$4)+1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1" s="13" t="n">
        <f aca="false">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$4:$AR$4)*(COLUMN(Curves!$B$4:$AR$4)-COLUMN(Curves!$B$4)+1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1" s="13" t="n">
        <f aca="false">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$4:$AR$4)*(COLUMN(Curves!$B$4:$AR$4)-COLUMN(Curves!$B$4)+1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1" s="13" t="n">
        <f aca="false">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$4:$AR$4)*(COLUMN(Curves!$B$4:$AR$4)-COLUMN(Curves!$B$4)+1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1" s="13" t="n">
        <f aca="false">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$4:$AR$4)*(COLUMN(Curves!$B$4:$AR$4)-COLUMN(Curves!$B$4)+1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1" s="13" t="n">
        <f aca="false">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$4:$AR$4)*(COLUMN(Curves!$B$4:$AR$4)-COLUMN(Curves!$B$4)+1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1" s="13" t="n">
        <f aca="false">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$4:$AR$4)*(COLUMN(Curves!$B$4:$AR$4)-COLUMN(Curves!$B$4)+1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1" s="13" t="n">
        <f aca="false">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$4:$AR$4)*(COLUMN(Curves!$B$4:$AR$4)-COLUMN(Curves!$B$4)+1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1" s="13" t="n">
        <f aca="false">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$4:$AR$4)*(COLUMN(Curves!$B$4:$AR$4)-COLUMN(Curves!$B$4)+1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1" s="13" t="n">
        <f aca="false">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$4:$AR$4)*(COLUMN(Curves!$B$4:$AR$4)-COLUMN(Curves!$B$4)+1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1" s="13" t="n">
        <f aca="false">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$4:$AR$4)*(COLUMN(Curves!$B$4:$AR$4)-COLUMN(Curves!$B$4)+1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1" s="13" t="n">
        <f aca="false">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$4:$AR$4)*(COLUMN(Curves!$B$4:$AR$4)-COLUMN(Curves!$B$4)+1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1" s="13" t="n">
        <f aca="false">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$4:$AR$4)*(COLUMN(Curves!$B$4:$AR$4)-COLUMN(Curves!$B$4)+1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1" s="13" t="n">
        <f aca="false">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$4:$AR$4)*(COLUMN(Curves!$B$4:$AR$4)-COLUMN(Curves!$B$4)+1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1" s="13" t="n">
        <f aca="false">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$4:$AR$4)*(COLUMN(Curves!$B$4:$AR$4)-COLUMN(Curves!$B$4)+1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1" s="13" t="n">
        <f aca="false">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$4:$AR$4)*(COLUMN(Curves!$B$4:$AR$4)-COLUMN(Curves!$B$4)+1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1" s="13" t="n">
        <f aca="false">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$4:$AR$4)*(COLUMN(Curves!$B$4:$AR$4)-COLUMN(Curves!$B$4)+1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1" s="13" t="n">
        <f aca="false">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$4:$AR$4)*(COLUMN(Curves!$B$4:$AR$4)-COLUMN(Curves!$B$4)+1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1" s="13" t="n">
        <f aca="false">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$4:$AR$4)*(COLUMN(Curves!$B$4:$AR$4)-COLUMN(Curves!$B$4)+1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1" s="13" t="n">
        <f aca="false">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$4:$AR$4)*(COLUMN(Curves!$B$4:$AR$4)-COLUMN(Curves!$B$4)+1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1" s="13" t="n">
        <f aca="false">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$4:$AR$4)*(COLUMN(Curves!$B$4:$AR$4)-COLUMN(Curves!$B$4)+1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1" s="13" t="n">
        <f aca="false">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$4:$AR$4)*(COLUMN(Curves!$B$4:$AR$4)-COLUMN(Curves!$B$4)+1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1" s="13" t="n">
        <f aca="false">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$4:$AR$4)*(COLUMN(Curves!$B$4:$AR$4)-COLUMN(Curves!$B$4)+1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1" s="13" t="n">
        <f aca="false">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$4:$AR$4)*(COLUMN(Curves!$B$4:$AR$4)-COLUMN(Curves!$B$4)+1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1" s="13" t="n">
        <f aca="false">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$4:$AR$4)*(COLUMN(Curves!$B$4:$AR$4)-COLUMN(Curves!$B$4)+1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1" s="13" t="n">
        <f aca="false">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$4:$AR$4)*(COLUMN(Curves!$B$4:$AR$4)-COLUMN(Curves!$B$4)+1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1" s="13" t="n">
        <f aca="false">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$4:$AR$4)*(COLUMN(Curves!$B$4:$AR$4)-COLUMN(Curves!$B$4)+1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2" customFormat="false" ht="15" hidden="false" customHeight="true" outlineLevel="0" collapsed="false">
      <c r="A352" s="44" t="s">
        <v>178</v>
      </c>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c r="BZ352" s="39"/>
      <c r="CA352" s="39"/>
      <c r="CB352" s="39"/>
      <c r="CC352" s="39"/>
      <c r="CD352" s="39"/>
      <c r="CE352" s="39"/>
      <c r="CF352" s="39"/>
      <c r="CG352" s="39"/>
      <c r="CH352" s="39"/>
      <c r="CI352" s="39"/>
      <c r="CJ352" s="39"/>
      <c r="CK352" s="39"/>
      <c r="CL352" s="39"/>
      <c r="CM352" s="39"/>
      <c r="CN352" s="39"/>
      <c r="CO352" s="39"/>
      <c r="CP352" s="39"/>
      <c r="CQ352" s="39"/>
      <c r="CR352" s="39"/>
      <c r="CS352" s="39"/>
      <c r="CT352" s="39"/>
      <c r="CU352" s="39"/>
      <c r="CV352" s="39"/>
      <c r="CW352" s="39"/>
      <c r="CX352" s="39"/>
      <c r="CY352" s="39"/>
      <c r="CZ352" s="39"/>
      <c r="DA352" s="39"/>
      <c r="DB352" s="39"/>
      <c r="DC352" s="39"/>
      <c r="DD352" s="39"/>
      <c r="DE352" s="39"/>
    </row>
    <row r="353" customFormat="false" ht="15" hidden="false" customHeight="true" outlineLevel="0" collapsed="false">
      <c r="A353" s="65"/>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c r="BC353" s="66"/>
      <c r="BD353" s="66"/>
      <c r="BE353" s="66"/>
      <c r="BF353" s="66"/>
      <c r="BG353" s="66"/>
      <c r="BH353" s="66"/>
      <c r="BI353" s="66"/>
      <c r="BJ353" s="66"/>
      <c r="BK353" s="66"/>
      <c r="BL353" s="66"/>
      <c r="BM353" s="66"/>
      <c r="BN353" s="66"/>
      <c r="BO353" s="66"/>
      <c r="BP353" s="66"/>
      <c r="BQ353" s="66"/>
      <c r="BR353" s="66"/>
      <c r="BS353" s="66"/>
      <c r="BT353" s="66"/>
      <c r="BU353" s="66"/>
      <c r="BV353" s="66"/>
      <c r="BW353" s="66"/>
      <c r="BX353" s="66"/>
      <c r="BY353" s="66"/>
      <c r="BZ353" s="66"/>
      <c r="CA353" s="66"/>
      <c r="CB353" s="66"/>
      <c r="CC353" s="66"/>
      <c r="CD353" s="66"/>
      <c r="CE353" s="66"/>
      <c r="CF353" s="66"/>
      <c r="CG353" s="66"/>
      <c r="CH353" s="66"/>
      <c r="CI353" s="66"/>
      <c r="CJ353" s="66"/>
      <c r="CK353" s="66"/>
      <c r="CL353" s="66"/>
      <c r="CM353" s="66"/>
      <c r="CN353" s="66"/>
      <c r="CO353" s="66"/>
      <c r="CP353" s="66"/>
      <c r="CQ353" s="66"/>
      <c r="CR353" s="66"/>
      <c r="CS353" s="66"/>
      <c r="CT353" s="66"/>
      <c r="CU353" s="66"/>
      <c r="CV353" s="66"/>
      <c r="CW353" s="66"/>
      <c r="CX353" s="66"/>
      <c r="CY353" s="66"/>
      <c r="CZ353" s="66"/>
      <c r="DA353" s="66"/>
      <c r="DB353" s="66"/>
      <c r="DC353" s="66"/>
      <c r="DD353" s="66"/>
      <c r="DE353" s="66"/>
    </row>
    <row r="354" customFormat="false" ht="15" hidden="false" customHeight="true" outlineLevel="0" collapsed="false">
      <c r="A354" s="23" t="s">
        <v>179</v>
      </c>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row>
    <row r="355" customFormat="false" ht="15" hidden="false" customHeight="true" outlineLevel="0" collapsed="false">
      <c r="A355" s="22" t="s">
        <v>180</v>
      </c>
      <c r="B355" s="13"/>
      <c r="C355" s="13"/>
      <c r="D355" s="13"/>
      <c r="E355" s="13"/>
      <c r="F355" s="13"/>
      <c r="G355" s="13"/>
      <c r="H355" s="13"/>
      <c r="I355" s="13"/>
      <c r="J355" s="13" t="n">
        <f aca="false">Assumptions!B29</f>
        <v>1287106</v>
      </c>
      <c r="K355" s="13" t="n">
        <f aca="false">J363</f>
        <v>1113428.48890737</v>
      </c>
      <c r="L355" s="13" t="n">
        <f aca="false">K363</f>
        <v>1608936.51416871</v>
      </c>
      <c r="M355" s="13" t="n">
        <f aca="false">L363</f>
        <v>2053661.92886452</v>
      </c>
      <c r="N355" s="13" t="n">
        <f aca="false">M363</f>
        <v>2168054.84711936</v>
      </c>
      <c r="O355" s="13" t="n">
        <f aca="false">N363</f>
        <v>1143817.67352964</v>
      </c>
      <c r="P355" s="13" t="n">
        <f aca="false">O363</f>
        <v>1424378.16243575</v>
      </c>
      <c r="Q355" s="13" t="n">
        <f aca="false">P363</f>
        <v>1739781.35069781</v>
      </c>
      <c r="R355" s="13" t="n">
        <f aca="false">Q363</f>
        <v>1983166.71522368</v>
      </c>
      <c r="S355" s="13" t="n">
        <f aca="false">R363</f>
        <v>1497633.13073708</v>
      </c>
      <c r="T355" s="13" t="n">
        <f aca="false">S363</f>
        <v>1561572.750026</v>
      </c>
      <c r="U355" s="13" t="n">
        <f aca="false">T363</f>
        <v>1662810.86299778</v>
      </c>
      <c r="V355" s="13" t="n">
        <f aca="false">U363</f>
        <v>1953527.99398282</v>
      </c>
      <c r="W355" s="13" t="n">
        <f aca="false">V363</f>
        <v>2581953.05901466</v>
      </c>
      <c r="X355" s="13" t="n">
        <f aca="false">W363</f>
        <v>3259430.10754649</v>
      </c>
      <c r="Y355" s="13" t="n">
        <f aca="false">X363</f>
        <v>3720641.44183539</v>
      </c>
      <c r="Z355" s="13" t="n">
        <f aca="false">Y363</f>
        <v>4415467.61553319</v>
      </c>
      <c r="AA355" s="13" t="n">
        <f aca="false">Z363</f>
        <v>5007331.72706562</v>
      </c>
      <c r="AB355" s="13" t="n">
        <f aca="false">AA363</f>
        <v>5819979.16304536</v>
      </c>
      <c r="AC355" s="13" t="n">
        <f aca="false">AB363</f>
        <v>6664746.98445921</v>
      </c>
      <c r="AD355" s="13" t="n">
        <f aca="false">AC363</f>
        <v>7251249.4511928</v>
      </c>
      <c r="AE355" s="13" t="n">
        <f aca="false">AD363</f>
        <v>7614248.25375976</v>
      </c>
      <c r="AF355" s="13" t="n">
        <f aca="false">AE363</f>
        <v>8014690.46070636</v>
      </c>
      <c r="AG355" s="13" t="n">
        <f aca="false">AF363</f>
        <v>7959222.71897483</v>
      </c>
      <c r="AH355" s="13" t="n">
        <f aca="false">AG363</f>
        <v>8731540.43226733</v>
      </c>
      <c r="AI355" s="13" t="n">
        <f aca="false">AH363</f>
        <v>9366715.76117082</v>
      </c>
      <c r="AJ355" s="13" t="n">
        <f aca="false">AI363</f>
        <v>9877813.80292009</v>
      </c>
      <c r="AK355" s="13" t="n">
        <f aca="false">AJ363</f>
        <v>10598058.2914473</v>
      </c>
      <c r="AL355" s="13" t="n">
        <f aca="false">AK363</f>
        <v>11282333.3093572</v>
      </c>
      <c r="AM355" s="13" t="n">
        <f aca="false">AL363</f>
        <v>11641234.1107328</v>
      </c>
      <c r="AN355" s="13" t="n">
        <f aca="false">AM363</f>
        <v>11908934.8330606</v>
      </c>
      <c r="AO355" s="13" t="n">
        <f aca="false">AN363</f>
        <v>12284109.832659</v>
      </c>
      <c r="AP355" s="13" t="n">
        <f aca="false">AO363</f>
        <v>12308676.203955</v>
      </c>
      <c r="AQ355" s="13" t="n">
        <f aca="false">AP363</f>
        <v>12293313.9652509</v>
      </c>
      <c r="AR355" s="13" t="n">
        <f aca="false">AQ363</f>
        <v>12284156.8590815</v>
      </c>
      <c r="AS355" s="13" t="n">
        <f aca="false">AR363</f>
        <v>12294615.1375275</v>
      </c>
      <c r="AT355" s="13" t="n">
        <f aca="false">AS363</f>
        <v>12308115.1476081</v>
      </c>
      <c r="AU355" s="13" t="n">
        <f aca="false">AT363</f>
        <v>12590091.8483898</v>
      </c>
      <c r="AV355" s="13" t="n">
        <f aca="false">AU363</f>
        <v>13037436.4244729</v>
      </c>
      <c r="AW355" s="13" t="n">
        <f aca="false">AV363</f>
        <v>13053216.6938003</v>
      </c>
      <c r="AX355" s="13" t="n">
        <f aca="false">AW363</f>
        <v>12799087.3100259</v>
      </c>
      <c r="AY355" s="13" t="n">
        <f aca="false">AX363</f>
        <v>12544957.9262515</v>
      </c>
      <c r="AZ355" s="13" t="n">
        <f aca="false">AY363</f>
        <v>12290828.5424772</v>
      </c>
      <c r="BA355" s="13" t="n">
        <f aca="false">AZ363</f>
        <v>12036699.1587028</v>
      </c>
      <c r="BB355" s="13" t="n">
        <f aca="false">BA363</f>
        <v>11774491.6540765</v>
      </c>
      <c r="BC355" s="13" t="n">
        <f aca="false">BB363</f>
        <v>11512284.1494501</v>
      </c>
      <c r="BD355" s="13" t="n">
        <f aca="false">BC363</f>
        <v>11250076.6448238</v>
      </c>
      <c r="BE355" s="13" t="n">
        <f aca="false">BD363</f>
        <v>10987869.1401974</v>
      </c>
      <c r="BF355" s="13" t="n">
        <f aca="false">BE363</f>
        <v>10725661.6355711</v>
      </c>
      <c r="BG355" s="13" t="n">
        <f aca="false">BF363</f>
        <v>10463454.1309447</v>
      </c>
      <c r="BH355" s="13" t="n">
        <f aca="false">BG363</f>
        <v>10201246.6263184</v>
      </c>
      <c r="BI355" s="13" t="n">
        <f aca="false">BH363</f>
        <v>10175528.5829948</v>
      </c>
      <c r="BJ355" s="13" t="n">
        <f aca="false">BI363</f>
        <v>10170140.3354675</v>
      </c>
      <c r="BK355" s="13" t="n">
        <f aca="false">BJ363</f>
        <v>9758156.17201604</v>
      </c>
      <c r="BL355" s="13" t="n">
        <f aca="false">BK363</f>
        <v>9346172.00856457</v>
      </c>
      <c r="BM355" s="13" t="n">
        <f aca="false">BL363</f>
        <v>8934187.8451131</v>
      </c>
      <c r="BN355" s="13" t="n">
        <f aca="false">BM363</f>
        <v>8513963.9983926</v>
      </c>
      <c r="BO355" s="13" t="n">
        <f aca="false">BN363</f>
        <v>8093740.15167211</v>
      </c>
      <c r="BP355" s="13" t="n">
        <f aca="false">BO363</f>
        <v>7673516.30495161</v>
      </c>
      <c r="BQ355" s="13" t="n">
        <f aca="false">BP363</f>
        <v>7253292.45823111</v>
      </c>
      <c r="BR355" s="13" t="n">
        <f aca="false">BQ363</f>
        <v>6833068.61151061</v>
      </c>
      <c r="BS355" s="13" t="n">
        <f aca="false">BR363</f>
        <v>6412844.76479011</v>
      </c>
      <c r="BT355" s="13" t="n">
        <f aca="false">BS363</f>
        <v>5992620.91806961</v>
      </c>
      <c r="BU355" s="13" t="n">
        <f aca="false">BT363</f>
        <v>5572397.07134911</v>
      </c>
      <c r="BV355" s="13" t="n">
        <f aca="false">BU363</f>
        <v>5152173.22462861</v>
      </c>
      <c r="BW355" s="13" t="n">
        <f aca="false">BV363</f>
        <v>4731949.37790811</v>
      </c>
      <c r="BX355" s="13" t="n">
        <f aca="false">BW363</f>
        <v>4311725.53118761</v>
      </c>
      <c r="BY355" s="13" t="n">
        <f aca="false">BX363</f>
        <v>3891501.68446712</v>
      </c>
      <c r="BZ355" s="13" t="n">
        <f aca="false">BY363</f>
        <v>3462873.36081221</v>
      </c>
      <c r="CA355" s="13" t="n">
        <f aca="false">BZ363</f>
        <v>3034245.0371573</v>
      </c>
      <c r="CB355" s="13" t="n">
        <f aca="false">CA363</f>
        <v>2605616.71350239</v>
      </c>
      <c r="CC355" s="13" t="n">
        <f aca="false">CB363</f>
        <v>2176988.38984748</v>
      </c>
      <c r="CD355" s="13" t="n">
        <f aca="false">CC363</f>
        <v>1748360.06619257</v>
      </c>
      <c r="CE355" s="13" t="n">
        <f aca="false">CD363</f>
        <v>1319731.74253766</v>
      </c>
      <c r="CF355" s="13" t="n">
        <f aca="false">CE363</f>
        <v>891103.418882752</v>
      </c>
      <c r="CG355" s="13" t="n">
        <f aca="false">CF363</f>
        <v>462475.095227842</v>
      </c>
      <c r="CH355" s="13" t="n">
        <f aca="false">CG363</f>
        <v>33846.7715729334</v>
      </c>
      <c r="CI355" s="13" t="n">
        <f aca="false">CH363</f>
        <v>-394781.552081976</v>
      </c>
      <c r="CJ355" s="13" t="n">
        <f aca="false">CI363</f>
        <v>-823409.875736885</v>
      </c>
      <c r="CK355" s="13" t="n">
        <f aca="false">CJ363</f>
        <v>-1252038.19939179</v>
      </c>
      <c r="CL355" s="13" t="n">
        <f aca="false">CK363</f>
        <v>-1689239.0895198</v>
      </c>
      <c r="CM355" s="13" t="n">
        <f aca="false">CL363</f>
        <v>-2126439.97964781</v>
      </c>
      <c r="CN355" s="13" t="n">
        <f aca="false">CM363</f>
        <v>-2563640.86977582</v>
      </c>
      <c r="CO355" s="13" t="n">
        <f aca="false">CN363</f>
        <v>-3000841.75990382</v>
      </c>
      <c r="CP355" s="13" t="n">
        <f aca="false">CO363</f>
        <v>-3438042.65003183</v>
      </c>
      <c r="CQ355" s="13" t="n">
        <f aca="false">CP363</f>
        <v>-3875243.54015984</v>
      </c>
      <c r="CR355" s="13" t="n">
        <f aca="false">CQ363</f>
        <v>-4312444.43028784</v>
      </c>
      <c r="CS355" s="13" t="n">
        <f aca="false">CR363</f>
        <v>-4749645.32041585</v>
      </c>
      <c r="CT355" s="13" t="n">
        <f aca="false">CS363</f>
        <v>-5186846.21054386</v>
      </c>
      <c r="CU355" s="13" t="n">
        <f aca="false">CT363</f>
        <v>-5572266.94106042</v>
      </c>
      <c r="CV355" s="13" t="n">
        <f aca="false">CU363</f>
        <v>-5957687.67157698</v>
      </c>
      <c r="CW355" s="13" t="n">
        <f aca="false">CV363</f>
        <v>-6343108.40209353</v>
      </c>
      <c r="CX355" s="13" t="n">
        <f aca="false">CW363</f>
        <v>-6736237.54722042</v>
      </c>
      <c r="CY355" s="13" t="n">
        <f aca="false">CX363</f>
        <v>-7129366.69234731</v>
      </c>
      <c r="CZ355" s="13" t="n">
        <f aca="false">CY363</f>
        <v>-7522495.8374742</v>
      </c>
      <c r="DA355" s="13" t="n">
        <f aca="false">CZ363</f>
        <v>-7915624.98260109</v>
      </c>
      <c r="DB355" s="13" t="n">
        <f aca="false">DA363</f>
        <v>-8308754.12772798</v>
      </c>
      <c r="DC355" s="13" t="n">
        <f aca="false">DB363</f>
        <v>-8701883.27285487</v>
      </c>
      <c r="DD355" s="13" t="n">
        <f aca="false">DC363</f>
        <v>-9095012.41798176</v>
      </c>
      <c r="DE355" s="13" t="n">
        <f aca="false">DD363</f>
        <v>-9488141.56310865</v>
      </c>
    </row>
    <row r="356" customFormat="false" ht="15" hidden="false" customHeight="true" outlineLevel="0" collapsed="false">
      <c r="A356" s="22" t="s">
        <v>181</v>
      </c>
      <c r="B356" s="13"/>
      <c r="C356" s="13"/>
      <c r="D356" s="13"/>
      <c r="E356" s="13"/>
      <c r="F356" s="13"/>
      <c r="G356" s="13"/>
      <c r="H356" s="13"/>
      <c r="I356" s="13"/>
      <c r="J356" s="13" t="n">
        <f aca="false">J237</f>
        <v>298241.093396964</v>
      </c>
      <c r="K356" s="13" t="n">
        <f aca="false">K237</f>
        <v>376129.454718767</v>
      </c>
      <c r="L356" s="13" t="n">
        <f aca="false">L237</f>
        <v>214936.69311604</v>
      </c>
      <c r="M356" s="13" t="n">
        <f aca="false">M237</f>
        <v>-261759.45356445</v>
      </c>
      <c r="N356" s="13" t="n">
        <f aca="false">N237</f>
        <v>428723.753005433</v>
      </c>
      <c r="O356" s="13" t="n">
        <f aca="false">O237</f>
        <v>224783.374278049</v>
      </c>
      <c r="P356" s="13" t="n">
        <f aca="false">P237</f>
        <v>365330.63615305</v>
      </c>
      <c r="Q356" s="13" t="n">
        <f aca="false">Q237</f>
        <v>-398285.822488093</v>
      </c>
      <c r="R356" s="13" t="n">
        <f aca="false">R237</f>
        <v>120008.948031266</v>
      </c>
      <c r="S356" s="13" t="n">
        <f aca="false">S237</f>
        <v>231072.211220825</v>
      </c>
      <c r="T356" s="13" t="n">
        <f aca="false">T237</f>
        <v>290624.872734083</v>
      </c>
      <c r="U356" s="13" t="n">
        <f aca="false">U237</f>
        <v>512668.878780882</v>
      </c>
      <c r="V356" s="13" t="n">
        <f aca="false">V237</f>
        <v>637354.89128088</v>
      </c>
      <c r="W356" s="13" t="n">
        <f aca="false">W237</f>
        <v>525668.591280883</v>
      </c>
      <c r="X356" s="13" t="n">
        <f aca="false">X237</f>
        <v>819546.536139797</v>
      </c>
      <c r="Y356" s="13" t="n">
        <f aca="false">Y237</f>
        <v>595219.889689796</v>
      </c>
      <c r="Z356" s="13" t="n">
        <f aca="false">Z237</f>
        <v>786682.136524412</v>
      </c>
      <c r="AA356" s="13" t="n">
        <f aca="false">AA237</f>
        <v>825536.174500936</v>
      </c>
      <c r="AB356" s="13" t="n">
        <f aca="false">AB237</f>
        <v>640836.606246588</v>
      </c>
      <c r="AC356" s="13" t="n">
        <f aca="false">AC237</f>
        <v>406957.915582878</v>
      </c>
      <c r="AD356" s="13" t="n">
        <f aca="false">AD237</f>
        <v>436277.126159801</v>
      </c>
      <c r="AE356" s="13" t="n">
        <f aca="false">AE237</f>
        <v>-126081.489004239</v>
      </c>
      <c r="AF356" s="13" t="n">
        <f aca="false">AF237</f>
        <v>776411.668066138</v>
      </c>
      <c r="AG356" s="13" t="n">
        <f aca="false">AG237</f>
        <v>686508.756317664</v>
      </c>
      <c r="AH356" s="13" t="n">
        <f aca="false">AH237</f>
        <v>553391.181048071</v>
      </c>
      <c r="AI356" s="13" t="n">
        <f aca="false">AI237</f>
        <v>559532.003355763</v>
      </c>
      <c r="AJ356" s="13" t="n">
        <f aca="false">AJ237</f>
        <v>657098.621016764</v>
      </c>
      <c r="AK356" s="13" t="n">
        <f aca="false">AK237</f>
        <v>286498.730898127</v>
      </c>
      <c r="AL356" s="13" t="n">
        <f aca="false">AL237</f>
        <v>277362.715124731</v>
      </c>
      <c r="AM356" s="13" t="n">
        <f aca="false">AM237</f>
        <v>87443.5075491389</v>
      </c>
      <c r="AN356" s="13" t="n">
        <f aca="false">AN237</f>
        <v>33792.2965876007</v>
      </c>
      <c r="AO356" s="13" t="n">
        <f aca="false">AO237</f>
        <v>7112.57378519769</v>
      </c>
      <c r="AP356" s="13" t="n">
        <f aca="false">AP237</f>
        <v>7112.57378519769</v>
      </c>
      <c r="AQ356" s="13" t="n">
        <f aca="false">AQ237</f>
        <v>13317.7063198126</v>
      </c>
      <c r="AR356" s="13" t="n">
        <f aca="false">AR237</f>
        <v>32933.0909351977</v>
      </c>
      <c r="AS356" s="13" t="n">
        <f aca="false">AS237</f>
        <v>35974.8225698127</v>
      </c>
      <c r="AT356" s="13" t="n">
        <f aca="false">AT237</f>
        <v>318075.792538697</v>
      </c>
      <c r="AU356" s="13" t="n">
        <f aca="false">AU237</f>
        <v>23663.2513708199</v>
      </c>
      <c r="AV356" s="13" t="n">
        <f aca="false">AV237</f>
        <v>-246246.401730933</v>
      </c>
      <c r="AW356" s="13" t="n">
        <f aca="false">AW237</f>
        <v>-246246.401730933</v>
      </c>
      <c r="AX356" s="13" t="n">
        <f aca="false">AX237</f>
        <v>-246246.401730933</v>
      </c>
      <c r="AY356" s="13" t="n">
        <f aca="false">AY237</f>
        <v>-246246.401730933</v>
      </c>
      <c r="AZ356" s="13" t="n">
        <f aca="false">AZ237</f>
        <v>-246246.401730933</v>
      </c>
      <c r="BA356" s="13" t="n">
        <f aca="false">BA237</f>
        <v>-254324.522582923</v>
      </c>
      <c r="BB356" s="13" t="n">
        <f aca="false">BB237</f>
        <v>-254324.522582923</v>
      </c>
      <c r="BC356" s="13" t="n">
        <f aca="false">BC237</f>
        <v>-254324.522582923</v>
      </c>
      <c r="BD356" s="13" t="n">
        <f aca="false">BD237</f>
        <v>-254324.522582923</v>
      </c>
      <c r="BE356" s="13" t="n">
        <f aca="false">BE237</f>
        <v>-254324.522582923</v>
      </c>
      <c r="BF356" s="13" t="n">
        <f aca="false">BF237</f>
        <v>-254324.522582923</v>
      </c>
      <c r="BG356" s="13" t="n">
        <f aca="false">BG237</f>
        <v>-254324.522582923</v>
      </c>
      <c r="BH356" s="13" t="n">
        <f aca="false">BH237</f>
        <v>-5388.24752732297</v>
      </c>
      <c r="BI356" s="13" t="n">
        <f aca="false">BI237</f>
        <v>-411984.16345147</v>
      </c>
      <c r="BJ356" s="13" t="n">
        <f aca="false">BJ237</f>
        <v>-411984.16345147</v>
      </c>
      <c r="BK356" s="13" t="n">
        <f aca="false">BK237</f>
        <v>-411984.16345147</v>
      </c>
      <c r="BL356" s="13" t="n">
        <f aca="false">BL237</f>
        <v>-411984.16345147</v>
      </c>
      <c r="BM356" s="13" t="n">
        <f aca="false">BM237</f>
        <v>-420223.846720499</v>
      </c>
      <c r="BN356" s="13" t="n">
        <f aca="false">BN237</f>
        <v>-420223.846720499</v>
      </c>
      <c r="BO356" s="13" t="n">
        <f aca="false">BO237</f>
        <v>-420223.846720499</v>
      </c>
      <c r="BP356" s="13" t="n">
        <f aca="false">BP237</f>
        <v>-420223.846720499</v>
      </c>
      <c r="BQ356" s="13" t="n">
        <f aca="false">BQ237</f>
        <v>-420223.846720499</v>
      </c>
      <c r="BR356" s="13" t="n">
        <f aca="false">BR237</f>
        <v>-420223.846720499</v>
      </c>
      <c r="BS356" s="13" t="n">
        <f aca="false">BS237</f>
        <v>-420223.846720499</v>
      </c>
      <c r="BT356" s="13" t="n">
        <f aca="false">BT237</f>
        <v>-420223.846720499</v>
      </c>
      <c r="BU356" s="13" t="n">
        <f aca="false">BU237</f>
        <v>-420223.846720499</v>
      </c>
      <c r="BV356" s="13" t="n">
        <f aca="false">BV237</f>
        <v>-420223.846720499</v>
      </c>
      <c r="BW356" s="13" t="n">
        <f aca="false">BW237</f>
        <v>-420223.846720499</v>
      </c>
      <c r="BX356" s="13" t="n">
        <f aca="false">BX237</f>
        <v>-420223.846720499</v>
      </c>
      <c r="BY356" s="13" t="n">
        <f aca="false">BY237</f>
        <v>-428628.323654909</v>
      </c>
      <c r="BZ356" s="13" t="n">
        <f aca="false">BZ237</f>
        <v>-428628.323654909</v>
      </c>
      <c r="CA356" s="13" t="n">
        <f aca="false">CA237</f>
        <v>-428628.323654909</v>
      </c>
      <c r="CB356" s="13" t="n">
        <f aca="false">CB237</f>
        <v>-428628.323654909</v>
      </c>
      <c r="CC356" s="13" t="n">
        <f aca="false">CC237</f>
        <v>-428628.323654909</v>
      </c>
      <c r="CD356" s="13" t="n">
        <f aca="false">CD237</f>
        <v>-428628.323654909</v>
      </c>
      <c r="CE356" s="13" t="n">
        <f aca="false">CE237</f>
        <v>-428628.323654909</v>
      </c>
      <c r="CF356" s="13" t="n">
        <f aca="false">CF237</f>
        <v>-428628.323654909</v>
      </c>
      <c r="CG356" s="13" t="n">
        <f aca="false">CG237</f>
        <v>-428628.323654909</v>
      </c>
      <c r="CH356" s="13" t="n">
        <f aca="false">CH237</f>
        <v>-428628.323654909</v>
      </c>
      <c r="CI356" s="13" t="n">
        <f aca="false">CI237</f>
        <v>-428628.323654909</v>
      </c>
      <c r="CJ356" s="13" t="n">
        <f aca="false">CJ237</f>
        <v>-428628.323654909</v>
      </c>
      <c r="CK356" s="13" t="n">
        <f aca="false">CK237</f>
        <v>-437200.890128007</v>
      </c>
      <c r="CL356" s="13" t="n">
        <f aca="false">CL237</f>
        <v>-437200.890128007</v>
      </c>
      <c r="CM356" s="13" t="n">
        <f aca="false">CM237</f>
        <v>-437200.890128007</v>
      </c>
      <c r="CN356" s="13" t="n">
        <f aca="false">CN237</f>
        <v>-437200.890128007</v>
      </c>
      <c r="CO356" s="13" t="n">
        <f aca="false">CO237</f>
        <v>-437200.890128007</v>
      </c>
      <c r="CP356" s="13" t="n">
        <f aca="false">CP237</f>
        <v>-437200.890128007</v>
      </c>
      <c r="CQ356" s="13" t="n">
        <f aca="false">CQ237</f>
        <v>-437200.890128007</v>
      </c>
      <c r="CR356" s="13" t="n">
        <f aca="false">CR237</f>
        <v>-437200.890128007</v>
      </c>
      <c r="CS356" s="13" t="n">
        <f aca="false">CS237</f>
        <v>-437200.890128007</v>
      </c>
      <c r="CT356" s="13" t="n">
        <f aca="false">CT237</f>
        <v>-385420.730516558</v>
      </c>
      <c r="CU356" s="13" t="n">
        <f aca="false">CU237</f>
        <v>-385420.730516558</v>
      </c>
      <c r="CV356" s="13" t="n">
        <f aca="false">CV237</f>
        <v>-385420.730516558</v>
      </c>
      <c r="CW356" s="13" t="n">
        <f aca="false">CW237</f>
        <v>-393129.145126889</v>
      </c>
      <c r="CX356" s="13" t="n">
        <f aca="false">CX237</f>
        <v>-393129.145126889</v>
      </c>
      <c r="CY356" s="13" t="n">
        <f aca="false">CY237</f>
        <v>-393129.145126889</v>
      </c>
      <c r="CZ356" s="13" t="n">
        <f aca="false">CZ237</f>
        <v>-393129.145126889</v>
      </c>
      <c r="DA356" s="13" t="n">
        <f aca="false">DA237</f>
        <v>-393129.145126889</v>
      </c>
      <c r="DB356" s="13" t="n">
        <f aca="false">DB237</f>
        <v>-393129.145126889</v>
      </c>
      <c r="DC356" s="13" t="n">
        <f aca="false">DC237</f>
        <v>-393129.145126889</v>
      </c>
      <c r="DD356" s="13" t="n">
        <f aca="false">DD237</f>
        <v>-393129.145126889</v>
      </c>
      <c r="DE356" s="13" t="n">
        <f aca="false">DE237</f>
        <v>-393129.145126889</v>
      </c>
    </row>
    <row r="357" customFormat="false" ht="15" hidden="false" customHeight="true" outlineLevel="0" collapsed="false">
      <c r="A357" s="22" t="s">
        <v>182</v>
      </c>
      <c r="B357" s="13"/>
      <c r="C357" s="13"/>
      <c r="D357" s="13"/>
      <c r="E357" s="13"/>
      <c r="F357" s="13"/>
      <c r="G357" s="13"/>
      <c r="H357" s="13"/>
      <c r="I357" s="13"/>
      <c r="J357" s="13" t="n">
        <v>8872832</v>
      </c>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row>
    <row r="358" customFormat="false" ht="15" hidden="false" customHeight="true" outlineLevel="0" collapsed="false">
      <c r="A358" s="22" t="s">
        <v>183</v>
      </c>
      <c r="B358" s="13"/>
      <c r="C358" s="13"/>
      <c r="D358" s="13"/>
      <c r="E358" s="13"/>
      <c r="F358" s="13"/>
      <c r="G358" s="13"/>
      <c r="H358" s="13"/>
      <c r="I358" s="13"/>
      <c r="J358" s="13" t="n">
        <f aca="false">-8606048+'Bonding Program'!$H$8</f>
        <v>-8606048</v>
      </c>
      <c r="K358" s="13" t="n">
        <f aca="false">IF(K$3='Bonding Program'!$H$9,-'Bonding Program'!$H$7,0)</f>
        <v>0</v>
      </c>
      <c r="L358" s="13" t="n">
        <f aca="false">IF(L$3='Bonding Program'!$H$9,-'Bonding Program'!$H$7,0)</f>
        <v>0</v>
      </c>
      <c r="M358" s="13" t="n">
        <f aca="false">IF(M$3='Bonding Program'!$H$9,-'Bonding Program'!$H$7,0)</f>
        <v>0</v>
      </c>
      <c r="N358" s="13" t="n">
        <f aca="false">IF(N$3='Bonding Program'!$H$9,-'Bonding Program'!$H$7,0)</f>
        <v>-692876.895125</v>
      </c>
      <c r="O358" s="13" t="n">
        <f aca="false">IF(O$3='Bonding Program'!$H$9,-'Bonding Program'!$H$7,0)</f>
        <v>0</v>
      </c>
      <c r="P358" s="13" t="n">
        <f aca="false">IF(P$3='Bonding Program'!$H$9,-'Bonding Program'!$H$7,0)</f>
        <v>0</v>
      </c>
      <c r="Q358" s="13" t="n">
        <f aca="false">IF(Q$3='Bonding Program'!$H$9,-'Bonding Program'!$H$7,0)</f>
        <v>0</v>
      </c>
      <c r="R358" s="13" t="n">
        <f aca="false">IF(R$3='Bonding Program'!$H$9,-'Bonding Program'!$H$7,0)</f>
        <v>0</v>
      </c>
      <c r="S358" s="13" t="n">
        <f aca="false">IF(S$3='Bonding Program'!$H$9,-'Bonding Program'!$H$7,0)</f>
        <v>0</v>
      </c>
      <c r="T358" s="13" t="n">
        <f aca="false">IF(T$3='Bonding Program'!$H$9,-'Bonding Program'!$H$7,0)</f>
        <v>0</v>
      </c>
      <c r="U358" s="13" t="n">
        <f aca="false">IF(U$3='Bonding Program'!$H$9,-'Bonding Program'!$H$7,0)</f>
        <v>0</v>
      </c>
      <c r="V358" s="13" t="n">
        <f aca="false">IF(V$3='Bonding Program'!$H$9,-'Bonding Program'!$H$7,0)</f>
        <v>0</v>
      </c>
      <c r="W358" s="13" t="n">
        <f aca="false">IF(W$3='Bonding Program'!$H$9,-'Bonding Program'!$H$7,0)</f>
        <v>0</v>
      </c>
      <c r="X358" s="13" t="n">
        <f aca="false">IF(X$3='Bonding Program'!$H$9,-'Bonding Program'!$H$7,0)</f>
        <v>0</v>
      </c>
      <c r="Y358" s="13" t="n">
        <f aca="false">IF(Y$3='Bonding Program'!$H$9,-'Bonding Program'!$H$7,0)</f>
        <v>0</v>
      </c>
      <c r="Z358" s="13" t="n">
        <f aca="false">IF(Z$3='Bonding Program'!$H$9,-'Bonding Program'!$H$7,0)</f>
        <v>0</v>
      </c>
      <c r="AA358" s="13" t="n">
        <f aca="false">IF(AA$3='Bonding Program'!$H$9,-'Bonding Program'!$H$7,0)</f>
        <v>0</v>
      </c>
      <c r="AB358" s="13" t="n">
        <f aca="false">IF(AB$3='Bonding Program'!$H$9,-'Bonding Program'!$H$7,0)</f>
        <v>0</v>
      </c>
      <c r="AC358" s="13" t="n">
        <f aca="false">IF(AC$3='Bonding Program'!$H$9,-'Bonding Program'!$H$7,0)</f>
        <v>0</v>
      </c>
      <c r="AD358" s="13" t="n">
        <f aca="false">IF(AD$3='Bonding Program'!$H$9,-'Bonding Program'!$H$7,0)</f>
        <v>0</v>
      </c>
      <c r="AE358" s="13" t="n">
        <f aca="false">IF(AE$3='Bonding Program'!$H$9,-'Bonding Program'!$H$7,0)</f>
        <v>0</v>
      </c>
      <c r="AF358" s="13" t="n">
        <f aca="false">IF(AF$3='Bonding Program'!$H$9,-'Bonding Program'!$H$7,0)</f>
        <v>0</v>
      </c>
      <c r="AG358" s="13" t="n">
        <f aca="false">IF(AG$3='Bonding Program'!$H$9,-'Bonding Program'!$H$7,0)</f>
        <v>0</v>
      </c>
      <c r="AH358" s="13" t="n">
        <f aca="false">IF(AH$3='Bonding Program'!$H$9,-'Bonding Program'!$H$7,0)</f>
        <v>0</v>
      </c>
      <c r="AI358" s="13" t="n">
        <f aca="false">IF(AI$3='Bonding Program'!$H$9,-'Bonding Program'!$H$7,0)</f>
        <v>0</v>
      </c>
      <c r="AJ358" s="13" t="n">
        <f aca="false">IF(AJ$3='Bonding Program'!$H$9,-'Bonding Program'!$H$7,0)</f>
        <v>0</v>
      </c>
      <c r="AK358" s="13" t="n">
        <f aca="false">IF(AK$3='Bonding Program'!$H$9,-'Bonding Program'!$H$7,0)</f>
        <v>0</v>
      </c>
      <c r="AL358" s="13" t="n">
        <f aca="false">IF(AL$3='Bonding Program'!$H$9,-'Bonding Program'!$H$7,0)</f>
        <v>0</v>
      </c>
      <c r="AM358" s="13" t="n">
        <f aca="false">IF(AM$3='Bonding Program'!$H$9,-'Bonding Program'!$H$7,0)</f>
        <v>0</v>
      </c>
      <c r="AN358" s="13" t="n">
        <f aca="false">IF(AN$3='Bonding Program'!$H$9,-'Bonding Program'!$H$7,0)</f>
        <v>0</v>
      </c>
      <c r="AO358" s="13" t="n">
        <f aca="false">IF(AO$3='Bonding Program'!$H$9,-'Bonding Program'!$H$7,0)</f>
        <v>0</v>
      </c>
      <c r="AP358" s="13" t="n">
        <f aca="false">IF(AP$3='Bonding Program'!$H$9,-'Bonding Program'!$H$7,0)</f>
        <v>0</v>
      </c>
      <c r="AQ358" s="13" t="n">
        <f aca="false">IF(AQ$3='Bonding Program'!$H$9,-'Bonding Program'!$H$7,0)</f>
        <v>0</v>
      </c>
      <c r="AR358" s="13" t="n">
        <f aca="false">IF(AR$3='Bonding Program'!$H$9,-'Bonding Program'!$H$7,0)</f>
        <v>0</v>
      </c>
      <c r="AS358" s="13" t="n">
        <f aca="false">IF(AS$3='Bonding Program'!$H$9,-'Bonding Program'!$H$7,0)</f>
        <v>0</v>
      </c>
      <c r="AT358" s="13" t="n">
        <f aca="false">IF(AT$3='Bonding Program'!$H$9,-'Bonding Program'!$H$7,0)</f>
        <v>0</v>
      </c>
      <c r="AU358" s="13" t="n">
        <f aca="false">IF(AU$3='Bonding Program'!$H$9,-'Bonding Program'!$H$7,0)</f>
        <v>0</v>
      </c>
      <c r="AV358" s="13" t="n">
        <f aca="false">IF(AV$3='Bonding Program'!$H$9,-'Bonding Program'!$H$7,0)</f>
        <v>0</v>
      </c>
      <c r="AW358" s="13" t="n">
        <f aca="false">IF(AW$3='Bonding Program'!$H$9,-'Bonding Program'!$H$7,0)</f>
        <v>0</v>
      </c>
      <c r="AX358" s="13" t="n">
        <f aca="false">IF(AX$3='Bonding Program'!$H$9,-'Bonding Program'!$H$7,0)</f>
        <v>0</v>
      </c>
      <c r="AY358" s="13" t="n">
        <f aca="false">IF(AY$3='Bonding Program'!$H$9,-'Bonding Program'!$H$7,0)</f>
        <v>0</v>
      </c>
      <c r="AZ358" s="13" t="n">
        <f aca="false">IF(AZ$3='Bonding Program'!$H$9,-'Bonding Program'!$H$7,0)</f>
        <v>0</v>
      </c>
      <c r="BA358" s="13" t="n">
        <f aca="false">IF(BA$3='Bonding Program'!$H$9,-'Bonding Program'!$H$7,0)</f>
        <v>0</v>
      </c>
      <c r="BB358" s="13" t="n">
        <f aca="false">IF(BB$3='Bonding Program'!$H$9,-'Bonding Program'!$H$7,0)</f>
        <v>0</v>
      </c>
      <c r="BC358" s="13" t="n">
        <f aca="false">IF(BC$3='Bonding Program'!$H$9,-'Bonding Program'!$H$7,0)</f>
        <v>0</v>
      </c>
      <c r="BD358" s="13" t="n">
        <f aca="false">IF(BD$3='Bonding Program'!$H$9,-'Bonding Program'!$H$7,0)</f>
        <v>0</v>
      </c>
      <c r="BE358" s="13" t="n">
        <f aca="false">IF(BE$3='Bonding Program'!$H$9,-'Bonding Program'!$H$7,0)</f>
        <v>0</v>
      </c>
      <c r="BF358" s="13" t="n">
        <f aca="false">IF(BF$3='Bonding Program'!$H$9,-'Bonding Program'!$H$7,0)</f>
        <v>0</v>
      </c>
      <c r="BG358" s="13" t="n">
        <f aca="false">IF(BG$3='Bonding Program'!$H$9,-'Bonding Program'!$H$7,0)</f>
        <v>0</v>
      </c>
      <c r="BH358" s="13" t="n">
        <f aca="false">IF(BH$3='Bonding Program'!$H$9,-'Bonding Program'!$H$7,0)</f>
        <v>0</v>
      </c>
      <c r="BI358" s="13" t="n">
        <f aca="false">IF(BI$3='Bonding Program'!$H$9,-'Bonding Program'!$H$7,0)</f>
        <v>0</v>
      </c>
      <c r="BJ358" s="13" t="n">
        <f aca="false">IF(BJ$3='Bonding Program'!$H$9,-'Bonding Program'!$H$7,0)</f>
        <v>0</v>
      </c>
      <c r="BK358" s="13" t="n">
        <f aca="false">IF(BK$3='Bonding Program'!$H$9,-'Bonding Program'!$H$7,0)</f>
        <v>0</v>
      </c>
      <c r="BL358" s="13" t="n">
        <f aca="false">IF(BL$3='Bonding Program'!$H$9,-'Bonding Program'!$H$7,0)</f>
        <v>0</v>
      </c>
      <c r="BM358" s="13" t="n">
        <f aca="false">IF(BM$3='Bonding Program'!$H$9,-'Bonding Program'!$H$7,0)</f>
        <v>0</v>
      </c>
      <c r="BN358" s="13" t="n">
        <f aca="false">IF(BN$3='Bonding Program'!$H$9,-'Bonding Program'!$H$7,0)</f>
        <v>0</v>
      </c>
      <c r="BO358" s="13" t="n">
        <f aca="false">IF(BO$3='Bonding Program'!$H$9,-'Bonding Program'!$H$7,0)</f>
        <v>0</v>
      </c>
      <c r="BP358" s="13" t="n">
        <f aca="false">IF(BP$3='Bonding Program'!$H$9,-'Bonding Program'!$H$7,0)</f>
        <v>0</v>
      </c>
      <c r="BQ358" s="13" t="n">
        <f aca="false">IF(BQ$3='Bonding Program'!$H$9,-'Bonding Program'!$H$7,0)</f>
        <v>0</v>
      </c>
      <c r="BR358" s="13" t="n">
        <f aca="false">IF(BR$3='Bonding Program'!$H$9,-'Bonding Program'!$H$7,0)</f>
        <v>0</v>
      </c>
      <c r="BS358" s="13" t="n">
        <f aca="false">IF(BS$3='Bonding Program'!$H$9,-'Bonding Program'!$H$7,0)</f>
        <v>0</v>
      </c>
      <c r="BT358" s="13" t="n">
        <f aca="false">IF(BT$3='Bonding Program'!$H$9,-'Bonding Program'!$H$7,0)</f>
        <v>0</v>
      </c>
      <c r="BU358" s="13" t="n">
        <f aca="false">IF(BU$3='Bonding Program'!$H$9,-'Bonding Program'!$H$7,0)</f>
        <v>0</v>
      </c>
      <c r="BV358" s="13" t="n">
        <f aca="false">IF(BV$3='Bonding Program'!$H$9,-'Bonding Program'!$H$7,0)</f>
        <v>0</v>
      </c>
      <c r="BW358" s="13" t="n">
        <f aca="false">IF(BW$3='Bonding Program'!$H$9,-'Bonding Program'!$H$7,0)</f>
        <v>0</v>
      </c>
      <c r="BX358" s="13" t="n">
        <f aca="false">IF(BX$3='Bonding Program'!$H$9,-'Bonding Program'!$H$7,0)</f>
        <v>0</v>
      </c>
      <c r="BY358" s="13" t="n">
        <f aca="false">IF(BY$3='Bonding Program'!$H$9,-'Bonding Program'!$H$7,0)</f>
        <v>0</v>
      </c>
      <c r="BZ358" s="13" t="n">
        <f aca="false">IF(BZ$3='Bonding Program'!$H$9,-'Bonding Program'!$H$7,0)</f>
        <v>0</v>
      </c>
      <c r="CA358" s="13" t="n">
        <f aca="false">IF(CA$3='Bonding Program'!$H$9,-'Bonding Program'!$H$7,0)</f>
        <v>0</v>
      </c>
      <c r="CB358" s="13" t="n">
        <f aca="false">IF(CB$3='Bonding Program'!$H$9,-'Bonding Program'!$H$7,0)</f>
        <v>0</v>
      </c>
      <c r="CC358" s="13" t="n">
        <f aca="false">IF(CC$3='Bonding Program'!$H$9,-'Bonding Program'!$H$7,0)</f>
        <v>0</v>
      </c>
      <c r="CD358" s="13" t="n">
        <f aca="false">IF(CD$3='Bonding Program'!$H$9,-'Bonding Program'!$H$7,0)</f>
        <v>0</v>
      </c>
      <c r="CE358" s="13" t="n">
        <f aca="false">IF(CE$3='Bonding Program'!$H$9,-'Bonding Program'!$H$7,0)</f>
        <v>0</v>
      </c>
      <c r="CF358" s="13" t="n">
        <f aca="false">IF(CF$3='Bonding Program'!$H$9,-'Bonding Program'!$H$7,0)</f>
        <v>0</v>
      </c>
      <c r="CG358" s="13" t="n">
        <f aca="false">IF(CG$3='Bonding Program'!$H$9,-'Bonding Program'!$H$7,0)</f>
        <v>0</v>
      </c>
      <c r="CH358" s="13" t="n">
        <f aca="false">IF(CH$3='Bonding Program'!$H$9,-'Bonding Program'!$H$7,0)</f>
        <v>0</v>
      </c>
      <c r="CI358" s="13" t="n">
        <f aca="false">IF(CI$3='Bonding Program'!$H$9,-'Bonding Program'!$H$7,0)</f>
        <v>0</v>
      </c>
      <c r="CJ358" s="13" t="n">
        <f aca="false">IF(CJ$3='Bonding Program'!$H$9,-'Bonding Program'!$H$7,0)</f>
        <v>0</v>
      </c>
      <c r="CK358" s="13" t="n">
        <f aca="false">IF(CK$3='Bonding Program'!$H$9,-'Bonding Program'!$H$7,0)</f>
        <v>0</v>
      </c>
      <c r="CL358" s="13" t="n">
        <f aca="false">IF(CL$3='Bonding Program'!$H$9,-'Bonding Program'!$H$7,0)</f>
        <v>0</v>
      </c>
      <c r="CM358" s="13" t="n">
        <f aca="false">IF(CM$3='Bonding Program'!$H$9,-'Bonding Program'!$H$7,0)</f>
        <v>0</v>
      </c>
      <c r="CN358" s="13" t="n">
        <f aca="false">IF(CN$3='Bonding Program'!$H$9,-'Bonding Program'!$H$7,0)</f>
        <v>0</v>
      </c>
      <c r="CO358" s="13" t="n">
        <f aca="false">IF(CO$3='Bonding Program'!$H$9,-'Bonding Program'!$H$7,0)</f>
        <v>0</v>
      </c>
      <c r="CP358" s="13" t="n">
        <f aca="false">IF(CP$3='Bonding Program'!$H$9,-'Bonding Program'!$H$7,0)</f>
        <v>0</v>
      </c>
      <c r="CQ358" s="13" t="n">
        <f aca="false">IF(CQ$3='Bonding Program'!$H$9,-'Bonding Program'!$H$7,0)</f>
        <v>0</v>
      </c>
      <c r="CR358" s="13" t="n">
        <f aca="false">IF(CR$3='Bonding Program'!$H$9,-'Bonding Program'!$H$7,0)</f>
        <v>0</v>
      </c>
      <c r="CS358" s="13" t="n">
        <f aca="false">IF(CS$3='Bonding Program'!$H$9,-'Bonding Program'!$H$7,0)</f>
        <v>0</v>
      </c>
      <c r="CT358" s="13" t="n">
        <f aca="false">IF(CT$3='Bonding Program'!$H$9,-'Bonding Program'!$H$7,0)</f>
        <v>0</v>
      </c>
      <c r="CU358" s="13" t="n">
        <f aca="false">IF(CU$3='Bonding Program'!$H$9,-'Bonding Program'!$H$7,0)</f>
        <v>0</v>
      </c>
      <c r="CV358" s="13" t="n">
        <f aca="false">IF(CV$3='Bonding Program'!$H$9,-'Bonding Program'!$H$7,0)</f>
        <v>0</v>
      </c>
      <c r="CW358" s="13" t="n">
        <f aca="false">IF(CW$3='Bonding Program'!$H$9,-'Bonding Program'!$H$7,0)</f>
        <v>0</v>
      </c>
      <c r="CX358" s="13" t="n">
        <f aca="false">IF(CX$3='Bonding Program'!$H$9,-'Bonding Program'!$H$7,0)</f>
        <v>0</v>
      </c>
      <c r="CY358" s="13" t="n">
        <f aca="false">IF(CY$3='Bonding Program'!$H$9,-'Bonding Program'!$H$7,0)</f>
        <v>0</v>
      </c>
      <c r="CZ358" s="13" t="n">
        <f aca="false">IF(CZ$3='Bonding Program'!$H$9,-'Bonding Program'!$H$7,0)</f>
        <v>0</v>
      </c>
      <c r="DA358" s="13" t="n">
        <f aca="false">IF(DA$3='Bonding Program'!$H$9,-'Bonding Program'!$H$7,0)</f>
        <v>0</v>
      </c>
      <c r="DB358" s="13" t="n">
        <f aca="false">IF(DB$3='Bonding Program'!$H$9,-'Bonding Program'!$H$7,0)</f>
        <v>0</v>
      </c>
      <c r="DC358" s="13" t="n">
        <f aca="false">IF(DC$3='Bonding Program'!$H$9,-'Bonding Program'!$H$7,0)</f>
        <v>0</v>
      </c>
      <c r="DD358" s="13" t="n">
        <f aca="false">IF(DD$3='Bonding Program'!$H$9,-'Bonding Program'!$H$7,0)</f>
        <v>0</v>
      </c>
      <c r="DE358" s="13" t="n">
        <f aca="false">IF(DE$3='Bonding Program'!$H$9,-'Bonding Program'!$H$7,0)</f>
        <v>0</v>
      </c>
    </row>
    <row r="359" customFormat="false" ht="15" hidden="false" customHeight="true" outlineLevel="0" collapsed="false">
      <c r="A359" s="22" t="s">
        <v>184</v>
      </c>
      <c r="B359" s="13"/>
      <c r="C359" s="13"/>
      <c r="D359" s="13"/>
      <c r="E359" s="13"/>
      <c r="F359" s="13"/>
      <c r="G359" s="13"/>
      <c r="H359" s="13"/>
      <c r="I359" s="13"/>
      <c r="J359" s="13" t="n">
        <f aca="false">-J199</f>
        <v>-702607.028396964</v>
      </c>
      <c r="K359" s="13" t="n">
        <f aca="false">J199-K199-J197-IF(J$3&lt;6,0,-SUMPRODUCT('Deal Terms'!$E$4:$E$47*('Deal Terms'!$G$4:$G$47=0),J$13:J$56+J$60:J$103))</f>
        <v>157384.158678197</v>
      </c>
      <c r="L359" s="13" t="n">
        <f aca="false">K199-L199-K197-IF(K$3&lt;6,0,-SUMPRODUCT('Deal Terms'!$E$4:$E$47*('Deal Terms'!$G$4:$G$47=0),K$13:K$56+K$60:K$103))</f>
        <v>184550.951602727</v>
      </c>
      <c r="M359" s="13" t="n">
        <f aca="false">L199-M199-L197-IF(L$3&lt;6,0,-SUMPRODUCT('Deal Terms'!$E$4:$E$47*('Deal Terms'!$G$4:$G$47=0),L$13:L$56+L$60:L$103))</f>
        <v>409857.52668049</v>
      </c>
      <c r="N359" s="13" t="n">
        <f aca="false">M199-N199-M197-IF(M$3&lt;6,0,-SUMPRODUCT('Deal Terms'!$E$4:$E$47*('Deal Terms'!$G$4:$G$47=0),M$13:M$56+M$60:M$103))</f>
        <v>-717764.999903215</v>
      </c>
      <c r="O359" s="13" t="n">
        <f aca="false">N199-O199-N197-IF(N$3&lt;6,0,-SUMPRODUCT('Deal Terms'!$E$4:$E$47*('Deal Terms'!$G$4:$G$47=0),N$13:N$56+N$60:N$103))</f>
        <v>97836.9635190503</v>
      </c>
      <c r="P359" s="13" t="n">
        <f aca="false">O199-P199-O197-IF(O$3&lt;6,0,-SUMPRODUCT('Deal Terms'!$E$4:$E$47*('Deal Terms'!$G$4:$G$47=0),O$13:O$56+O$60:O$103))</f>
        <v>-6497.72000000067</v>
      </c>
      <c r="Q359" s="13" t="n">
        <f aca="false">P199-Q199-P197-IF(P$3&lt;6,0,-SUMPRODUCT('Deal Terms'!$E$4:$E$47*('Deal Terms'!$G$4:$G$47=0),P$13:P$56+P$60:P$103))</f>
        <v>691156.606607809</v>
      </c>
      <c r="R359" s="13" t="n">
        <f aca="false">Q199-R199-Q197-IF(Q$3&lt;6,0,-SUMPRODUCT('Deal Terms'!$E$4:$E$47*('Deal Terms'!$G$4:$G$47=0),Q$13:Q$56+Q$60:Q$103))</f>
        <v>-553613.300519358</v>
      </c>
      <c r="S359" s="13" t="n">
        <f aca="false">R199-S199-R197-IF(R$3&lt;6,0,-SUMPRODUCT('Deal Terms'!$E$4:$E$47*('Deal Terms'!$G$4:$G$47=0),R$13:R$56+R$60:R$103))</f>
        <v>-141605.435689558</v>
      </c>
      <c r="T359" s="13" t="n">
        <f aca="false">S199-T199-S197-IF(S$3&lt;6,0,-SUMPRODUCT('Deal Terms'!$E$4:$E$47*('Deal Terms'!$G$4:$G$47=0),S$13:S$56+S$60:S$103))</f>
        <v>-123177.521513258</v>
      </c>
      <c r="U359" s="13" t="n">
        <f aca="false">T199-U199-T197-IF(T$3&lt;6,0,-SUMPRODUCT('Deal Terms'!$E$4:$E$47*('Deal Terms'!$G$4:$G$47=0),T$13:T$56+T$60:T$103))</f>
        <v>-241980.086046799</v>
      </c>
      <c r="V359" s="13" t="n">
        <f aca="false">U199-V199-U197-IF(U$3&lt;6,0,-SUMPRODUCT('Deal Terms'!$E$4:$E$47*('Deal Terms'!$G$4:$G$47=0),U$13:U$56+U$60:U$103))</f>
        <v>-81881.0599999987</v>
      </c>
      <c r="W359" s="13" t="n">
        <f aca="false">V199-W199-V197-IF(V$3&lt;6,0,-SUMPRODUCT('Deal Terms'!$E$4:$E$47*('Deal Terms'!$G$4:$G$47=0),V$13:V$56+V$60:V$103))</f>
        <v>115119.269999999</v>
      </c>
      <c r="X359" s="13" t="n">
        <f aca="false">W199-X199-W197-IF(W$3&lt;6,0,-SUMPRODUCT('Deal Terms'!$E$4:$E$47*('Deal Terms'!$G$4:$G$47=0),W$13:W$56+W$60:W$103))</f>
        <v>-288092.624858914</v>
      </c>
      <c r="Y359" s="13" t="n">
        <f aca="false">X199-Y199-X197-IF(X$3&lt;6,0,-SUMPRODUCT('Deal Terms'!$E$4:$E$47*('Deal Terms'!$G$4:$G$47=0),X$13:X$56+X$60:X$103))</f>
        <v>161760.82</v>
      </c>
      <c r="Z359" s="13" t="n">
        <f aca="false">Y199-Z199-Y197-IF(Y$3&lt;6,0,-SUMPRODUCT('Deal Terms'!$E$4:$E$47*('Deal Terms'!$G$4:$G$47=0),Y$13:Y$56+Y$60:Y$103))</f>
        <v>-126346.18</v>
      </c>
      <c r="AA359" s="13" t="n">
        <f aca="false">Z199-AA199-Z197-IF(Z$3&lt;6,0,-SUMPRODUCT('Deal Terms'!$E$4:$E$47*('Deal Terms'!$G$4:$G$47=0),Z$13:Z$56+Z$60:Z$103))</f>
        <v>-29238.6533611398</v>
      </c>
      <c r="AB359" s="13" t="n">
        <f aca="false">AA199-AB199-AA197-IF(AA$3&lt;6,0,-SUMPRODUCT('Deal Terms'!$E$4:$E$47*('Deal Terms'!$G$4:$G$47=0),AA$13:AA$56+AA$60:AA$103))</f>
        <v>186331.722100502</v>
      </c>
      <c r="AC359" s="13" t="n">
        <f aca="false">AB199-AC199-AB197-IF(AB$3&lt;6,0,-SUMPRODUCT('Deal Terms'!$E$4:$E$47*('Deal Terms'!$G$4:$G$47=0),AB$13:AB$56+AB$60:AB$103))</f>
        <v>228725.469243556</v>
      </c>
      <c r="AD359" s="13" t="n">
        <f aca="false">AC199-AD199-AC197-IF(AC$3&lt;6,0,-SUMPRODUCT('Deal Terms'!$E$4:$E$47*('Deal Terms'!$G$4:$G$47=0),AC$13:AC$56+AC$60:AC$103))</f>
        <v>-22949.9100000002</v>
      </c>
      <c r="AE359" s="13" t="n">
        <f aca="false">AD199-AE199-AD197-IF(AD$3&lt;6,0,-SUMPRODUCT('Deal Terms'!$E$4:$E$47*('Deal Terms'!$G$4:$G$47=0),AD$13:AD$56+AD$60:AD$103))</f>
        <v>584281.692087117</v>
      </c>
      <c r="AF359" s="13" t="n">
        <f aca="false">AE199-AF199-AE197-IF(AE$3&lt;6,0,-SUMPRODUCT('Deal Terms'!$E$4:$E$47*('Deal Terms'!$G$4:$G$47=0),AE$13:AE$56+AE$60:AE$103))</f>
        <v>-902493.157070377</v>
      </c>
      <c r="AG359" s="13" t="n">
        <f aca="false">AF199-AG199-AF197-IF(AF$3&lt;6,0,-SUMPRODUCT('Deal Terms'!$E$4:$E$47*('Deal Terms'!$G$4:$G$47=0),AF$13:AF$56+AF$60:AF$103))</f>
        <v>89902.9117484745</v>
      </c>
      <c r="AH359" s="13" t="n">
        <f aca="false">AG199-AH199-AG197-IF(AG$3&lt;6,0,-SUMPRODUCT('Deal Terms'!$E$4:$E$47*('Deal Terms'!$G$4:$G$47=0),AG$13:AG$56+AG$60:AG$103))</f>
        <v>136693.3229619</v>
      </c>
      <c r="AI359" s="13" t="n">
        <f aca="false">AH199-AI199-AH197-IF(AH$3&lt;6,0,-SUMPRODUCT('Deal Terms'!$E$4:$E$47*('Deal Terms'!$G$4:$G$47=0),AH$13:AH$56+AH$60:AH$103))</f>
        <v>6166.87000000011</v>
      </c>
      <c r="AJ359" s="13" t="n">
        <f aca="false">AI199-AJ199-AI197-IF(AI$3&lt;6,0,-SUMPRODUCT('Deal Terms'!$E$4:$E$47*('Deal Terms'!$G$4:$G$47=0),AI$13:AI$56+AI$60:AI$103))</f>
        <v>-97566.6176610002</v>
      </c>
      <c r="AK359" s="13" t="n">
        <f aca="false">AJ199-AK199-AJ197-IF(AJ$3&lt;6,0,-SUMPRODUCT('Deal Terms'!$E$4:$E$47*('Deal Terms'!$G$4:$G$47=0),AJ$13:AJ$56+AJ$60:AJ$103))</f>
        <v>370599.890118636</v>
      </c>
      <c r="AL359" s="13" t="n">
        <f aca="false">AK199-AL199-AK197-IF(AK$3&lt;6,0,-SUMPRODUCT('Deal Terms'!$E$4:$E$47*('Deal Terms'!$G$4:$G$47=0),AK$13:AK$56+AK$60:AK$103))</f>
        <v>10923.8896195497</v>
      </c>
      <c r="AM359" s="13" t="n">
        <f aca="false">AL199-AM199-AL197-IF(AL$3&lt;6,0,-SUMPRODUCT('Deal Terms'!$E$4:$E$47*('Deal Terms'!$G$4:$G$47=0),AL$13:AL$56+AL$60:AL$103))</f>
        <v>210152.5602679</v>
      </c>
      <c r="AN359" s="13" t="n">
        <f aca="false">AM199-AN199-AM197-IF(AM$3&lt;6,0,-SUMPRODUCT('Deal Terms'!$E$4:$E$47*('Deal Terms'!$G$4:$G$47=0),AM$13:AM$56+AM$60:AM$103))</f>
        <v>108482.05</v>
      </c>
      <c r="AO359" s="13" t="n">
        <f aca="false">AN199-AO199-AN197-IF(AN$3&lt;6,0,-SUMPRODUCT('Deal Terms'!$E$4:$E$47*('Deal Terms'!$G$4:$G$47=0),AN$13:AN$56+AN$60:AN$103))</f>
        <v>39928.6099999999</v>
      </c>
      <c r="AP359" s="13" t="n">
        <f aca="false">AO199-AP199-AO197-IF(AO$3&lt;6,0,-SUMPRODUCT('Deal Terms'!$E$4:$E$47*('Deal Terms'!$G$4:$G$47=0),AO$13:AO$56+AO$60:AO$103))</f>
        <v>0</v>
      </c>
      <c r="AQ359" s="13" t="n">
        <f aca="false">AP199-AQ199-AP197-IF(AP$3&lt;6,0,-SUMPRODUCT('Deal Terms'!$E$4:$E$47*('Deal Terms'!$G$4:$G$47=0),AP$13:AP$56+AP$60:AP$103))</f>
        <v>0</v>
      </c>
      <c r="AR359" s="13" t="n">
        <f aca="false">AQ199-AR199-AQ197-IF(AQ$3&lt;6,0,-SUMPRODUCT('Deal Terms'!$E$4:$E$47*('Deal Terms'!$G$4:$G$47=0),AQ$13:AQ$56+AQ$60:AQ$103))</f>
        <v>0</v>
      </c>
      <c r="AS359" s="13" t="n">
        <f aca="false">AR199-AS199-AR197-IF(AR$3&lt;6,0,-SUMPRODUCT('Deal Terms'!$E$4:$E$47*('Deal Terms'!$G$4:$G$47=0),AR$13:AR$56+AR$60:AR$103))</f>
        <v>0</v>
      </c>
      <c r="AT359" s="13" t="n">
        <f aca="false">AS199-AT199-AS197-IF(AS$3&lt;6,0,-SUMPRODUCT('Deal Terms'!$E$4:$E$47*('Deal Terms'!$G$4:$G$47=0),AS$13:AS$56+AS$60:AS$103))</f>
        <v>-272485.5853535</v>
      </c>
      <c r="AU359" s="13" t="n">
        <f aca="false">AT199-AU199-AT197-IF(AT$3&lt;6,0,-SUMPRODUCT('Deal Terms'!$E$4:$E$47*('Deal Terms'!$G$4:$G$47=0),AT$13:AT$56+AT$60:AT$103))</f>
        <v>294412.541167877</v>
      </c>
      <c r="AV359" s="13" t="n">
        <f aca="false">AU199-AV199-AU197-IF(AU$3&lt;6,0,-SUMPRODUCT('Deal Terms'!$E$4:$E$47*('Deal Terms'!$G$4:$G$47=0),AU$13:AU$56+AU$60:AU$103))</f>
        <v>269909.653101753</v>
      </c>
      <c r="AW359" s="13" t="n">
        <f aca="false">AV199-AW199-AV197-IF(AV$3&lt;6,0,-SUMPRODUCT('Deal Terms'!$E$4:$E$47*('Deal Terms'!$G$4:$G$47=0),AV$13:AV$56+AV$60:AV$103))</f>
        <v>0</v>
      </c>
      <c r="AX359" s="13" t="n">
        <f aca="false">AW199-AX199-AW197-IF(AW$3&lt;6,0,-SUMPRODUCT('Deal Terms'!$E$4:$E$47*('Deal Terms'!$G$4:$G$47=0),AW$13:AW$56+AW$60:AW$103))</f>
        <v>0</v>
      </c>
      <c r="AY359" s="13" t="n">
        <f aca="false">AX199-AY199-AX197-IF(AX$3&lt;6,0,-SUMPRODUCT('Deal Terms'!$E$4:$E$47*('Deal Terms'!$G$4:$G$47=0),AX$13:AX$56+AX$60:AX$103))</f>
        <v>0</v>
      </c>
      <c r="AZ359" s="13" t="n">
        <f aca="false">AY199-AZ199-AY197-IF(AY$3&lt;6,0,-SUMPRODUCT('Deal Terms'!$E$4:$E$47*('Deal Terms'!$G$4:$G$47=0),AY$13:AY$56+AY$60:AY$103))</f>
        <v>0</v>
      </c>
      <c r="BA359" s="13" t="n">
        <f aca="false">AZ199-BA199-AZ197-IF(AZ$3&lt;6,0,-SUMPRODUCT('Deal Terms'!$E$4:$E$47*('Deal Terms'!$G$4:$G$47=0),AZ$13:AZ$56+AZ$60:AZ$103))</f>
        <v>0</v>
      </c>
      <c r="BB359" s="13" t="n">
        <f aca="false">BA199-BB199-BA197-IF(BA$3&lt;6,0,-SUMPRODUCT('Deal Terms'!$E$4:$E$47*('Deal Terms'!$G$4:$G$47=0),BA$13:BA$56+BA$60:BA$103))</f>
        <v>0</v>
      </c>
      <c r="BC359" s="13" t="n">
        <f aca="false">BB199-BC199-BB197-IF(BB$3&lt;6,0,-SUMPRODUCT('Deal Terms'!$E$4:$E$47*('Deal Terms'!$G$4:$G$47=0),BB$13:BB$56+BB$60:BB$103))</f>
        <v>0</v>
      </c>
      <c r="BD359" s="13" t="n">
        <f aca="false">BC199-BD199-BC197-IF(BC$3&lt;6,0,-SUMPRODUCT('Deal Terms'!$E$4:$E$47*('Deal Terms'!$G$4:$G$47=0),BC$13:BC$56+BC$60:BC$103))</f>
        <v>0</v>
      </c>
      <c r="BE359" s="13" t="n">
        <f aca="false">BD199-BE199-BD197-IF(BD$3&lt;6,0,-SUMPRODUCT('Deal Terms'!$E$4:$E$47*('Deal Terms'!$G$4:$G$47=0),BD$13:BD$56+BD$60:BD$103))</f>
        <v>0</v>
      </c>
      <c r="BF359" s="13" t="n">
        <f aca="false">BE199-BF199-BE197-IF(BE$3&lt;6,0,-SUMPRODUCT('Deal Terms'!$E$4:$E$47*('Deal Terms'!$G$4:$G$47=0),BE$13:BE$56+BE$60:BE$103))</f>
        <v>0</v>
      </c>
      <c r="BG359" s="13" t="n">
        <f aca="false">BF199-BG199-BF197-IF(BF$3&lt;6,0,-SUMPRODUCT('Deal Terms'!$E$4:$E$47*('Deal Terms'!$G$4:$G$47=0),BF$13:BF$56+BF$60:BF$103))</f>
        <v>0</v>
      </c>
      <c r="BH359" s="13" t="n">
        <f aca="false">BG199-BH199-BG197-IF(BG$3&lt;6,0,-SUMPRODUCT('Deal Terms'!$E$4:$E$47*('Deal Terms'!$G$4:$G$47=0),BG$13:BG$56+BG$60:BG$103))</f>
        <v>-248936.2750556</v>
      </c>
      <c r="BI359" s="13" t="n">
        <f aca="false">BH199-BI199-BH197-IF(BH$3&lt;6,0,-SUMPRODUCT('Deal Terms'!$E$4:$E$47*('Deal Terms'!$G$4:$G$47=0),BH$13:BH$56+BH$60:BH$103))</f>
        <v>406595.915924147</v>
      </c>
      <c r="BJ359" s="13" t="n">
        <f aca="false">BI199-BJ199-BI197-IF(BI$3&lt;6,0,-SUMPRODUCT('Deal Terms'!$E$4:$E$47*('Deal Terms'!$G$4:$G$47=0),BI$13:BI$56+BI$60:BI$103))</f>
        <v>0</v>
      </c>
      <c r="BK359" s="13" t="n">
        <f aca="false">BJ199-BK199-BJ197-IF(BJ$3&lt;6,0,-SUMPRODUCT('Deal Terms'!$E$4:$E$47*('Deal Terms'!$G$4:$G$47=0),BJ$13:BJ$56+BJ$60:BJ$103))</f>
        <v>0</v>
      </c>
      <c r="BL359" s="13" t="n">
        <f aca="false">BK199-BL199-BK197-IF(BK$3&lt;6,0,-SUMPRODUCT('Deal Terms'!$E$4:$E$47*('Deal Terms'!$G$4:$G$47=0),BK$13:BK$56+BK$60:BK$103))</f>
        <v>0</v>
      </c>
      <c r="BM359" s="13" t="n">
        <f aca="false">BL199-BM199-BL197-IF(BL$3&lt;6,0,-SUMPRODUCT('Deal Terms'!$E$4:$E$47*('Deal Terms'!$G$4:$G$47=0),BL$13:BL$56+BL$60:BL$103))</f>
        <v>0</v>
      </c>
      <c r="BN359" s="13" t="n">
        <f aca="false">BM199-BN199-BM197-IF(BM$3&lt;6,0,-SUMPRODUCT('Deal Terms'!$E$4:$E$47*('Deal Terms'!$G$4:$G$47=0),BM$13:BM$56+BM$60:BM$103))</f>
        <v>0</v>
      </c>
      <c r="BO359" s="13" t="n">
        <f aca="false">BN199-BO199-BN197-IF(BN$3&lt;6,0,-SUMPRODUCT('Deal Terms'!$E$4:$E$47*('Deal Terms'!$G$4:$G$47=0),BN$13:BN$56+BN$60:BN$103))</f>
        <v>0</v>
      </c>
      <c r="BP359" s="13" t="n">
        <f aca="false">BO199-BP199-BO197-IF(BO$3&lt;6,0,-SUMPRODUCT('Deal Terms'!$E$4:$E$47*('Deal Terms'!$G$4:$G$47=0),BO$13:BO$56+BO$60:BO$103))</f>
        <v>0</v>
      </c>
      <c r="BQ359" s="13" t="n">
        <f aca="false">BP199-BQ199-BP197-IF(BP$3&lt;6,0,-SUMPRODUCT('Deal Terms'!$E$4:$E$47*('Deal Terms'!$G$4:$G$47=0),BP$13:BP$56+BP$60:BP$103))</f>
        <v>0</v>
      </c>
      <c r="BR359" s="13" t="n">
        <f aca="false">BQ199-BR199-BQ197-IF(BQ$3&lt;6,0,-SUMPRODUCT('Deal Terms'!$E$4:$E$47*('Deal Terms'!$G$4:$G$47=0),BQ$13:BQ$56+BQ$60:BQ$103))</f>
        <v>0</v>
      </c>
      <c r="BS359" s="13" t="n">
        <f aca="false">BR199-BS199-BR197-IF(BR$3&lt;6,0,-SUMPRODUCT('Deal Terms'!$E$4:$E$47*('Deal Terms'!$G$4:$G$47=0),BR$13:BR$56+BR$60:BR$103))</f>
        <v>0</v>
      </c>
      <c r="BT359" s="13" t="n">
        <f aca="false">BS199-BT199-BS197-IF(BS$3&lt;6,0,-SUMPRODUCT('Deal Terms'!$E$4:$E$47*('Deal Terms'!$G$4:$G$47=0),BS$13:BS$56+BS$60:BS$103))</f>
        <v>0</v>
      </c>
      <c r="BU359" s="13" t="n">
        <f aca="false">BT199-BU199-BT197-IF(BT$3&lt;6,0,-SUMPRODUCT('Deal Terms'!$E$4:$E$47*('Deal Terms'!$G$4:$G$47=0),BT$13:BT$56+BT$60:BT$103))</f>
        <v>0</v>
      </c>
      <c r="BV359" s="13" t="n">
        <f aca="false">BU199-BV199-BU197-IF(BU$3&lt;6,0,-SUMPRODUCT('Deal Terms'!$E$4:$E$47*('Deal Terms'!$G$4:$G$47=0),BU$13:BU$56+BU$60:BU$103))</f>
        <v>0</v>
      </c>
      <c r="BW359" s="13" t="n">
        <f aca="false">BV199-BW199-BV197-IF(BV$3&lt;6,0,-SUMPRODUCT('Deal Terms'!$E$4:$E$47*('Deal Terms'!$G$4:$G$47=0),BV$13:BV$56+BV$60:BV$103))</f>
        <v>0</v>
      </c>
      <c r="BX359" s="13" t="n">
        <f aca="false">BW199-BX199-BW197-IF(BW$3&lt;6,0,-SUMPRODUCT('Deal Terms'!$E$4:$E$47*('Deal Terms'!$G$4:$G$47=0),BW$13:BW$56+BW$60:BW$103))</f>
        <v>0</v>
      </c>
      <c r="BY359" s="13" t="n">
        <f aca="false">BX199-BY199-BX197-IF(BX$3&lt;6,0,-SUMPRODUCT('Deal Terms'!$E$4:$E$47*('Deal Terms'!$G$4:$G$47=0),BX$13:BX$56+BX$60:BX$103))</f>
        <v>0</v>
      </c>
      <c r="BZ359" s="13" t="n">
        <f aca="false">BY199-BZ199-BY197-IF(BY$3&lt;6,0,-SUMPRODUCT('Deal Terms'!$E$4:$E$47*('Deal Terms'!$G$4:$G$47=0),BY$13:BY$56+BY$60:BY$103))</f>
        <v>0</v>
      </c>
      <c r="CA359" s="13" t="n">
        <f aca="false">BZ199-CA199-BZ197-IF(BZ$3&lt;6,0,-SUMPRODUCT('Deal Terms'!$E$4:$E$47*('Deal Terms'!$G$4:$G$47=0),BZ$13:BZ$56+BZ$60:BZ$103))</f>
        <v>0</v>
      </c>
      <c r="CB359" s="13" t="n">
        <f aca="false">CA199-CB199-CA197-IF(CA$3&lt;6,0,-SUMPRODUCT('Deal Terms'!$E$4:$E$47*('Deal Terms'!$G$4:$G$47=0),CA$13:CA$56+CA$60:CA$103))</f>
        <v>0</v>
      </c>
      <c r="CC359" s="13" t="n">
        <f aca="false">CB199-CC199-CB197-IF(CB$3&lt;6,0,-SUMPRODUCT('Deal Terms'!$E$4:$E$47*('Deal Terms'!$G$4:$G$47=0),CB$13:CB$56+CB$60:CB$103))</f>
        <v>0</v>
      </c>
      <c r="CD359" s="13" t="n">
        <f aca="false">CC199-CD199-CC197-IF(CC$3&lt;6,0,-SUMPRODUCT('Deal Terms'!$E$4:$E$47*('Deal Terms'!$G$4:$G$47=0),CC$13:CC$56+CC$60:CC$103))</f>
        <v>0</v>
      </c>
      <c r="CE359" s="13" t="n">
        <f aca="false">CD199-CE199-CD197-IF(CD$3&lt;6,0,-SUMPRODUCT('Deal Terms'!$E$4:$E$47*('Deal Terms'!$G$4:$G$47=0),CD$13:CD$56+CD$60:CD$103))</f>
        <v>0</v>
      </c>
      <c r="CF359" s="13" t="n">
        <f aca="false">CE199-CF199-CE197-IF(CE$3&lt;6,0,-SUMPRODUCT('Deal Terms'!$E$4:$E$47*('Deal Terms'!$G$4:$G$47=0),CE$13:CE$56+CE$60:CE$103))</f>
        <v>0</v>
      </c>
      <c r="CG359" s="13" t="n">
        <f aca="false">CF199-CG199-CF197-IF(CF$3&lt;6,0,-SUMPRODUCT('Deal Terms'!$E$4:$E$47*('Deal Terms'!$G$4:$G$47=0),CF$13:CF$56+CF$60:CF$103))</f>
        <v>0</v>
      </c>
      <c r="CH359" s="13" t="n">
        <f aca="false">CG199-CH199-CG197-IF(CG$3&lt;6,0,-SUMPRODUCT('Deal Terms'!$E$4:$E$47*('Deal Terms'!$G$4:$G$47=0),CG$13:CG$56+CG$60:CG$103))</f>
        <v>0</v>
      </c>
      <c r="CI359" s="13" t="n">
        <f aca="false">CH199-CI199-CH197-IF(CH$3&lt;6,0,-SUMPRODUCT('Deal Terms'!$E$4:$E$47*('Deal Terms'!$G$4:$G$47=0),CH$13:CH$56+CH$60:CH$103))</f>
        <v>0</v>
      </c>
      <c r="CJ359" s="13" t="n">
        <f aca="false">CI199-CJ199-CI197-IF(CI$3&lt;6,0,-SUMPRODUCT('Deal Terms'!$E$4:$E$47*('Deal Terms'!$G$4:$G$47=0),CI$13:CI$56+CI$60:CI$103))</f>
        <v>0</v>
      </c>
      <c r="CK359" s="13" t="n">
        <f aca="false">CJ199-CK199-CJ197-IF(CJ$3&lt;6,0,-SUMPRODUCT('Deal Terms'!$E$4:$E$47*('Deal Terms'!$G$4:$G$47=0),CJ$13:CJ$56+CJ$60:CJ$103))</f>
        <v>0</v>
      </c>
      <c r="CL359" s="13" t="n">
        <f aca="false">CK199-CL199-CK197-IF(CK$3&lt;6,0,-SUMPRODUCT('Deal Terms'!$E$4:$E$47*('Deal Terms'!$G$4:$G$47=0),CK$13:CK$56+CK$60:CK$103))</f>
        <v>0</v>
      </c>
      <c r="CM359" s="13" t="n">
        <f aca="false">CL199-CM199-CL197-IF(CL$3&lt;6,0,-SUMPRODUCT('Deal Terms'!$E$4:$E$47*('Deal Terms'!$G$4:$G$47=0),CL$13:CL$56+CL$60:CL$103))</f>
        <v>0</v>
      </c>
      <c r="CN359" s="13" t="n">
        <f aca="false">CM199-CN199-CM197-IF(CM$3&lt;6,0,-SUMPRODUCT('Deal Terms'!$E$4:$E$47*('Deal Terms'!$G$4:$G$47=0),CM$13:CM$56+CM$60:CM$103))</f>
        <v>0</v>
      </c>
      <c r="CO359" s="13" t="n">
        <f aca="false">CN199-CO199-CN197-IF(CN$3&lt;6,0,-SUMPRODUCT('Deal Terms'!$E$4:$E$47*('Deal Terms'!$G$4:$G$47=0),CN$13:CN$56+CN$60:CN$103))</f>
        <v>0</v>
      </c>
      <c r="CP359" s="13" t="n">
        <f aca="false">CO199-CP199-CO197-IF(CO$3&lt;6,0,-SUMPRODUCT('Deal Terms'!$E$4:$E$47*('Deal Terms'!$G$4:$G$47=0),CO$13:CO$56+CO$60:CO$103))</f>
        <v>0</v>
      </c>
      <c r="CQ359" s="13" t="n">
        <f aca="false">CP199-CQ199-CP197-IF(CP$3&lt;6,0,-SUMPRODUCT('Deal Terms'!$E$4:$E$47*('Deal Terms'!$G$4:$G$47=0),CP$13:CP$56+CP$60:CP$103))</f>
        <v>0</v>
      </c>
      <c r="CR359" s="13" t="n">
        <f aca="false">CQ199-CR199-CQ197-IF(CQ$3&lt;6,0,-SUMPRODUCT('Deal Terms'!$E$4:$E$47*('Deal Terms'!$G$4:$G$47=0),CQ$13:CQ$56+CQ$60:CQ$103))</f>
        <v>0</v>
      </c>
      <c r="CS359" s="13" t="n">
        <f aca="false">CR199-CS199-CR197-IF(CR$3&lt;6,0,-SUMPRODUCT('Deal Terms'!$E$4:$E$47*('Deal Terms'!$G$4:$G$47=0),CR$13:CR$56+CR$60:CR$103))</f>
        <v>0</v>
      </c>
      <c r="CT359" s="13" t="n">
        <f aca="false">CS199-CT199-CS197-IF(CS$3&lt;6,0,-SUMPRODUCT('Deal Terms'!$E$4:$E$47*('Deal Terms'!$G$4:$G$47=0),CS$13:CS$56+CS$60:CS$103))</f>
        <v>0</v>
      </c>
      <c r="CU359" s="13" t="n">
        <f aca="false">CT199-CU199-CT197-IF(CT$3&lt;6,0,-SUMPRODUCT('Deal Terms'!$E$4:$E$47*('Deal Terms'!$G$4:$G$47=0),CT$13:CT$56+CT$60:CT$103))</f>
        <v>0</v>
      </c>
      <c r="CV359" s="13" t="n">
        <f aca="false">CU199-CV199-CU197-IF(CU$3&lt;6,0,-SUMPRODUCT('Deal Terms'!$E$4:$E$47*('Deal Terms'!$G$4:$G$47=0),CU$13:CU$56+CU$60:CU$103))</f>
        <v>0</v>
      </c>
      <c r="CW359" s="13" t="n">
        <f aca="false">CV199-CW199-CV197-IF(CV$3&lt;6,0,-SUMPRODUCT('Deal Terms'!$E$4:$E$47*('Deal Terms'!$G$4:$G$47=0),CV$13:CV$56+CV$60:CV$103))</f>
        <v>0</v>
      </c>
      <c r="CX359" s="13" t="n">
        <f aca="false">CW199-CX199-CW197-IF(CW$3&lt;6,0,-SUMPRODUCT('Deal Terms'!$E$4:$E$47*('Deal Terms'!$G$4:$G$47=0),CW$13:CW$56+CW$60:CW$103))</f>
        <v>0</v>
      </c>
      <c r="CY359" s="13" t="n">
        <f aca="false">CX199-CY199-CX197-IF(CX$3&lt;6,0,-SUMPRODUCT('Deal Terms'!$E$4:$E$47*('Deal Terms'!$G$4:$G$47=0),CX$13:CX$56+CX$60:CX$103))</f>
        <v>0</v>
      </c>
      <c r="CZ359" s="13" t="n">
        <f aca="false">CY199-CZ199-CY197-IF(CY$3&lt;6,0,-SUMPRODUCT('Deal Terms'!$E$4:$E$47*('Deal Terms'!$G$4:$G$47=0),CY$13:CY$56+CY$60:CY$103))</f>
        <v>0</v>
      </c>
      <c r="DA359" s="13" t="n">
        <f aca="false">CZ199-DA199-CZ197-IF(CZ$3&lt;6,0,-SUMPRODUCT('Deal Terms'!$E$4:$E$47*('Deal Terms'!$G$4:$G$47=0),CZ$13:CZ$56+CZ$60:CZ$103))</f>
        <v>0</v>
      </c>
      <c r="DB359" s="13" t="n">
        <f aca="false">DA199-DB199-DA197-IF(DA$3&lt;6,0,-SUMPRODUCT('Deal Terms'!$E$4:$E$47*('Deal Terms'!$G$4:$G$47=0),DA$13:DA$56+DA$60:DA$103))</f>
        <v>0</v>
      </c>
      <c r="DC359" s="13" t="n">
        <f aca="false">DB199-DC199-DB197-IF(DB$3&lt;6,0,-SUMPRODUCT('Deal Terms'!$E$4:$E$47*('Deal Terms'!$G$4:$G$47=0),DB$13:DB$56+DB$60:DB$103))</f>
        <v>0</v>
      </c>
      <c r="DD359" s="13" t="n">
        <f aca="false">DC199-DD199-DC197-IF(DC$3&lt;6,0,-SUMPRODUCT('Deal Terms'!$E$4:$E$47*('Deal Terms'!$G$4:$G$47=0),DC$13:DC$56+DC$60:DC$103))</f>
        <v>0</v>
      </c>
      <c r="DE359" s="13" t="n">
        <f aca="false">DD199-DE199-DD197-IF(DD$3&lt;6,0,-SUMPRODUCT('Deal Terms'!$E$4:$E$47*('Deal Terms'!$G$4:$G$47=0),DD$13:DD$56+DD$60:DD$103))</f>
        <v>0</v>
      </c>
    </row>
    <row r="360" customFormat="false" ht="15" hidden="false" customHeight="true" outlineLevel="0" collapsed="false">
      <c r="A360" s="22" t="s">
        <v>185</v>
      </c>
      <c r="B360" s="13"/>
      <c r="C360" s="13"/>
      <c r="D360" s="13"/>
      <c r="E360" s="13"/>
      <c r="F360" s="13"/>
      <c r="G360" s="13"/>
      <c r="H360" s="13"/>
      <c r="I360" s="13"/>
      <c r="J360" s="13" t="n">
        <v>0</v>
      </c>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row>
    <row r="361" customFormat="false" ht="15" hidden="false" customHeight="true" outlineLevel="0" collapsed="false">
      <c r="A361" s="22" t="s">
        <v>186</v>
      </c>
      <c r="B361" s="13"/>
      <c r="C361" s="13"/>
      <c r="D361" s="13"/>
      <c r="E361" s="13"/>
      <c r="F361" s="13"/>
      <c r="G361" s="13"/>
      <c r="H361" s="13"/>
      <c r="I361" s="13"/>
      <c r="J361" s="13" t="n">
        <f aca="false">-0.05*(J10+J11)</f>
        <v>-36095.5760926295</v>
      </c>
      <c r="K361" s="13" t="n">
        <f aca="false">-0.05*(K10+K11)</f>
        <v>-38005.5881356239</v>
      </c>
      <c r="L361" s="13" t="n">
        <f aca="false">-0.05*(L10+L11)</f>
        <v>-31952.7880229579</v>
      </c>
      <c r="M361" s="13" t="n">
        <f aca="false">-0.05*(M10+M11)</f>
        <v>-33705.1548612026</v>
      </c>
      <c r="N361" s="13" t="n">
        <f aca="false">-0.05*(N10+N11)</f>
        <v>-42319.0315669383</v>
      </c>
      <c r="O361" s="13" t="n">
        <f aca="false">-0.05*(O10+O11)</f>
        <v>-42059.8488909858</v>
      </c>
      <c r="P361" s="13" t="n">
        <f aca="false">-0.05*(P10+P11)</f>
        <v>-43429.7278909858</v>
      </c>
      <c r="Q361" s="13" t="n">
        <f aca="false">-0.05*(Q10+Q11)</f>
        <v>-49485.4195938466</v>
      </c>
      <c r="R361" s="13" t="n">
        <f aca="false">-0.05*(R10+R11)</f>
        <v>-51929.2319985091</v>
      </c>
      <c r="S361" s="13" t="n">
        <f aca="false">-0.05*(S10+S11)</f>
        <v>-55954.6397423466</v>
      </c>
      <c r="T361" s="13" t="n">
        <f aca="false">-0.05*(T10+T11)</f>
        <v>-66209.2382490441</v>
      </c>
      <c r="U361" s="13" t="n">
        <f aca="false">-0.05*(U10+U11)</f>
        <v>-60787.1897490441</v>
      </c>
      <c r="V361" s="13" t="n">
        <f aca="false">-0.05*(V10+V11)</f>
        <v>-64501.5582490441</v>
      </c>
      <c r="W361" s="13" t="n">
        <f aca="false">-0.05*(W10+W11)</f>
        <v>-55548.6797490441</v>
      </c>
      <c r="X361" s="13" t="n">
        <f aca="false">-0.05*(X10+X11)</f>
        <v>-70242.5769919898</v>
      </c>
      <c r="Y361" s="13" t="n">
        <f aca="false">-0.05*(Y10+Y11)</f>
        <v>-62154.5359919898</v>
      </c>
      <c r="Z361" s="13" t="n">
        <f aca="false">-0.05*(Z10+Z11)</f>
        <v>-68471.8449919898</v>
      </c>
      <c r="AA361" s="13" t="n">
        <f aca="false">-0.05*(AA10+AA11)</f>
        <v>-69933.7776600468</v>
      </c>
      <c r="AB361" s="13" t="n">
        <f aca="false">-0.05*(AB10+AB11)</f>
        <v>-60617.1915550217</v>
      </c>
      <c r="AC361" s="13" t="n">
        <f aca="false">-0.05*(AC10+AC11)</f>
        <v>-49180.9180928439</v>
      </c>
      <c r="AD361" s="13" t="n">
        <f aca="false">-0.05*(AD10+AD11)</f>
        <v>-50328.4135928439</v>
      </c>
      <c r="AE361" s="13" t="n">
        <f aca="false">-0.05*(AE10+AE11)</f>
        <v>-57757.9961362713</v>
      </c>
      <c r="AF361" s="13" t="n">
        <f aca="false">-0.05*(AF10+AF11)</f>
        <v>-66238.9868420069</v>
      </c>
      <c r="AG361" s="13" t="n">
        <f aca="false">-0.05*(AG10+AG11)</f>
        <v>-61743.8412545831</v>
      </c>
      <c r="AH361" s="13" t="n">
        <f aca="false">-0.05*(AH10+AH11)</f>
        <v>-54909.1751064882</v>
      </c>
      <c r="AI361" s="13" t="n">
        <f aca="false">-0.05*(AI10+AI11)</f>
        <v>-54600.8316064882</v>
      </c>
      <c r="AJ361" s="13" t="n">
        <f aca="false">-0.05*(AJ10+AJ11)</f>
        <v>-59479.1624895382</v>
      </c>
      <c r="AK361" s="13" t="n">
        <f aca="false">-0.05*(AK10+AK11)</f>
        <v>-40949.1679836064</v>
      </c>
      <c r="AL361" s="13" t="n">
        <f aca="false">-0.05*(AL10+AL11)</f>
        <v>-40402.9735026289</v>
      </c>
      <c r="AM361" s="13" t="n">
        <f aca="false">-0.05*(AM10+AM11)</f>
        <v>-29895.3454892339</v>
      </c>
      <c r="AN361" s="13" t="n">
        <f aca="false">-0.05*(AN10+AN11)</f>
        <v>-24471.2429892339</v>
      </c>
      <c r="AO361" s="13" t="n">
        <f aca="false">-0.05*(AO10+AO11)</f>
        <v>-22474.8124892339</v>
      </c>
      <c r="AP361" s="13" t="n">
        <f aca="false">-0.05*(AP10+AP11)</f>
        <v>-22474.8124892339</v>
      </c>
      <c r="AQ361" s="13" t="n">
        <f aca="false">-0.05*(AQ10+AQ11)</f>
        <v>-22474.8124892339</v>
      </c>
      <c r="AR361" s="13" t="n">
        <f aca="false">-0.05*(AR10+AR11)</f>
        <v>-22474.8124892339</v>
      </c>
      <c r="AS361" s="13" t="n">
        <f aca="false">-0.05*(AS10+AS11)</f>
        <v>-22474.8124892339</v>
      </c>
      <c r="AT361" s="13" t="n">
        <f aca="false">-0.05*(AT10+AT11)</f>
        <v>-36099.0917569089</v>
      </c>
      <c r="AU361" s="13" t="n">
        <f aca="false">-0.05*(AU10+AU11)</f>
        <v>-21378.464698515</v>
      </c>
      <c r="AV361" s="13" t="n">
        <f aca="false">-0.05*(AV10+AV11)</f>
        <v>-7882.98204342733</v>
      </c>
      <c r="AW361" s="13" t="n">
        <f aca="false">-0.05*(AW10+AW11)</f>
        <v>-7882.98204342733</v>
      </c>
      <c r="AX361" s="13" t="n">
        <f aca="false">-0.05*(AX10+AX11)</f>
        <v>-7882.98204342733</v>
      </c>
      <c r="AY361" s="13" t="n">
        <f aca="false">-0.05*(AY10+AY11)</f>
        <v>-7882.98204342733</v>
      </c>
      <c r="AZ361" s="13" t="n">
        <f aca="false">-0.05*(AZ10+AZ11)</f>
        <v>-7882.98204342733</v>
      </c>
      <c r="BA361" s="13" t="n">
        <f aca="false">-0.05*(BA10+BA11)</f>
        <v>-7882.98204342733</v>
      </c>
      <c r="BB361" s="13" t="n">
        <f aca="false">-0.05*(BB10+BB11)</f>
        <v>-7882.98204342733</v>
      </c>
      <c r="BC361" s="13" t="n">
        <f aca="false">-0.05*(BC10+BC11)</f>
        <v>-7882.98204342733</v>
      </c>
      <c r="BD361" s="13" t="n">
        <f aca="false">-0.05*(BD10+BD11)</f>
        <v>-7882.98204342733</v>
      </c>
      <c r="BE361" s="13" t="n">
        <f aca="false">-0.05*(BE10+BE11)</f>
        <v>-7882.98204342733</v>
      </c>
      <c r="BF361" s="13" t="n">
        <f aca="false">-0.05*(BF10+BF11)</f>
        <v>-7882.98204342733</v>
      </c>
      <c r="BG361" s="13" t="n">
        <f aca="false">-0.05*(BG10+BG11)</f>
        <v>-7882.98204342733</v>
      </c>
      <c r="BH361" s="13" t="n">
        <f aca="false">-0.05*(BH10+BH11)</f>
        <v>-20329.7957962073</v>
      </c>
      <c r="BI361" s="13" t="n">
        <f aca="false">-0.05*(BI10+BI11)</f>
        <v>-0</v>
      </c>
      <c r="BJ361" s="13" t="n">
        <f aca="false">-0.05*(BJ10+BJ11)</f>
        <v>-0</v>
      </c>
      <c r="BK361" s="13" t="n">
        <f aca="false">-0.05*(BK10+BK11)</f>
        <v>-0</v>
      </c>
      <c r="BL361" s="13" t="n">
        <f aca="false">-0.05*(BL10+BL11)</f>
        <v>-0</v>
      </c>
      <c r="BM361" s="13" t="n">
        <f aca="false">-0.05*(BM10+BM11)</f>
        <v>-0</v>
      </c>
      <c r="BN361" s="13" t="n">
        <f aca="false">-0.05*(BN10+BN11)</f>
        <v>-0</v>
      </c>
      <c r="BO361" s="13" t="n">
        <f aca="false">-0.05*(BO10+BO11)</f>
        <v>-0</v>
      </c>
      <c r="BP361" s="13" t="n">
        <f aca="false">-0.05*(BP10+BP11)</f>
        <v>-0</v>
      </c>
      <c r="BQ361" s="13" t="n">
        <f aca="false">-0.05*(BQ10+BQ11)</f>
        <v>-0</v>
      </c>
      <c r="BR361" s="13" t="n">
        <f aca="false">-0.05*(BR10+BR11)</f>
        <v>-0</v>
      </c>
      <c r="BS361" s="13" t="n">
        <f aca="false">-0.05*(BS10+BS11)</f>
        <v>-0</v>
      </c>
      <c r="BT361" s="13" t="n">
        <f aca="false">-0.05*(BT10+BT11)</f>
        <v>-0</v>
      </c>
      <c r="BU361" s="13" t="n">
        <f aca="false">-0.05*(BU10+BU11)</f>
        <v>-0</v>
      </c>
      <c r="BV361" s="13" t="n">
        <f aca="false">-0.05*(BV10+BV11)</f>
        <v>-0</v>
      </c>
      <c r="BW361" s="13" t="n">
        <f aca="false">-0.05*(BW10+BW11)</f>
        <v>-0</v>
      </c>
      <c r="BX361" s="13" t="n">
        <f aca="false">-0.05*(BX10+BX11)</f>
        <v>-0</v>
      </c>
      <c r="BY361" s="13" t="n">
        <f aca="false">-0.05*(BY10+BY11)</f>
        <v>-0</v>
      </c>
      <c r="BZ361" s="13" t="n">
        <f aca="false">-0.05*(BZ10+BZ11)</f>
        <v>-0</v>
      </c>
      <c r="CA361" s="13" t="n">
        <f aca="false">-0.05*(CA10+CA11)</f>
        <v>-0</v>
      </c>
      <c r="CB361" s="13" t="n">
        <f aca="false">-0.05*(CB10+CB11)</f>
        <v>-0</v>
      </c>
      <c r="CC361" s="13" t="n">
        <f aca="false">-0.05*(CC10+CC11)</f>
        <v>-0</v>
      </c>
      <c r="CD361" s="13" t="n">
        <f aca="false">-0.05*(CD10+CD11)</f>
        <v>-0</v>
      </c>
      <c r="CE361" s="13" t="n">
        <f aca="false">-0.05*(CE10+CE11)</f>
        <v>-0</v>
      </c>
      <c r="CF361" s="13" t="n">
        <f aca="false">-0.05*(CF10+CF11)</f>
        <v>-0</v>
      </c>
      <c r="CG361" s="13" t="n">
        <f aca="false">-0.05*(CG10+CG11)</f>
        <v>-0</v>
      </c>
      <c r="CH361" s="13" t="n">
        <f aca="false">-0.05*(CH10+CH11)</f>
        <v>-0</v>
      </c>
      <c r="CI361" s="13" t="n">
        <f aca="false">-0.05*(CI10+CI11)</f>
        <v>-0</v>
      </c>
      <c r="CJ361" s="13" t="n">
        <f aca="false">-0.05*(CJ10+CJ11)</f>
        <v>-0</v>
      </c>
      <c r="CK361" s="13" t="n">
        <f aca="false">-0.05*(CK10+CK11)</f>
        <v>-0</v>
      </c>
      <c r="CL361" s="13" t="n">
        <f aca="false">-0.05*(CL10+CL11)</f>
        <v>-0</v>
      </c>
      <c r="CM361" s="13" t="n">
        <f aca="false">-0.05*(CM10+CM11)</f>
        <v>-0</v>
      </c>
      <c r="CN361" s="13" t="n">
        <f aca="false">-0.05*(CN10+CN11)</f>
        <v>-0</v>
      </c>
      <c r="CO361" s="13" t="n">
        <f aca="false">-0.05*(CO10+CO11)</f>
        <v>-0</v>
      </c>
      <c r="CP361" s="13" t="n">
        <f aca="false">-0.05*(CP10+CP11)</f>
        <v>-0</v>
      </c>
      <c r="CQ361" s="13" t="n">
        <f aca="false">-0.05*(CQ10+CQ11)</f>
        <v>-0</v>
      </c>
      <c r="CR361" s="13" t="n">
        <f aca="false">-0.05*(CR10+CR11)</f>
        <v>-0</v>
      </c>
      <c r="CS361" s="13" t="n">
        <f aca="false">-0.05*(CS10+CS11)</f>
        <v>-0</v>
      </c>
      <c r="CT361" s="13" t="n">
        <f aca="false">-0.05*(CT10+CT11)</f>
        <v>-0</v>
      </c>
      <c r="CU361" s="13" t="n">
        <f aca="false">-0.05*(CU10+CU11)</f>
        <v>-0</v>
      </c>
      <c r="CV361" s="13" t="n">
        <f aca="false">-0.05*(CV10+CV11)</f>
        <v>-0</v>
      </c>
      <c r="CW361" s="13" t="n">
        <f aca="false">-0.05*(CW10+CW11)</f>
        <v>-0</v>
      </c>
      <c r="CX361" s="13" t="n">
        <f aca="false">-0.05*(CX10+CX11)</f>
        <v>-0</v>
      </c>
      <c r="CY361" s="13" t="n">
        <f aca="false">-0.05*(CY10+CY11)</f>
        <v>-0</v>
      </c>
      <c r="CZ361" s="13" t="n">
        <f aca="false">-0.05*(CZ10+CZ11)</f>
        <v>-0</v>
      </c>
      <c r="DA361" s="13" t="n">
        <f aca="false">-0.05*(DA10+DA11)</f>
        <v>-0</v>
      </c>
      <c r="DB361" s="13" t="n">
        <f aca="false">-0.05*(DB10+DB11)</f>
        <v>-0</v>
      </c>
      <c r="DC361" s="13" t="n">
        <f aca="false">-0.05*(DC10+DC11)</f>
        <v>-0</v>
      </c>
      <c r="DD361" s="13" t="n">
        <f aca="false">-0.05*(DD10+DD11)</f>
        <v>-0</v>
      </c>
      <c r="DE361" s="13" t="n">
        <f aca="false">-0.05*(DE10+DE11)</f>
        <v>-0</v>
      </c>
    </row>
    <row r="362" customFormat="false" ht="15" hidden="false" customHeight="true" outlineLevel="0" collapsed="false">
      <c r="A362" s="22" t="s">
        <v>187</v>
      </c>
      <c r="B362" s="13"/>
      <c r="C362" s="13"/>
      <c r="D362" s="13"/>
      <c r="E362" s="13"/>
      <c r="F362" s="13"/>
      <c r="G362" s="13"/>
      <c r="H362" s="13"/>
      <c r="I362" s="13"/>
      <c r="J362" s="13" t="n">
        <f aca="false">SUMIFS(Retention!$E$2:$E$44,Retention!$F$2:$F$44,J$3)</f>
        <v>0</v>
      </c>
      <c r="K362" s="13" t="n">
        <f aca="false">SUMIFS(Retention!$E$2:$E$44,Retention!$F$2:$F$44,K$3)</f>
        <v>0</v>
      </c>
      <c r="L362" s="13" t="n">
        <f aca="false">SUMIFS(Retention!$E$2:$E$44,Retention!$F$2:$F$44,L$3)</f>
        <v>77190.558</v>
      </c>
      <c r="M362" s="13" t="n">
        <f aca="false">SUMIFS(Retention!$E$2:$E$44,Retention!$F$2:$F$44,M$3)</f>
        <v>0</v>
      </c>
      <c r="N362" s="13" t="n">
        <f aca="false">SUMIFS(Retention!$E$2:$E$44,Retention!$F$2:$F$44,N$3)</f>
        <v>0</v>
      </c>
      <c r="O362" s="13" t="n">
        <f aca="false">SUMIFS(Retention!$E$2:$E$44,Retention!$F$2:$F$44,O$3)</f>
        <v>0</v>
      </c>
      <c r="P362" s="13" t="n">
        <f aca="false">SUMIFS(Retention!$E$2:$E$44,Retention!$F$2:$F$44,P$3)</f>
        <v>0</v>
      </c>
      <c r="Q362" s="13" t="n">
        <f aca="false">SUMIFS(Retention!$E$2:$E$44,Retention!$F$2:$F$44,Q$3)</f>
        <v>0</v>
      </c>
      <c r="R362" s="13" t="n">
        <f aca="false">SUMIFS(Retention!$E$2:$E$44,Retention!$F$2:$F$44,R$3)</f>
        <v>0</v>
      </c>
      <c r="S362" s="13" t="n">
        <f aca="false">SUMIFS(Retention!$E$2:$E$44,Retention!$F$2:$F$44,S$3)</f>
        <v>30427.4835</v>
      </c>
      <c r="T362" s="13" t="n">
        <f aca="false">SUMIFS(Retention!$E$2:$E$44,Retention!$F$2:$F$44,T$3)</f>
        <v>0</v>
      </c>
      <c r="U362" s="13" t="n">
        <f aca="false">SUMIFS(Retention!$E$2:$E$44,Retention!$F$2:$F$44,U$3)</f>
        <v>80815.528</v>
      </c>
      <c r="V362" s="13" t="n">
        <f aca="false">SUMIFS(Retention!$E$2:$E$44,Retention!$F$2:$F$44,V$3)</f>
        <v>137452.792</v>
      </c>
      <c r="W362" s="13" t="n">
        <f aca="false">SUMIFS(Retention!$E$2:$E$44,Retention!$F$2:$F$44,W$3)</f>
        <v>92237.867</v>
      </c>
      <c r="X362" s="13" t="n">
        <f aca="false">SUMIFS(Retention!$E$2:$E$44,Retention!$F$2:$F$44,X$3)</f>
        <v>0</v>
      </c>
      <c r="Y362" s="13" t="n">
        <f aca="false">SUMIFS(Retention!$E$2:$E$44,Retention!$F$2:$F$44,Y$3)</f>
        <v>0</v>
      </c>
      <c r="Z362" s="13" t="n">
        <f aca="false">SUMIFS(Retention!$E$2:$E$44,Retention!$F$2:$F$44,Z$3)</f>
        <v>0</v>
      </c>
      <c r="AA362" s="13" t="n">
        <f aca="false">SUMIFS(Retention!$E$2:$E$44,Retention!$F$2:$F$44,AA$3)</f>
        <v>86283.6925</v>
      </c>
      <c r="AB362" s="13" t="n">
        <f aca="false">SUMIFS(Retention!$E$2:$E$44,Retention!$F$2:$F$44,AB$3)</f>
        <v>78216.6846217775</v>
      </c>
      <c r="AC362" s="13" t="n">
        <f aca="false">SUMIFS(Retention!$E$2:$E$44,Retention!$F$2:$F$44,AC$3)</f>
        <v>0</v>
      </c>
      <c r="AD362" s="13" t="n">
        <f aca="false">SUMIFS(Retention!$E$2:$E$44,Retention!$F$2:$F$44,AD$3)</f>
        <v>0</v>
      </c>
      <c r="AE362" s="13" t="n">
        <f aca="false">SUMIFS(Retention!$E$2:$E$44,Retention!$F$2:$F$44,AE$3)</f>
        <v>0</v>
      </c>
      <c r="AF362" s="13" t="n">
        <f aca="false">SUMIFS(Retention!$E$2:$E$44,Retention!$F$2:$F$44,AF$3)</f>
        <v>136852.734114713</v>
      </c>
      <c r="AG362" s="13" t="n">
        <f aca="false">SUMIFS(Retention!$E$2:$E$44,Retention!$F$2:$F$44,AG$3)</f>
        <v>57649.88648095</v>
      </c>
      <c r="AH362" s="13" t="n">
        <f aca="false">SUMIFS(Retention!$E$2:$E$44,Retention!$F$2:$F$44,AH$3)</f>
        <v>0</v>
      </c>
      <c r="AI362" s="13" t="n">
        <f aca="false">SUMIFS(Retention!$E$2:$E$44,Retention!$F$2:$F$44,AI$3)</f>
        <v>0</v>
      </c>
      <c r="AJ362" s="13" t="n">
        <f aca="false">SUMIFS(Retention!$E$2:$E$44,Retention!$F$2:$F$44,AJ$3)</f>
        <v>220191.647661</v>
      </c>
      <c r="AK362" s="13" t="n">
        <f aca="false">SUMIFS(Retention!$E$2:$E$44,Retention!$F$2:$F$44,AK$3)</f>
        <v>68125.56487675</v>
      </c>
      <c r="AL362" s="13" t="n">
        <f aca="false">SUMIFS(Retention!$E$2:$E$44,Retention!$F$2:$F$44,AL$3)</f>
        <v>111017.17013395</v>
      </c>
      <c r="AM362" s="13" t="n">
        <f aca="false">SUMIFS(Retention!$E$2:$E$44,Retention!$F$2:$F$44,AM$3)</f>
        <v>0</v>
      </c>
      <c r="AN362" s="13" t="n">
        <f aca="false">SUMIFS(Retention!$E$2:$E$44,Retention!$F$2:$F$44,AN$3)</f>
        <v>257371.896</v>
      </c>
      <c r="AO362" s="13" t="n">
        <f aca="false">SUMIFS(Retention!$E$2:$E$44,Retention!$F$2:$F$44,AO$3)</f>
        <v>0</v>
      </c>
      <c r="AP362" s="13" t="n">
        <f aca="false">SUMIFS(Retention!$E$2:$E$44,Retention!$F$2:$F$44,AP$3)</f>
        <v>0</v>
      </c>
      <c r="AQ362" s="13" t="n">
        <f aca="false">SUMIFS(Retention!$E$2:$E$44,Retention!$F$2:$F$44,AQ$3)</f>
        <v>0</v>
      </c>
      <c r="AR362" s="13" t="n">
        <f aca="false">SUMIFS(Retention!$E$2:$E$44,Retention!$F$2:$F$44,AR$3)</f>
        <v>0</v>
      </c>
      <c r="AS362" s="13" t="n">
        <f aca="false">SUMIFS(Retention!$E$2:$E$44,Retention!$F$2:$F$44,AS$3)</f>
        <v>0</v>
      </c>
      <c r="AT362" s="13" t="n">
        <f aca="false">SUMIFS(Retention!$E$2:$E$44,Retention!$F$2:$F$44,AT$3)</f>
        <v>272485.5853535</v>
      </c>
      <c r="AU362" s="13" t="n">
        <f aca="false">SUMIFS(Retention!$E$2:$E$44,Retention!$F$2:$F$44,AU$3)</f>
        <v>150647.248242839</v>
      </c>
      <c r="AV362" s="13" t="n">
        <f aca="false">SUMIFS(Retention!$E$2:$E$44,Retention!$F$2:$F$44,AV$3)</f>
        <v>0</v>
      </c>
      <c r="AW362" s="13" t="n">
        <f aca="false">SUMIFS(Retention!$E$2:$E$44,Retention!$F$2:$F$44,AW$3)</f>
        <v>0</v>
      </c>
      <c r="AX362" s="13" t="n">
        <f aca="false">SUMIFS(Retention!$E$2:$E$44,Retention!$F$2:$F$44,AX$3)</f>
        <v>0</v>
      </c>
      <c r="AY362" s="13" t="n">
        <f aca="false">SUMIFS(Retention!$E$2:$E$44,Retention!$F$2:$F$44,AY$3)</f>
        <v>0</v>
      </c>
      <c r="AZ362" s="13" t="n">
        <f aca="false">SUMIFS(Retention!$E$2:$E$44,Retention!$F$2:$F$44,AZ$3)</f>
        <v>0</v>
      </c>
      <c r="BA362" s="13" t="n">
        <f aca="false">SUMIFS(Retention!$E$2:$E$44,Retention!$F$2:$F$44,BA$3)</f>
        <v>0</v>
      </c>
      <c r="BB362" s="13" t="n">
        <f aca="false">SUMIFS(Retention!$E$2:$E$44,Retention!$F$2:$F$44,BB$3)</f>
        <v>0</v>
      </c>
      <c r="BC362" s="13" t="n">
        <f aca="false">SUMIFS(Retention!$E$2:$E$44,Retention!$F$2:$F$44,BC$3)</f>
        <v>0</v>
      </c>
      <c r="BD362" s="13" t="n">
        <f aca="false">SUMIFS(Retention!$E$2:$E$44,Retention!$F$2:$F$44,BD$3)</f>
        <v>0</v>
      </c>
      <c r="BE362" s="13" t="n">
        <f aca="false">SUMIFS(Retention!$E$2:$E$44,Retention!$F$2:$F$44,BE$3)</f>
        <v>0</v>
      </c>
      <c r="BF362" s="13" t="n">
        <f aca="false">SUMIFS(Retention!$E$2:$E$44,Retention!$F$2:$F$44,BF$3)</f>
        <v>0</v>
      </c>
      <c r="BG362" s="13" t="n">
        <f aca="false">SUMIFS(Retention!$E$2:$E$44,Retention!$F$2:$F$44,BG$3)</f>
        <v>0</v>
      </c>
      <c r="BH362" s="13" t="n">
        <f aca="false">SUMIFS(Retention!$E$2:$E$44,Retention!$F$2:$F$44,BH$3)</f>
        <v>248936.2750556</v>
      </c>
      <c r="BI362" s="13" t="n">
        <f aca="false">SUMIFS(Retention!$E$2:$E$44,Retention!$F$2:$F$44,BI$3)</f>
        <v>0</v>
      </c>
      <c r="BJ362" s="13" t="n">
        <f aca="false">SUMIFS(Retention!$E$2:$E$44,Retention!$F$2:$F$44,BJ$3)</f>
        <v>0</v>
      </c>
      <c r="BK362" s="13" t="n">
        <f aca="false">SUMIFS(Retention!$E$2:$E$44,Retention!$F$2:$F$44,BK$3)</f>
        <v>0</v>
      </c>
      <c r="BL362" s="13" t="n">
        <f aca="false">SUMIFS(Retention!$E$2:$E$44,Retention!$F$2:$F$44,BL$3)</f>
        <v>0</v>
      </c>
      <c r="BM362" s="13" t="n">
        <f aca="false">SUMIFS(Retention!$E$2:$E$44,Retention!$F$2:$F$44,BM$3)</f>
        <v>0</v>
      </c>
      <c r="BN362" s="13" t="n">
        <f aca="false">SUMIFS(Retention!$E$2:$E$44,Retention!$F$2:$F$44,BN$3)</f>
        <v>0</v>
      </c>
      <c r="BO362" s="13" t="n">
        <f aca="false">SUMIFS(Retention!$E$2:$E$44,Retention!$F$2:$F$44,BO$3)</f>
        <v>0</v>
      </c>
      <c r="BP362" s="13" t="n">
        <f aca="false">SUMIFS(Retention!$E$2:$E$44,Retention!$F$2:$F$44,BP$3)</f>
        <v>0</v>
      </c>
      <c r="BQ362" s="13" t="n">
        <f aca="false">SUMIFS(Retention!$E$2:$E$44,Retention!$F$2:$F$44,BQ$3)</f>
        <v>0</v>
      </c>
      <c r="BR362" s="13" t="n">
        <f aca="false">SUMIFS(Retention!$E$2:$E$44,Retention!$F$2:$F$44,BR$3)</f>
        <v>0</v>
      </c>
      <c r="BS362" s="13" t="n">
        <f aca="false">SUMIFS(Retention!$E$2:$E$44,Retention!$F$2:$F$44,BS$3)</f>
        <v>0</v>
      </c>
      <c r="BT362" s="13" t="n">
        <f aca="false">SUMIFS(Retention!$E$2:$E$44,Retention!$F$2:$F$44,BT$3)</f>
        <v>0</v>
      </c>
      <c r="BU362" s="13" t="n">
        <f aca="false">SUMIFS(Retention!$E$2:$E$44,Retention!$F$2:$F$44,BU$3)</f>
        <v>0</v>
      </c>
      <c r="BV362" s="13" t="n">
        <f aca="false">SUMIFS(Retention!$E$2:$E$44,Retention!$F$2:$F$44,BV$3)</f>
        <v>0</v>
      </c>
      <c r="BW362" s="13" t="n">
        <f aca="false">SUMIFS(Retention!$E$2:$E$44,Retention!$F$2:$F$44,BW$3)</f>
        <v>0</v>
      </c>
      <c r="BX362" s="13" t="n">
        <f aca="false">SUMIFS(Retention!$E$2:$E$44,Retention!$F$2:$F$44,BX$3)</f>
        <v>0</v>
      </c>
      <c r="BY362" s="13" t="n">
        <f aca="false">SUMIFS(Retention!$E$2:$E$44,Retention!$F$2:$F$44,BY$3)</f>
        <v>0</v>
      </c>
      <c r="BZ362" s="13" t="n">
        <f aca="false">SUMIFS(Retention!$E$2:$E$44,Retention!$F$2:$F$44,BZ$3)</f>
        <v>0</v>
      </c>
      <c r="CA362" s="13" t="n">
        <f aca="false">SUMIFS(Retention!$E$2:$E$44,Retention!$F$2:$F$44,CA$3)</f>
        <v>0</v>
      </c>
      <c r="CB362" s="13" t="n">
        <f aca="false">SUMIFS(Retention!$E$2:$E$44,Retention!$F$2:$F$44,CB$3)</f>
        <v>0</v>
      </c>
      <c r="CC362" s="13" t="n">
        <f aca="false">SUMIFS(Retention!$E$2:$E$44,Retention!$F$2:$F$44,CC$3)</f>
        <v>0</v>
      </c>
      <c r="CD362" s="13" t="n">
        <f aca="false">SUMIFS(Retention!$E$2:$E$44,Retention!$F$2:$F$44,CD$3)</f>
        <v>0</v>
      </c>
      <c r="CE362" s="13" t="n">
        <f aca="false">SUMIFS(Retention!$E$2:$E$44,Retention!$F$2:$F$44,CE$3)</f>
        <v>0</v>
      </c>
      <c r="CF362" s="13" t="n">
        <f aca="false">SUMIFS(Retention!$E$2:$E$44,Retention!$F$2:$F$44,CF$3)</f>
        <v>0</v>
      </c>
      <c r="CG362" s="13" t="n">
        <f aca="false">SUMIFS(Retention!$E$2:$E$44,Retention!$F$2:$F$44,CG$3)</f>
        <v>0</v>
      </c>
      <c r="CH362" s="13" t="n">
        <f aca="false">SUMIFS(Retention!$E$2:$E$44,Retention!$F$2:$F$44,CH$3)</f>
        <v>0</v>
      </c>
      <c r="CI362" s="13" t="n">
        <f aca="false">SUMIFS(Retention!$E$2:$E$44,Retention!$F$2:$F$44,CI$3)</f>
        <v>0</v>
      </c>
      <c r="CJ362" s="13" t="n">
        <f aca="false">SUMIFS(Retention!$E$2:$E$44,Retention!$F$2:$F$44,CJ$3)</f>
        <v>0</v>
      </c>
      <c r="CK362" s="13" t="n">
        <f aca="false">SUMIFS(Retention!$E$2:$E$44,Retention!$F$2:$F$44,CK$3)</f>
        <v>0</v>
      </c>
      <c r="CL362" s="13" t="n">
        <f aca="false">SUMIFS(Retention!$E$2:$E$44,Retention!$F$2:$F$44,CL$3)</f>
        <v>0</v>
      </c>
      <c r="CM362" s="13" t="n">
        <f aca="false">SUMIFS(Retention!$E$2:$E$44,Retention!$F$2:$F$44,CM$3)</f>
        <v>0</v>
      </c>
      <c r="CN362" s="13" t="n">
        <f aca="false">SUMIFS(Retention!$E$2:$E$44,Retention!$F$2:$F$44,CN$3)</f>
        <v>0</v>
      </c>
      <c r="CO362" s="13" t="n">
        <f aca="false">SUMIFS(Retention!$E$2:$E$44,Retention!$F$2:$F$44,CO$3)</f>
        <v>0</v>
      </c>
      <c r="CP362" s="13" t="n">
        <f aca="false">SUMIFS(Retention!$E$2:$E$44,Retention!$F$2:$F$44,CP$3)</f>
        <v>0</v>
      </c>
      <c r="CQ362" s="13" t="n">
        <f aca="false">SUMIFS(Retention!$E$2:$E$44,Retention!$F$2:$F$44,CQ$3)</f>
        <v>0</v>
      </c>
      <c r="CR362" s="13" t="n">
        <f aca="false">SUMIFS(Retention!$E$2:$E$44,Retention!$F$2:$F$44,CR$3)</f>
        <v>0</v>
      </c>
      <c r="CS362" s="13" t="n">
        <f aca="false">SUMIFS(Retention!$E$2:$E$44,Retention!$F$2:$F$44,CS$3)</f>
        <v>0</v>
      </c>
      <c r="CT362" s="13" t="n">
        <f aca="false">SUMIFS(Retention!$E$2:$E$44,Retention!$F$2:$F$44,CT$3)</f>
        <v>0</v>
      </c>
      <c r="CU362" s="13" t="n">
        <f aca="false">SUMIFS(Retention!$E$2:$E$44,Retention!$F$2:$F$44,CU$3)</f>
        <v>0</v>
      </c>
      <c r="CV362" s="13" t="n">
        <f aca="false">SUMIFS(Retention!$E$2:$E$44,Retention!$F$2:$F$44,CV$3)</f>
        <v>0</v>
      </c>
      <c r="CW362" s="13" t="n">
        <f aca="false">SUMIFS(Retention!$E$2:$E$44,Retention!$F$2:$F$44,CW$3)</f>
        <v>0</v>
      </c>
      <c r="CX362" s="13" t="n">
        <f aca="false">SUMIFS(Retention!$E$2:$E$44,Retention!$F$2:$F$44,CX$3)</f>
        <v>0</v>
      </c>
      <c r="CY362" s="13" t="n">
        <f aca="false">SUMIFS(Retention!$E$2:$E$44,Retention!$F$2:$F$44,CY$3)</f>
        <v>0</v>
      </c>
      <c r="CZ362" s="13" t="n">
        <f aca="false">SUMIFS(Retention!$E$2:$E$44,Retention!$F$2:$F$44,CZ$3)</f>
        <v>0</v>
      </c>
      <c r="DA362" s="13" t="n">
        <f aca="false">SUMIFS(Retention!$E$2:$E$44,Retention!$F$2:$F$44,DA$3)</f>
        <v>0</v>
      </c>
      <c r="DB362" s="13" t="n">
        <f aca="false">SUMIFS(Retention!$E$2:$E$44,Retention!$F$2:$F$44,DB$3)</f>
        <v>0</v>
      </c>
      <c r="DC362" s="13" t="n">
        <f aca="false">SUMIFS(Retention!$E$2:$E$44,Retention!$F$2:$F$44,DC$3)</f>
        <v>0</v>
      </c>
      <c r="DD362" s="13" t="n">
        <f aca="false">SUMIFS(Retention!$E$2:$E$44,Retention!$F$2:$F$44,DD$3)</f>
        <v>0</v>
      </c>
      <c r="DE362" s="13" t="n">
        <f aca="false">SUMIFS(Retention!$E$2:$E$44,Retention!$F$2:$F$44,DE$3)</f>
        <v>0</v>
      </c>
    </row>
    <row r="363" customFormat="false" ht="15" hidden="false" customHeight="true" outlineLevel="0" collapsed="false">
      <c r="A363" s="67" t="s">
        <v>188</v>
      </c>
      <c r="B363" s="68"/>
      <c r="C363" s="68"/>
      <c r="D363" s="68"/>
      <c r="E363" s="68"/>
      <c r="F363" s="68"/>
      <c r="G363" s="68"/>
      <c r="H363" s="68"/>
      <c r="I363" s="68"/>
      <c r="J363" s="68" t="n">
        <f aca="false">SUM(J355:J362)</f>
        <v>1113428.48890737</v>
      </c>
      <c r="K363" s="68" t="n">
        <f aca="false">SUM(K355:K362)</f>
        <v>1608936.51416871</v>
      </c>
      <c r="L363" s="68" t="n">
        <f aca="false">SUM(L355:L362)</f>
        <v>2053661.92886452</v>
      </c>
      <c r="M363" s="68" t="n">
        <f aca="false">SUM(M355:M362)</f>
        <v>2168054.84711936</v>
      </c>
      <c r="N363" s="68" t="n">
        <f aca="false">SUM(N355:N362)</f>
        <v>1143817.67352964</v>
      </c>
      <c r="O363" s="68" t="n">
        <f aca="false">SUM(O355:O362)</f>
        <v>1424378.16243575</v>
      </c>
      <c r="P363" s="68" t="n">
        <f aca="false">SUM(P355:P362)</f>
        <v>1739781.35069781</v>
      </c>
      <c r="Q363" s="68" t="n">
        <f aca="false">SUM(Q355:Q362)</f>
        <v>1983166.71522368</v>
      </c>
      <c r="R363" s="68" t="n">
        <f aca="false">SUM(R355:R362)</f>
        <v>1497633.13073708</v>
      </c>
      <c r="S363" s="68" t="n">
        <f aca="false">SUM(S355:S362)</f>
        <v>1561572.750026</v>
      </c>
      <c r="T363" s="68" t="n">
        <f aca="false">SUM(T355:T362)</f>
        <v>1662810.86299778</v>
      </c>
      <c r="U363" s="68" t="n">
        <f aca="false">SUM(U355:U362)</f>
        <v>1953527.99398282</v>
      </c>
      <c r="V363" s="68" t="n">
        <f aca="false">SUM(V355:V362)</f>
        <v>2581953.05901466</v>
      </c>
      <c r="W363" s="68" t="n">
        <f aca="false">SUM(W355:W362)</f>
        <v>3259430.10754649</v>
      </c>
      <c r="X363" s="68" t="n">
        <f aca="false">SUM(X355:X362)</f>
        <v>3720641.44183539</v>
      </c>
      <c r="Y363" s="68" t="n">
        <f aca="false">SUM(Y355:Y362)</f>
        <v>4415467.61553319</v>
      </c>
      <c r="Z363" s="68" t="n">
        <f aca="false">SUM(Z355:Z362)</f>
        <v>5007331.72706562</v>
      </c>
      <c r="AA363" s="68" t="n">
        <f aca="false">SUM(AA355:AA362)</f>
        <v>5819979.16304536</v>
      </c>
      <c r="AB363" s="68" t="n">
        <f aca="false">SUM(AB355:AB362)</f>
        <v>6664746.98445921</v>
      </c>
      <c r="AC363" s="68" t="n">
        <f aca="false">SUM(AC355:AC362)</f>
        <v>7251249.4511928</v>
      </c>
      <c r="AD363" s="68" t="n">
        <f aca="false">SUM(AD355:AD362)</f>
        <v>7614248.25375976</v>
      </c>
      <c r="AE363" s="68" t="n">
        <f aca="false">SUM(AE355:AE362)</f>
        <v>8014690.46070636</v>
      </c>
      <c r="AF363" s="68" t="n">
        <f aca="false">SUM(AF355:AF362)</f>
        <v>7959222.71897483</v>
      </c>
      <c r="AG363" s="68" t="n">
        <f aca="false">SUM(AG355:AG362)</f>
        <v>8731540.43226733</v>
      </c>
      <c r="AH363" s="68" t="n">
        <f aca="false">SUM(AH355:AH362)</f>
        <v>9366715.76117082</v>
      </c>
      <c r="AI363" s="68" t="n">
        <f aca="false">SUM(AI355:AI362)</f>
        <v>9877813.80292009</v>
      </c>
      <c r="AJ363" s="68" t="n">
        <f aca="false">SUM(AJ355:AJ362)</f>
        <v>10598058.2914473</v>
      </c>
      <c r="AK363" s="68" t="n">
        <f aca="false">SUM(AK355:AK362)</f>
        <v>11282333.3093572</v>
      </c>
      <c r="AL363" s="68" t="n">
        <f aca="false">SUM(AL355:AL362)</f>
        <v>11641234.1107328</v>
      </c>
      <c r="AM363" s="68" t="n">
        <f aca="false">SUM(AM355:AM362)</f>
        <v>11908934.8330606</v>
      </c>
      <c r="AN363" s="68" t="n">
        <f aca="false">SUM(AN355:AN362)</f>
        <v>12284109.832659</v>
      </c>
      <c r="AO363" s="68" t="n">
        <f aca="false">SUM(AO355:AO362)</f>
        <v>12308676.203955</v>
      </c>
      <c r="AP363" s="68" t="n">
        <f aca="false">SUM(AP355:AP362)</f>
        <v>12293313.9652509</v>
      </c>
      <c r="AQ363" s="68" t="n">
        <f aca="false">SUM(AQ355:AQ362)</f>
        <v>12284156.8590815</v>
      </c>
      <c r="AR363" s="68" t="n">
        <f aca="false">SUM(AR355:AR362)</f>
        <v>12294615.1375275</v>
      </c>
      <c r="AS363" s="68" t="n">
        <f aca="false">SUM(AS355:AS362)</f>
        <v>12308115.1476081</v>
      </c>
      <c r="AT363" s="68" t="n">
        <f aca="false">SUM(AT355:AT362)</f>
        <v>12590091.8483898</v>
      </c>
      <c r="AU363" s="68" t="n">
        <f aca="false">SUM(AU355:AU362)</f>
        <v>13037436.4244729</v>
      </c>
      <c r="AV363" s="68" t="n">
        <f aca="false">SUM(AV355:AV362)</f>
        <v>13053216.6938003</v>
      </c>
      <c r="AW363" s="68" t="n">
        <f aca="false">SUM(AW355:AW362)</f>
        <v>12799087.3100259</v>
      </c>
      <c r="AX363" s="68" t="n">
        <f aca="false">SUM(AX355:AX362)</f>
        <v>12544957.9262515</v>
      </c>
      <c r="AY363" s="68" t="n">
        <f aca="false">SUM(AY355:AY362)</f>
        <v>12290828.5424772</v>
      </c>
      <c r="AZ363" s="68" t="n">
        <f aca="false">SUM(AZ355:AZ362)</f>
        <v>12036699.1587028</v>
      </c>
      <c r="BA363" s="68" t="n">
        <f aca="false">SUM(BA355:BA362)</f>
        <v>11774491.6540765</v>
      </c>
      <c r="BB363" s="68" t="n">
        <f aca="false">SUM(BB355:BB362)</f>
        <v>11512284.1494501</v>
      </c>
      <c r="BC363" s="68" t="n">
        <f aca="false">SUM(BC355:BC362)</f>
        <v>11250076.6448238</v>
      </c>
      <c r="BD363" s="68" t="n">
        <f aca="false">SUM(BD355:BD362)</f>
        <v>10987869.1401974</v>
      </c>
      <c r="BE363" s="68" t="n">
        <f aca="false">SUM(BE355:BE362)</f>
        <v>10725661.6355711</v>
      </c>
      <c r="BF363" s="68" t="n">
        <f aca="false">SUM(BF355:BF362)</f>
        <v>10463454.1309447</v>
      </c>
      <c r="BG363" s="68" t="n">
        <f aca="false">SUM(BG355:BG362)</f>
        <v>10201246.6263184</v>
      </c>
      <c r="BH363" s="68" t="n">
        <f aca="false">SUM(BH355:BH362)</f>
        <v>10175528.5829948</v>
      </c>
      <c r="BI363" s="68" t="n">
        <f aca="false">SUM(BI355:BI362)</f>
        <v>10170140.3354675</v>
      </c>
      <c r="BJ363" s="68" t="n">
        <f aca="false">SUM(BJ355:BJ362)</f>
        <v>9758156.17201604</v>
      </c>
      <c r="BK363" s="68" t="n">
        <f aca="false">SUM(BK355:BK362)</f>
        <v>9346172.00856457</v>
      </c>
      <c r="BL363" s="68" t="n">
        <f aca="false">SUM(BL355:BL362)</f>
        <v>8934187.8451131</v>
      </c>
      <c r="BM363" s="68" t="n">
        <f aca="false">SUM(BM355:BM362)</f>
        <v>8513963.9983926</v>
      </c>
      <c r="BN363" s="68" t="n">
        <f aca="false">SUM(BN355:BN362)</f>
        <v>8093740.15167211</v>
      </c>
      <c r="BO363" s="68" t="n">
        <f aca="false">SUM(BO355:BO362)</f>
        <v>7673516.30495161</v>
      </c>
      <c r="BP363" s="68" t="n">
        <f aca="false">SUM(BP355:BP362)</f>
        <v>7253292.45823111</v>
      </c>
      <c r="BQ363" s="68" t="n">
        <f aca="false">SUM(BQ355:BQ362)</f>
        <v>6833068.61151061</v>
      </c>
      <c r="BR363" s="68" t="n">
        <f aca="false">SUM(BR355:BR362)</f>
        <v>6412844.76479011</v>
      </c>
      <c r="BS363" s="68" t="n">
        <f aca="false">SUM(BS355:BS362)</f>
        <v>5992620.91806961</v>
      </c>
      <c r="BT363" s="68" t="n">
        <f aca="false">SUM(BT355:BT362)</f>
        <v>5572397.07134911</v>
      </c>
      <c r="BU363" s="68" t="n">
        <f aca="false">SUM(BU355:BU362)</f>
        <v>5152173.22462861</v>
      </c>
      <c r="BV363" s="68" t="n">
        <f aca="false">SUM(BV355:BV362)</f>
        <v>4731949.37790811</v>
      </c>
      <c r="BW363" s="68" t="n">
        <f aca="false">SUM(BW355:BW362)</f>
        <v>4311725.53118761</v>
      </c>
      <c r="BX363" s="68" t="n">
        <f aca="false">SUM(BX355:BX362)</f>
        <v>3891501.68446712</v>
      </c>
      <c r="BY363" s="68" t="n">
        <f aca="false">SUM(BY355:BY362)</f>
        <v>3462873.36081221</v>
      </c>
      <c r="BZ363" s="68" t="n">
        <f aca="false">SUM(BZ355:BZ362)</f>
        <v>3034245.0371573</v>
      </c>
      <c r="CA363" s="68" t="n">
        <f aca="false">SUM(CA355:CA362)</f>
        <v>2605616.71350239</v>
      </c>
      <c r="CB363" s="68" t="n">
        <f aca="false">SUM(CB355:CB362)</f>
        <v>2176988.38984748</v>
      </c>
      <c r="CC363" s="68" t="n">
        <f aca="false">SUM(CC355:CC362)</f>
        <v>1748360.06619257</v>
      </c>
      <c r="CD363" s="68" t="n">
        <f aca="false">SUM(CD355:CD362)</f>
        <v>1319731.74253766</v>
      </c>
      <c r="CE363" s="68" t="n">
        <f aca="false">SUM(CE355:CE362)</f>
        <v>891103.418882752</v>
      </c>
      <c r="CF363" s="68" t="n">
        <f aca="false">SUM(CF355:CF362)</f>
        <v>462475.095227842</v>
      </c>
      <c r="CG363" s="68" t="n">
        <f aca="false">SUM(CG355:CG362)</f>
        <v>33846.7715729334</v>
      </c>
      <c r="CH363" s="68" t="n">
        <f aca="false">SUM(CH355:CH362)</f>
        <v>-394781.552081976</v>
      </c>
      <c r="CI363" s="68" t="n">
        <f aca="false">SUM(CI355:CI362)</f>
        <v>-823409.875736885</v>
      </c>
      <c r="CJ363" s="68" t="n">
        <f aca="false">SUM(CJ355:CJ362)</f>
        <v>-1252038.19939179</v>
      </c>
      <c r="CK363" s="68" t="n">
        <f aca="false">SUM(CK355:CK362)</f>
        <v>-1689239.0895198</v>
      </c>
      <c r="CL363" s="68" t="n">
        <f aca="false">SUM(CL355:CL362)</f>
        <v>-2126439.97964781</v>
      </c>
      <c r="CM363" s="68" t="n">
        <f aca="false">SUM(CM355:CM362)</f>
        <v>-2563640.86977582</v>
      </c>
      <c r="CN363" s="68" t="n">
        <f aca="false">SUM(CN355:CN362)</f>
        <v>-3000841.75990382</v>
      </c>
      <c r="CO363" s="68" t="n">
        <f aca="false">SUM(CO355:CO362)</f>
        <v>-3438042.65003183</v>
      </c>
      <c r="CP363" s="68" t="n">
        <f aca="false">SUM(CP355:CP362)</f>
        <v>-3875243.54015984</v>
      </c>
      <c r="CQ363" s="68" t="n">
        <f aca="false">SUM(CQ355:CQ362)</f>
        <v>-4312444.43028784</v>
      </c>
      <c r="CR363" s="68" t="n">
        <f aca="false">SUM(CR355:CR362)</f>
        <v>-4749645.32041585</v>
      </c>
      <c r="CS363" s="68" t="n">
        <f aca="false">SUM(CS355:CS362)</f>
        <v>-5186846.21054386</v>
      </c>
      <c r="CT363" s="68" t="n">
        <f aca="false">SUM(CT355:CT362)</f>
        <v>-5572266.94106042</v>
      </c>
      <c r="CU363" s="68" t="n">
        <f aca="false">SUM(CU355:CU362)</f>
        <v>-5957687.67157698</v>
      </c>
      <c r="CV363" s="68" t="n">
        <f aca="false">SUM(CV355:CV362)</f>
        <v>-6343108.40209353</v>
      </c>
      <c r="CW363" s="68" t="n">
        <f aca="false">SUM(CW355:CW362)</f>
        <v>-6736237.54722042</v>
      </c>
      <c r="CX363" s="68" t="n">
        <f aca="false">SUM(CX355:CX362)</f>
        <v>-7129366.69234731</v>
      </c>
      <c r="CY363" s="68" t="n">
        <f aca="false">SUM(CY355:CY362)</f>
        <v>-7522495.8374742</v>
      </c>
      <c r="CZ363" s="68" t="n">
        <f aca="false">SUM(CZ355:CZ362)</f>
        <v>-7915624.98260109</v>
      </c>
      <c r="DA363" s="68" t="n">
        <f aca="false">SUM(DA355:DA362)</f>
        <v>-8308754.12772798</v>
      </c>
      <c r="DB363" s="68" t="n">
        <f aca="false">SUM(DB355:DB362)</f>
        <v>-8701883.27285487</v>
      </c>
      <c r="DC363" s="68" t="n">
        <f aca="false">SUM(DC355:DC362)</f>
        <v>-9095012.41798176</v>
      </c>
      <c r="DD363" s="68" t="n">
        <f aca="false">SUM(DD355:DD362)</f>
        <v>-9488141.56310865</v>
      </c>
      <c r="DE363" s="68" t="n">
        <f aca="false">SUM(DE355:DE362)</f>
        <v>-9881270.70823554</v>
      </c>
    </row>
    <row r="364" customFormat="false" ht="15" hidden="false" customHeight="true" outlineLevel="0" collapsed="false">
      <c r="A364" s="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row>
    <row r="365" customFormat="false" ht="15" hidden="false" customHeight="true" outlineLevel="0" collapsed="false">
      <c r="A365" s="23" t="s">
        <v>189</v>
      </c>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row>
    <row r="366" customFormat="false" ht="15" hidden="false" customHeight="true" outlineLevel="0" collapsed="false">
      <c r="A366" s="22" t="s">
        <v>190</v>
      </c>
      <c r="B366" s="13"/>
      <c r="C366" s="13"/>
      <c r="D366" s="13"/>
      <c r="E366" s="13"/>
      <c r="F366" s="13"/>
      <c r="G366" s="13"/>
      <c r="H366" s="13"/>
      <c r="I366" s="13"/>
      <c r="J366" s="13" t="n">
        <f aca="false">Assumptions!B30</f>
        <v>658190</v>
      </c>
      <c r="K366" s="13" t="n">
        <f aca="false">J371</f>
        <v>512855.116666667</v>
      </c>
      <c r="L366" s="13" t="n">
        <f aca="false">K371</f>
        <v>367520.233333333</v>
      </c>
      <c r="M366" s="13" t="n">
        <f aca="false">L371</f>
        <v>212810.35</v>
      </c>
      <c r="N366" s="13" t="n">
        <f aca="false">M371</f>
        <v>61600.4666666667</v>
      </c>
      <c r="O366" s="13" t="n">
        <f aca="false">N371</f>
        <v>-186092.864786967</v>
      </c>
      <c r="P366" s="13" t="n">
        <f aca="false">O371</f>
        <v>-435771.158646616</v>
      </c>
      <c r="Q366" s="13" t="n">
        <f aca="false">P371</f>
        <v>-684949.452506266</v>
      </c>
      <c r="R366" s="13" t="n">
        <f aca="false">Q371</f>
        <v>-914587.838632581</v>
      </c>
      <c r="S366" s="13" t="n">
        <f aca="false">R371</f>
        <v>-1150476.4247589</v>
      </c>
      <c r="T366" s="13" t="n">
        <f aca="false">S371</f>
        <v>-1386365.01088521</v>
      </c>
      <c r="U366" s="13" t="n">
        <f aca="false">T371</f>
        <v>-1647759.84701153</v>
      </c>
      <c r="V366" s="13" t="n">
        <f aca="false">U371</f>
        <v>-1912054.68313784</v>
      </c>
      <c r="W366" s="13" t="n">
        <f aca="false">V371</f>
        <v>-2176349.51926416</v>
      </c>
      <c r="X366" s="13" t="n">
        <f aca="false">W371</f>
        <v>-2424072.09299048</v>
      </c>
      <c r="Y366" s="13" t="n">
        <f aca="false">X371</f>
        <v>-2655761.20431679</v>
      </c>
      <c r="Z366" s="13" t="n">
        <f aca="false">Y371</f>
        <v>-2813503.05324311</v>
      </c>
      <c r="AA366" s="13" t="n">
        <f aca="false">Z371</f>
        <v>-3025669.92576942</v>
      </c>
      <c r="AB366" s="13" t="n">
        <f aca="false">AA371</f>
        <v>-3472300.29629574</v>
      </c>
      <c r="AC366" s="13" t="n">
        <f aca="false">AB371</f>
        <v>-3596019.17682206</v>
      </c>
      <c r="AD366" s="13" t="n">
        <f aca="false">AC371</f>
        <v>-3765240.73646837</v>
      </c>
      <c r="AE366" s="13" t="n">
        <f aca="false">AD371</f>
        <v>-3918925.80011469</v>
      </c>
      <c r="AF366" s="13" t="n">
        <f aca="false">AE371</f>
        <v>-3979680.7920396</v>
      </c>
      <c r="AG366" s="13" t="n">
        <f aca="false">AF371</f>
        <v>-4003038.26068592</v>
      </c>
      <c r="AH366" s="13" t="n">
        <f aca="false">AG371</f>
        <v>-4015311.83056908</v>
      </c>
      <c r="AI366" s="13" t="n">
        <f aca="false">AH371</f>
        <v>-3997453.17018908</v>
      </c>
      <c r="AJ366" s="13" t="n">
        <f aca="false">AI371</f>
        <v>-4038219.73980908</v>
      </c>
      <c r="AK366" s="13" t="n">
        <f aca="false">AJ371</f>
        <v>-4078556.14342908</v>
      </c>
      <c r="AL366" s="13" t="n">
        <f aca="false">AK371</f>
        <v>-4118462.39204908</v>
      </c>
      <c r="AM366" s="13" t="n">
        <f aca="false">AL371</f>
        <v>-4157938.48016908</v>
      </c>
      <c r="AN366" s="13" t="n">
        <f aca="false">AM371</f>
        <v>-4446984.41328908</v>
      </c>
      <c r="AO366" s="13" t="n">
        <f aca="false">AN371</f>
        <v>-4471358.39790908</v>
      </c>
      <c r="AP366" s="13" t="n">
        <f aca="false">AO371</f>
        <v>-4513281.45703148</v>
      </c>
      <c r="AQ366" s="13" t="n">
        <f aca="false">AP371</f>
        <v>-4569016.14365388</v>
      </c>
      <c r="AR366" s="13" t="n">
        <f aca="false">AQ371</f>
        <v>-4638562.45777628</v>
      </c>
      <c r="AS366" s="13" t="n">
        <f aca="false">AR371</f>
        <v>-4721920.40489868</v>
      </c>
      <c r="AT366" s="13" t="n">
        <f aca="false">AS371</f>
        <v>-4826902.74752108</v>
      </c>
      <c r="AU366" s="13" t="n">
        <f aca="false">AT371</f>
        <v>-4944441.11514348</v>
      </c>
      <c r="AV366" s="13" t="n">
        <f aca="false">AU371</f>
        <v>-5074535.51276588</v>
      </c>
      <c r="AW366" s="13" t="n">
        <f aca="false">AV371</f>
        <v>-5217185.93038828</v>
      </c>
      <c r="AX366" s="13" t="n">
        <f aca="false">AW371</f>
        <v>-5372876.95951068</v>
      </c>
      <c r="AY366" s="13" t="n">
        <f aca="false">AX371</f>
        <v>-5487689.98713308</v>
      </c>
      <c r="AZ366" s="13" t="n">
        <f aca="false">AY371</f>
        <v>-5615450.08975548</v>
      </c>
      <c r="BA366" s="13" t="n">
        <f aca="false">AZ371</f>
        <v>-5769003.55487788</v>
      </c>
      <c r="BB366" s="13" t="n">
        <f aca="false">BA371</f>
        <v>-5926799.38205272</v>
      </c>
      <c r="BC366" s="13" t="n">
        <f aca="false">BB371</f>
        <v>-6085025.37522757</v>
      </c>
      <c r="BD366" s="13" t="n">
        <f aca="false">BC371</f>
        <v>-6243681.52340242</v>
      </c>
      <c r="BE366" s="13" t="n">
        <f aca="false">BD371</f>
        <v>-6402767.83207727</v>
      </c>
      <c r="BF366" s="13" t="n">
        <f aca="false">BE371</f>
        <v>-6562284.30125212</v>
      </c>
      <c r="BG366" s="13" t="n">
        <f aca="false">BF371</f>
        <v>-6722230.93092697</v>
      </c>
      <c r="BH366" s="13" t="n">
        <f aca="false">BG371</f>
        <v>-6882607.72110181</v>
      </c>
      <c r="BI366" s="13" t="n">
        <f aca="false">BH371</f>
        <v>-7043414.67177666</v>
      </c>
      <c r="BJ366" s="13" t="n">
        <f aca="false">BI371</f>
        <v>-7204651.78295151</v>
      </c>
      <c r="BK366" s="13" t="n">
        <f aca="false">BJ371</f>
        <v>-7366319.05462636</v>
      </c>
      <c r="BL366" s="13" t="n">
        <f aca="false">BK371</f>
        <v>-7528416.48680121</v>
      </c>
      <c r="BM366" s="13" t="n">
        <f aca="false">BL371</f>
        <v>-7690944.07397605</v>
      </c>
      <c r="BN366" s="13" t="n">
        <f aca="false">BM371</f>
        <v>-7834289.7727344</v>
      </c>
      <c r="BO366" s="13" t="n">
        <f aca="false">BN371</f>
        <v>-7978065.63199274</v>
      </c>
      <c r="BP366" s="13" t="n">
        <f aca="false">BO371</f>
        <v>-8068445.36175109</v>
      </c>
      <c r="BQ366" s="13" t="n">
        <f aca="false">BP371</f>
        <v>-8271756.08650943</v>
      </c>
      <c r="BR366" s="13" t="n">
        <f aca="false">BQ371</f>
        <v>-8475066.81126778</v>
      </c>
      <c r="BS366" s="13" t="n">
        <f aca="false">BR371</f>
        <v>-8625127.18602612</v>
      </c>
      <c r="BT366" s="13" t="n">
        <f aca="false">BS371</f>
        <v>-8828437.91078447</v>
      </c>
      <c r="BU366" s="13" t="n">
        <f aca="false">BT371</f>
        <v>-9031748.63554281</v>
      </c>
      <c r="BV366" s="13" t="n">
        <f aca="false">BU371</f>
        <v>-9167297.36030116</v>
      </c>
      <c r="BW366" s="13" t="n">
        <f aca="false">BV371</f>
        <v>-9370608.08505951</v>
      </c>
      <c r="BX366" s="13" t="n">
        <f aca="false">BW371</f>
        <v>-9573918.80981785</v>
      </c>
      <c r="BY366" s="13" t="n">
        <f aca="false">BX371</f>
        <v>-9709467.5345762</v>
      </c>
      <c r="BZ366" s="13" t="n">
        <f aca="false">BY371</f>
        <v>-9916744.47382971</v>
      </c>
      <c r="CA366" s="13" t="n">
        <f aca="false">BZ371</f>
        <v>-10124021.4130832</v>
      </c>
      <c r="CB366" s="13" t="n">
        <f aca="false">CA371</f>
        <v>-10263536.3523367</v>
      </c>
      <c r="CC366" s="13" t="n">
        <f aca="false">CB371</f>
        <v>-10470813.2915902</v>
      </c>
      <c r="CD366" s="13" t="n">
        <f aca="false">CC371</f>
        <v>-10678090.2308438</v>
      </c>
      <c r="CE366" s="13" t="n">
        <f aca="false">CD371</f>
        <v>-10808868.1700973</v>
      </c>
      <c r="CF366" s="13" t="n">
        <f aca="false">CE371</f>
        <v>-11016145.1093508</v>
      </c>
      <c r="CG366" s="13" t="n">
        <f aca="false">CF371</f>
        <v>-11223422.0486043</v>
      </c>
      <c r="CH366" s="13" t="n">
        <f aca="false">CG371</f>
        <v>-11354199.9878578</v>
      </c>
      <c r="CI366" s="13" t="n">
        <f aca="false">CH371</f>
        <v>-11561476.9271113</v>
      </c>
      <c r="CJ366" s="13" t="n">
        <f aca="false">CI371</f>
        <v>-11768753.8663648</v>
      </c>
      <c r="CK366" s="13" t="n">
        <f aca="false">CJ371</f>
        <v>-11892923.7790119</v>
      </c>
      <c r="CL366" s="13" t="n">
        <f aca="false">CK371</f>
        <v>-11946385.2570505</v>
      </c>
      <c r="CM366" s="13" t="n">
        <f aca="false">CL371</f>
        <v>-11999846.735089</v>
      </c>
      <c r="CN366" s="13" t="n">
        <f aca="false">CM371</f>
        <v>-12053308.2131276</v>
      </c>
      <c r="CO366" s="13" t="n">
        <f aca="false">CN371</f>
        <v>-12106769.6911662</v>
      </c>
      <c r="CP366" s="13" t="n">
        <f aca="false">CO371</f>
        <v>-12160231.1692048</v>
      </c>
      <c r="CQ366" s="13" t="n">
        <f aca="false">CP371</f>
        <v>-12213692.6472434</v>
      </c>
      <c r="CR366" s="13" t="n">
        <f aca="false">CQ371</f>
        <v>-12267154.125282</v>
      </c>
      <c r="CS366" s="13" t="n">
        <f aca="false">CR371</f>
        <v>-12320615.6033205</v>
      </c>
      <c r="CT366" s="13" t="n">
        <f aca="false">CS371</f>
        <v>-12374077.0813591</v>
      </c>
      <c r="CU366" s="13" t="n">
        <f aca="false">CT371</f>
        <v>-12418516.5907164</v>
      </c>
      <c r="CV366" s="13" t="n">
        <f aca="false">CU371</f>
        <v>-12462956.1000736</v>
      </c>
      <c r="CW366" s="13" t="n">
        <f aca="false">CV371</f>
        <v>-12507395.6094309</v>
      </c>
      <c r="CX366" s="13" t="n">
        <f aca="false">CW371</f>
        <v>-12500072.9779117</v>
      </c>
      <c r="CY366" s="13" t="n">
        <f aca="false">CX371</f>
        <v>-12475303.4974561</v>
      </c>
      <c r="CZ366" s="13" t="n">
        <f aca="false">CY371</f>
        <v>-12450534.0170005</v>
      </c>
      <c r="DA366" s="13" t="n">
        <f aca="false">CZ371</f>
        <v>-12425764.5365449</v>
      </c>
      <c r="DB366" s="13" t="n">
        <f aca="false">DA371</f>
        <v>-12400995.0560893</v>
      </c>
      <c r="DC366" s="13" t="n">
        <f aca="false">DB371</f>
        <v>-12376225.5756337</v>
      </c>
      <c r="DD366" s="13" t="n">
        <f aca="false">DC371</f>
        <v>-12351456.0951781</v>
      </c>
      <c r="DE366" s="13" t="n">
        <f aca="false">DD371</f>
        <v>-12326686.6147225</v>
      </c>
    </row>
    <row r="367" customFormat="false" ht="15" hidden="false" customHeight="true" outlineLevel="0" collapsed="false">
      <c r="A367" s="22" t="s">
        <v>191</v>
      </c>
      <c r="B367" s="13"/>
      <c r="C367" s="13"/>
      <c r="D367" s="13"/>
      <c r="E367" s="13"/>
      <c r="F367" s="13"/>
      <c r="G367" s="13"/>
      <c r="H367" s="13"/>
      <c r="I367" s="13"/>
      <c r="J367" s="13" t="n">
        <f aca="false">J293</f>
        <v>-145334.883333333</v>
      </c>
      <c r="K367" s="13" t="n">
        <f aca="false">K293</f>
        <v>-145334.883333333</v>
      </c>
      <c r="L367" s="13" t="n">
        <f aca="false">L293</f>
        <v>-154709.883333333</v>
      </c>
      <c r="M367" s="13" t="n">
        <f aca="false">M293</f>
        <v>-151209.883333333</v>
      </c>
      <c r="N367" s="13" t="n">
        <f aca="false">N293</f>
        <v>-135693.331453634</v>
      </c>
      <c r="O367" s="13" t="n">
        <f aca="false">O293</f>
        <v>-137678.293859649</v>
      </c>
      <c r="P367" s="13" t="n">
        <f aca="false">P293</f>
        <v>-137178.293859649</v>
      </c>
      <c r="Q367" s="13" t="n">
        <f aca="false">Q293</f>
        <v>-117638.386126316</v>
      </c>
      <c r="R367" s="13" t="n">
        <f aca="false">R293</f>
        <v>-123888.586126316</v>
      </c>
      <c r="S367" s="13" t="n">
        <f aca="false">S293</f>
        <v>-123888.586126316</v>
      </c>
      <c r="T367" s="13" t="n">
        <f aca="false">T293</f>
        <v>-149394.836126316</v>
      </c>
      <c r="U367" s="13" t="n">
        <f aca="false">U293</f>
        <v>-152294.836126316</v>
      </c>
      <c r="V367" s="13" t="n">
        <f aca="false">V293</f>
        <v>-152294.836126316</v>
      </c>
      <c r="W367" s="13" t="n">
        <f aca="false">W293</f>
        <v>-135722.573726316</v>
      </c>
      <c r="X367" s="13" t="n">
        <f aca="false">X293</f>
        <v>-119689.111326316</v>
      </c>
      <c r="Y367" s="13" t="n">
        <f aca="false">Y293</f>
        <v>-45741.8489263158</v>
      </c>
      <c r="Z367" s="13" t="n">
        <f aca="false">Z293</f>
        <v>-100166.872526316</v>
      </c>
      <c r="AA367" s="13" t="n">
        <f aca="false">AA293</f>
        <v>-84630.3705263158</v>
      </c>
      <c r="AB367" s="13" t="n">
        <f aca="false">AB293</f>
        <v>-11718.8805263158</v>
      </c>
      <c r="AC367" s="13" t="n">
        <f aca="false">AC293</f>
        <v>-57221.5596463158</v>
      </c>
      <c r="AD367" s="13" t="n">
        <f aca="false">AD293</f>
        <v>-41685.0636463158</v>
      </c>
      <c r="AE367" s="13" t="n">
        <f aca="false">AE293</f>
        <v>31226.4383536842</v>
      </c>
      <c r="AF367" s="13" t="n">
        <f aca="false">AF293</f>
        <v>-23357.4686463158</v>
      </c>
      <c r="AG367" s="13" t="n">
        <f aca="false">AG293</f>
        <v>-12273.5698831579</v>
      </c>
      <c r="AH367" s="13" t="n">
        <f aca="false">AH293</f>
        <v>17858.66038</v>
      </c>
      <c r="AI367" s="13" t="n">
        <f aca="false">AI293</f>
        <v>-40766.56962</v>
      </c>
      <c r="AJ367" s="13" t="n">
        <f aca="false">AJ293</f>
        <v>-40336.40362</v>
      </c>
      <c r="AK367" s="13" t="n">
        <f aca="false">AK293</f>
        <v>-39906.24862</v>
      </c>
      <c r="AL367" s="13" t="n">
        <f aca="false">AL293</f>
        <v>-39476.08812</v>
      </c>
      <c r="AM367" s="13" t="n">
        <f aca="false">AM293</f>
        <v>-39045.93312</v>
      </c>
      <c r="AN367" s="13" t="n">
        <f aca="false">AN293</f>
        <v>-24373.98462</v>
      </c>
      <c r="AO367" s="13" t="n">
        <f aca="false">AO293</f>
        <v>-41923.0591224</v>
      </c>
      <c r="AP367" s="13" t="n">
        <f aca="false">AP293</f>
        <v>-55734.6866224</v>
      </c>
      <c r="AQ367" s="13" t="n">
        <f aca="false">AQ293</f>
        <v>-69546.3141224</v>
      </c>
      <c r="AR367" s="13" t="n">
        <f aca="false">AR293</f>
        <v>-83357.9471224</v>
      </c>
      <c r="AS367" s="13" t="n">
        <f aca="false">AS293</f>
        <v>-104982.3426224</v>
      </c>
      <c r="AT367" s="13" t="n">
        <f aca="false">AT293</f>
        <v>-117538.3676224</v>
      </c>
      <c r="AU367" s="13" t="n">
        <f aca="false">AU293</f>
        <v>-130094.3976224</v>
      </c>
      <c r="AV367" s="13" t="n">
        <f aca="false">AV293</f>
        <v>-142650.4176224</v>
      </c>
      <c r="AW367" s="13" t="n">
        <f aca="false">AW293</f>
        <v>-155691.0291224</v>
      </c>
      <c r="AX367" s="13" t="n">
        <f aca="false">AX293</f>
        <v>-114813.0276224</v>
      </c>
      <c r="AY367" s="13" t="n">
        <f aca="false">AY293</f>
        <v>-127760.1026224</v>
      </c>
      <c r="AZ367" s="13" t="n">
        <f aca="false">AZ293</f>
        <v>-153553.4651224</v>
      </c>
      <c r="BA367" s="13" t="n">
        <f aca="false">BA293</f>
        <v>-157795.827174848</v>
      </c>
      <c r="BB367" s="13" t="n">
        <f aca="false">BB293</f>
        <v>-158225.993174848</v>
      </c>
      <c r="BC367" s="13" t="n">
        <f aca="false">BC293</f>
        <v>-158656.148174848</v>
      </c>
      <c r="BD367" s="13" t="n">
        <f aca="false">BD293</f>
        <v>-159086.308674848</v>
      </c>
      <c r="BE367" s="13" t="n">
        <f aca="false">BE293</f>
        <v>-159516.469174848</v>
      </c>
      <c r="BF367" s="13" t="n">
        <f aca="false">BF293</f>
        <v>-159946.629674848</v>
      </c>
      <c r="BG367" s="13" t="n">
        <f aca="false">BG293</f>
        <v>-160376.790174848</v>
      </c>
      <c r="BH367" s="13" t="n">
        <f aca="false">BH293</f>
        <v>-160806.950674848</v>
      </c>
      <c r="BI367" s="13" t="n">
        <f aca="false">BI293</f>
        <v>-161237.111174848</v>
      </c>
      <c r="BJ367" s="13" t="n">
        <f aca="false">BJ293</f>
        <v>-161667.271674848</v>
      </c>
      <c r="BK367" s="13" t="n">
        <f aca="false">BK293</f>
        <v>-162097.432174848</v>
      </c>
      <c r="BL367" s="13" t="n">
        <f aca="false">BL293</f>
        <v>-162527.587174848</v>
      </c>
      <c r="BM367" s="13" t="n">
        <f aca="false">BM293</f>
        <v>-143345.698758345</v>
      </c>
      <c r="BN367" s="13" t="n">
        <f aca="false">BN293</f>
        <v>-143775.859258345</v>
      </c>
      <c r="BO367" s="13" t="n">
        <f aca="false">BO293</f>
        <v>-90379.729758345</v>
      </c>
      <c r="BP367" s="13" t="n">
        <f aca="false">BP293</f>
        <v>-203310.724758345</v>
      </c>
      <c r="BQ367" s="13" t="n">
        <f aca="false">BQ293</f>
        <v>-203310.724758345</v>
      </c>
      <c r="BR367" s="13" t="n">
        <f aca="false">BR293</f>
        <v>-150060.374758345</v>
      </c>
      <c r="BS367" s="13" t="n">
        <f aca="false">BS293</f>
        <v>-203310.724758345</v>
      </c>
      <c r="BT367" s="13" t="n">
        <f aca="false">BT293</f>
        <v>-203310.724758345</v>
      </c>
      <c r="BU367" s="13" t="n">
        <f aca="false">BU293</f>
        <v>-135548.724758345</v>
      </c>
      <c r="BV367" s="13" t="n">
        <f aca="false">BV293</f>
        <v>-203310.724758345</v>
      </c>
      <c r="BW367" s="13" t="n">
        <f aca="false">BW293</f>
        <v>-203310.724758345</v>
      </c>
      <c r="BX367" s="13" t="n">
        <f aca="false">BX293</f>
        <v>-135548.724758345</v>
      </c>
      <c r="BY367" s="13" t="n">
        <f aca="false">BY293</f>
        <v>-207276.939253512</v>
      </c>
      <c r="BZ367" s="13" t="n">
        <f aca="false">BZ293</f>
        <v>-207276.939253512</v>
      </c>
      <c r="CA367" s="13" t="n">
        <f aca="false">CA293</f>
        <v>-139514.939253512</v>
      </c>
      <c r="CB367" s="13" t="n">
        <f aca="false">CB293</f>
        <v>-207276.939253512</v>
      </c>
      <c r="CC367" s="13" t="n">
        <f aca="false">CC293</f>
        <v>-207276.939253512</v>
      </c>
      <c r="CD367" s="13" t="n">
        <f aca="false">CD293</f>
        <v>-130777.939253512</v>
      </c>
      <c r="CE367" s="13" t="n">
        <f aca="false">CE293</f>
        <v>-207276.939253512</v>
      </c>
      <c r="CF367" s="13" t="n">
        <f aca="false">CF293</f>
        <v>-207276.939253512</v>
      </c>
      <c r="CG367" s="13" t="n">
        <f aca="false">CG293</f>
        <v>-130777.939253512</v>
      </c>
      <c r="CH367" s="13" t="n">
        <f aca="false">CH293</f>
        <v>-207276.939253512</v>
      </c>
      <c r="CI367" s="13" t="n">
        <f aca="false">CI293</f>
        <v>-207276.939253512</v>
      </c>
      <c r="CJ367" s="13" t="n">
        <f aca="false">CJ293</f>
        <v>-124169.912647033</v>
      </c>
      <c r="CK367" s="13" t="n">
        <f aca="false">CK293</f>
        <v>-53461.4780385821</v>
      </c>
      <c r="CL367" s="13" t="n">
        <f aca="false">CL293</f>
        <v>-53461.4780385821</v>
      </c>
      <c r="CM367" s="13" t="n">
        <f aca="false">CM293</f>
        <v>-53461.4780385821</v>
      </c>
      <c r="CN367" s="13" t="n">
        <f aca="false">CN293</f>
        <v>-53461.4780385821</v>
      </c>
      <c r="CO367" s="13" t="n">
        <f aca="false">CO293</f>
        <v>-53461.4780385821</v>
      </c>
      <c r="CP367" s="13" t="n">
        <f aca="false">CP293</f>
        <v>-53461.4780385821</v>
      </c>
      <c r="CQ367" s="13" t="n">
        <f aca="false">CQ293</f>
        <v>-53461.4780385821</v>
      </c>
      <c r="CR367" s="13" t="n">
        <f aca="false">CR293</f>
        <v>-53461.4780385821</v>
      </c>
      <c r="CS367" s="13" t="n">
        <f aca="false">CS293</f>
        <v>-53461.4780385821</v>
      </c>
      <c r="CT367" s="13" t="n">
        <f aca="false">CT293</f>
        <v>-44439.5093572534</v>
      </c>
      <c r="CU367" s="13" t="n">
        <f aca="false">CU293</f>
        <v>-44439.5093572534</v>
      </c>
      <c r="CV367" s="13" t="n">
        <f aca="false">CV293</f>
        <v>-44439.5093572534</v>
      </c>
      <c r="CW367" s="13" t="n">
        <f aca="false">CW293</f>
        <v>7322.63151919434</v>
      </c>
      <c r="CX367" s="13" t="n">
        <f aca="false">CX293</f>
        <v>24769.4804556015</v>
      </c>
      <c r="CY367" s="13" t="n">
        <f aca="false">CY293</f>
        <v>24769.4804556015</v>
      </c>
      <c r="CZ367" s="13" t="n">
        <f aca="false">CZ293</f>
        <v>24769.4804556015</v>
      </c>
      <c r="DA367" s="13" t="n">
        <f aca="false">DA293</f>
        <v>24769.4804556015</v>
      </c>
      <c r="DB367" s="13" t="n">
        <f aca="false">DB293</f>
        <v>24769.4804556015</v>
      </c>
      <c r="DC367" s="13" t="n">
        <f aca="false">DC293</f>
        <v>24769.4804556015</v>
      </c>
      <c r="DD367" s="13" t="n">
        <f aca="false">DD293</f>
        <v>24769.4804556015</v>
      </c>
      <c r="DE367" s="13" t="n">
        <f aca="false">DE293</f>
        <v>24769.4804556015</v>
      </c>
    </row>
    <row r="368" customFormat="false" ht="15" hidden="false" customHeight="true" outlineLevel="0" collapsed="false">
      <c r="A368" s="22" t="s">
        <v>192</v>
      </c>
      <c r="B368" s="13"/>
      <c r="C368" s="13"/>
      <c r="D368" s="13"/>
      <c r="E368" s="13"/>
      <c r="F368" s="13"/>
      <c r="G368" s="13"/>
      <c r="H368" s="13"/>
      <c r="I368" s="13"/>
      <c r="J368" s="13" t="n">
        <f aca="false">J310</f>
        <v>0</v>
      </c>
      <c r="K368" s="13" t="n">
        <f aca="false">K310</f>
        <v>0</v>
      </c>
      <c r="L368" s="13" t="n">
        <f aca="false">L310</f>
        <v>0</v>
      </c>
      <c r="M368" s="13" t="n">
        <f aca="false">M310</f>
        <v>0</v>
      </c>
      <c r="N368" s="13" t="n">
        <f aca="false">N310</f>
        <v>-112000</v>
      </c>
      <c r="O368" s="13" t="n">
        <f aca="false">O310</f>
        <v>-112000</v>
      </c>
      <c r="P368" s="13" t="n">
        <f aca="false">P310</f>
        <v>-112000</v>
      </c>
      <c r="Q368" s="13" t="n">
        <f aca="false">Q310</f>
        <v>-112000</v>
      </c>
      <c r="R368" s="13" t="n">
        <f aca="false">R310</f>
        <v>-112000</v>
      </c>
      <c r="S368" s="13" t="n">
        <f aca="false">S310</f>
        <v>-112000</v>
      </c>
      <c r="T368" s="13" t="n">
        <f aca="false">T310</f>
        <v>-112000</v>
      </c>
      <c r="U368" s="13" t="n">
        <f aca="false">U310</f>
        <v>-112000</v>
      </c>
      <c r="V368" s="13" t="n">
        <f aca="false">V310</f>
        <v>-112000</v>
      </c>
      <c r="W368" s="13" t="n">
        <f aca="false">W310</f>
        <v>-112000</v>
      </c>
      <c r="X368" s="13" t="n">
        <f aca="false">X310</f>
        <v>-112000</v>
      </c>
      <c r="Y368" s="13" t="n">
        <f aca="false">Y310</f>
        <v>-112000</v>
      </c>
      <c r="Z368" s="13" t="n">
        <f aca="false">Z310</f>
        <v>-112000</v>
      </c>
      <c r="AA368" s="13" t="n">
        <f aca="false">AA310</f>
        <v>-112000</v>
      </c>
      <c r="AB368" s="13" t="n">
        <f aca="false">AB310</f>
        <v>-112000</v>
      </c>
      <c r="AC368" s="13" t="n">
        <f aca="false">AC310</f>
        <v>-112000</v>
      </c>
      <c r="AD368" s="13" t="n">
        <f aca="false">AD310</f>
        <v>-112000</v>
      </c>
      <c r="AE368" s="13" t="n">
        <f aca="false">AE310</f>
        <v>-91981.4302785977</v>
      </c>
      <c r="AF368" s="13" t="n">
        <f aca="false">AF310</f>
        <v>0</v>
      </c>
      <c r="AG368" s="13" t="n">
        <f aca="false">AG310</f>
        <v>0</v>
      </c>
      <c r="AH368" s="13" t="n">
        <f aca="false">AH310</f>
        <v>0</v>
      </c>
      <c r="AI368" s="13" t="n">
        <f aca="false">AI310</f>
        <v>0</v>
      </c>
      <c r="AJ368" s="13" t="n">
        <f aca="false">AJ310</f>
        <v>0</v>
      </c>
      <c r="AK368" s="13" t="n">
        <f aca="false">AK310</f>
        <v>0</v>
      </c>
      <c r="AL368" s="13" t="n">
        <f aca="false">AL310</f>
        <v>0</v>
      </c>
      <c r="AM368" s="13" t="n">
        <f aca="false">AM310</f>
        <v>0</v>
      </c>
      <c r="AN368" s="13" t="n">
        <f aca="false">AN310</f>
        <v>0</v>
      </c>
      <c r="AO368" s="13" t="n">
        <f aca="false">AO310</f>
        <v>0</v>
      </c>
      <c r="AP368" s="13" t="n">
        <f aca="false">AP310</f>
        <v>0</v>
      </c>
      <c r="AQ368" s="13" t="n">
        <f aca="false">AQ310</f>
        <v>0</v>
      </c>
      <c r="AR368" s="13" t="n">
        <f aca="false">AR310</f>
        <v>0</v>
      </c>
      <c r="AS368" s="13" t="n">
        <f aca="false">AS310</f>
        <v>0</v>
      </c>
      <c r="AT368" s="13" t="n">
        <f aca="false">AT310</f>
        <v>0</v>
      </c>
      <c r="AU368" s="13" t="n">
        <f aca="false">AU310</f>
        <v>0</v>
      </c>
      <c r="AV368" s="13" t="n">
        <f aca="false">AV310</f>
        <v>0</v>
      </c>
      <c r="AW368" s="13" t="n">
        <f aca="false">AW310</f>
        <v>0</v>
      </c>
      <c r="AX368" s="13" t="n">
        <f aca="false">AX310</f>
        <v>0</v>
      </c>
      <c r="AY368" s="13" t="n">
        <f aca="false">AY310</f>
        <v>0</v>
      </c>
      <c r="AZ368" s="13" t="n">
        <f aca="false">AZ310</f>
        <v>0</v>
      </c>
      <c r="BA368" s="13" t="n">
        <f aca="false">BA310</f>
        <v>0</v>
      </c>
      <c r="BB368" s="13" t="n">
        <f aca="false">BB310</f>
        <v>0</v>
      </c>
      <c r="BC368" s="13" t="n">
        <f aca="false">BC310</f>
        <v>0</v>
      </c>
      <c r="BD368" s="13" t="n">
        <f aca="false">BD310</f>
        <v>0</v>
      </c>
      <c r="BE368" s="13" t="n">
        <f aca="false">BE310</f>
        <v>0</v>
      </c>
      <c r="BF368" s="13" t="n">
        <f aca="false">BF310</f>
        <v>0</v>
      </c>
      <c r="BG368" s="13" t="n">
        <f aca="false">BG310</f>
        <v>0</v>
      </c>
      <c r="BH368" s="13" t="n">
        <f aca="false">BH310</f>
        <v>0</v>
      </c>
      <c r="BI368" s="13" t="n">
        <f aca="false">BI310</f>
        <v>0</v>
      </c>
      <c r="BJ368" s="13" t="n">
        <f aca="false">BJ310</f>
        <v>0</v>
      </c>
      <c r="BK368" s="13" t="n">
        <f aca="false">BK310</f>
        <v>0</v>
      </c>
      <c r="BL368" s="13" t="n">
        <f aca="false">BL310</f>
        <v>0</v>
      </c>
      <c r="BM368" s="13" t="n">
        <f aca="false">BM310</f>
        <v>0</v>
      </c>
      <c r="BN368" s="13" t="n">
        <f aca="false">BN310</f>
        <v>0</v>
      </c>
      <c r="BO368" s="13" t="n">
        <f aca="false">BO310</f>
        <v>0</v>
      </c>
      <c r="BP368" s="13" t="n">
        <f aca="false">BP310</f>
        <v>0</v>
      </c>
      <c r="BQ368" s="13" t="n">
        <f aca="false">BQ310</f>
        <v>0</v>
      </c>
      <c r="BR368" s="13" t="n">
        <f aca="false">BR310</f>
        <v>0</v>
      </c>
      <c r="BS368" s="13" t="n">
        <f aca="false">BS310</f>
        <v>0</v>
      </c>
      <c r="BT368" s="13" t="n">
        <f aca="false">BT310</f>
        <v>0</v>
      </c>
      <c r="BU368" s="13" t="n">
        <f aca="false">BU310</f>
        <v>0</v>
      </c>
      <c r="BV368" s="13" t="n">
        <f aca="false">BV310</f>
        <v>0</v>
      </c>
      <c r="BW368" s="13" t="n">
        <f aca="false">BW310</f>
        <v>0</v>
      </c>
      <c r="BX368" s="13" t="n">
        <f aca="false">BX310</f>
        <v>0</v>
      </c>
      <c r="BY368" s="13" t="n">
        <f aca="false">BY310</f>
        <v>0</v>
      </c>
      <c r="BZ368" s="13" t="n">
        <f aca="false">BZ310</f>
        <v>0</v>
      </c>
      <c r="CA368" s="13" t="n">
        <f aca="false">CA310</f>
        <v>0</v>
      </c>
      <c r="CB368" s="13" t="n">
        <f aca="false">CB310</f>
        <v>0</v>
      </c>
      <c r="CC368" s="13" t="n">
        <f aca="false">CC310</f>
        <v>0</v>
      </c>
      <c r="CD368" s="13" t="n">
        <f aca="false">CD310</f>
        <v>0</v>
      </c>
      <c r="CE368" s="13" t="n">
        <f aca="false">CE310</f>
        <v>0</v>
      </c>
      <c r="CF368" s="13" t="n">
        <f aca="false">CF310</f>
        <v>0</v>
      </c>
      <c r="CG368" s="13" t="n">
        <f aca="false">CG310</f>
        <v>0</v>
      </c>
      <c r="CH368" s="13" t="n">
        <f aca="false">CH310</f>
        <v>0</v>
      </c>
      <c r="CI368" s="13" t="n">
        <f aca="false">CI310</f>
        <v>0</v>
      </c>
      <c r="CJ368" s="13" t="n">
        <f aca="false">CJ310</f>
        <v>0</v>
      </c>
      <c r="CK368" s="13" t="n">
        <f aca="false">CK310</f>
        <v>0</v>
      </c>
      <c r="CL368" s="13" t="n">
        <f aca="false">CL310</f>
        <v>0</v>
      </c>
      <c r="CM368" s="13" t="n">
        <f aca="false">CM310</f>
        <v>0</v>
      </c>
      <c r="CN368" s="13" t="n">
        <f aca="false">CN310</f>
        <v>0</v>
      </c>
      <c r="CO368" s="13" t="n">
        <f aca="false">CO310</f>
        <v>0</v>
      </c>
      <c r="CP368" s="13" t="n">
        <f aca="false">CP310</f>
        <v>0</v>
      </c>
      <c r="CQ368" s="13" t="n">
        <f aca="false">CQ310</f>
        <v>0</v>
      </c>
      <c r="CR368" s="13" t="n">
        <f aca="false">CR310</f>
        <v>0</v>
      </c>
      <c r="CS368" s="13" t="n">
        <f aca="false">CS310</f>
        <v>0</v>
      </c>
      <c r="CT368" s="13" t="n">
        <f aca="false">CT310</f>
        <v>0</v>
      </c>
      <c r="CU368" s="13" t="n">
        <f aca="false">CU310</f>
        <v>0</v>
      </c>
      <c r="CV368" s="13" t="n">
        <f aca="false">CV310</f>
        <v>0</v>
      </c>
      <c r="CW368" s="13" t="n">
        <f aca="false">CW310</f>
        <v>0</v>
      </c>
      <c r="CX368" s="13" t="n">
        <f aca="false">CX310</f>
        <v>0</v>
      </c>
      <c r="CY368" s="13" t="n">
        <f aca="false">CY310</f>
        <v>0</v>
      </c>
      <c r="CZ368" s="13" t="n">
        <f aca="false">CZ310</f>
        <v>0</v>
      </c>
      <c r="DA368" s="13" t="n">
        <f aca="false">DA310</f>
        <v>0</v>
      </c>
      <c r="DB368" s="13" t="n">
        <f aca="false">DB310</f>
        <v>0</v>
      </c>
      <c r="DC368" s="13" t="n">
        <f aca="false">DC310</f>
        <v>0</v>
      </c>
      <c r="DD368" s="13" t="n">
        <f aca="false">DD310</f>
        <v>0</v>
      </c>
      <c r="DE368" s="13" t="n">
        <f aca="false">DE310</f>
        <v>0</v>
      </c>
    </row>
    <row r="369" customFormat="false" ht="15" hidden="false" customHeight="true" outlineLevel="0" collapsed="false">
      <c r="A369" s="22" t="s">
        <v>193</v>
      </c>
      <c r="B369" s="13"/>
      <c r="C369" s="13"/>
      <c r="D369" s="13"/>
      <c r="E369" s="13"/>
      <c r="F369" s="13"/>
      <c r="G369" s="13"/>
      <c r="H369" s="13"/>
      <c r="I369" s="13"/>
      <c r="J369" s="13" t="n">
        <f aca="false">J316</f>
        <v>0</v>
      </c>
      <c r="K369" s="13" t="n">
        <f aca="false">K316</f>
        <v>0</v>
      </c>
      <c r="L369" s="13" t="n">
        <f aca="false">L316</f>
        <v>0</v>
      </c>
      <c r="M369" s="13" t="n">
        <f aca="false">M316</f>
        <v>0</v>
      </c>
      <c r="N369" s="13" t="n">
        <f aca="false">N316</f>
        <v>0</v>
      </c>
      <c r="O369" s="13" t="n">
        <f aca="false">O316</f>
        <v>0</v>
      </c>
      <c r="P369" s="13" t="n">
        <f aca="false">P316</f>
        <v>0</v>
      </c>
      <c r="Q369" s="13" t="n">
        <f aca="false">Q316</f>
        <v>0</v>
      </c>
      <c r="R369" s="13" t="n">
        <f aca="false">R316</f>
        <v>0</v>
      </c>
      <c r="S369" s="13" t="n">
        <f aca="false">S316</f>
        <v>0</v>
      </c>
      <c r="T369" s="13" t="n">
        <f aca="false">T316</f>
        <v>0</v>
      </c>
      <c r="U369" s="13" t="n">
        <f aca="false">U316</f>
        <v>0</v>
      </c>
      <c r="V369" s="13" t="n">
        <f aca="false">V316</f>
        <v>0</v>
      </c>
      <c r="W369" s="13" t="n">
        <f aca="false">W316</f>
        <v>0</v>
      </c>
      <c r="X369" s="13" t="n">
        <f aca="false">X316</f>
        <v>0</v>
      </c>
      <c r="Y369" s="13" t="n">
        <f aca="false">Y316</f>
        <v>0</v>
      </c>
      <c r="Z369" s="13" t="n">
        <f aca="false">Z316</f>
        <v>0</v>
      </c>
      <c r="AA369" s="13" t="n">
        <f aca="false">AA316</f>
        <v>-250000</v>
      </c>
      <c r="AB369" s="13" t="n">
        <f aca="false">AB316</f>
        <v>0</v>
      </c>
      <c r="AC369" s="13" t="n">
        <f aca="false">AC316</f>
        <v>0</v>
      </c>
      <c r="AD369" s="13" t="n">
        <f aca="false">AD316</f>
        <v>0</v>
      </c>
      <c r="AE369" s="13" t="n">
        <f aca="false">AE316</f>
        <v>0</v>
      </c>
      <c r="AF369" s="13" t="n">
        <f aca="false">AF316</f>
        <v>0</v>
      </c>
      <c r="AG369" s="13" t="n">
        <f aca="false">AG316</f>
        <v>0</v>
      </c>
      <c r="AH369" s="13" t="n">
        <f aca="false">AH316</f>
        <v>0</v>
      </c>
      <c r="AI369" s="13" t="n">
        <f aca="false">AI316</f>
        <v>0</v>
      </c>
      <c r="AJ369" s="13" t="n">
        <f aca="false">AJ316</f>
        <v>0</v>
      </c>
      <c r="AK369" s="13" t="n">
        <f aca="false">AK316</f>
        <v>0</v>
      </c>
      <c r="AL369" s="13" t="n">
        <f aca="false">AL316</f>
        <v>0</v>
      </c>
      <c r="AM369" s="13" t="n">
        <f aca="false">AM316</f>
        <v>-250000</v>
      </c>
      <c r="AN369" s="13" t="n">
        <f aca="false">AN316</f>
        <v>0</v>
      </c>
      <c r="AO369" s="13" t="n">
        <f aca="false">AO316</f>
        <v>0</v>
      </c>
      <c r="AP369" s="13" t="n">
        <f aca="false">AP316</f>
        <v>0</v>
      </c>
      <c r="AQ369" s="13" t="n">
        <f aca="false">AQ316</f>
        <v>0</v>
      </c>
      <c r="AR369" s="13" t="n">
        <f aca="false">AR316</f>
        <v>0</v>
      </c>
      <c r="AS369" s="13" t="n">
        <f aca="false">AS316</f>
        <v>0</v>
      </c>
      <c r="AT369" s="13" t="n">
        <f aca="false">AT316</f>
        <v>0</v>
      </c>
      <c r="AU369" s="13" t="n">
        <f aca="false">AU316</f>
        <v>0</v>
      </c>
      <c r="AV369" s="13" t="n">
        <f aca="false">AV316</f>
        <v>0</v>
      </c>
      <c r="AW369" s="13" t="n">
        <f aca="false">AW316</f>
        <v>0</v>
      </c>
      <c r="AX369" s="13" t="n">
        <f aca="false">AX316</f>
        <v>0</v>
      </c>
      <c r="AY369" s="13" t="n">
        <f aca="false">AY316</f>
        <v>0</v>
      </c>
      <c r="AZ369" s="13" t="n">
        <f aca="false">AZ316</f>
        <v>0</v>
      </c>
      <c r="BA369" s="13" t="n">
        <f aca="false">BA316</f>
        <v>0</v>
      </c>
      <c r="BB369" s="13" t="n">
        <f aca="false">BB316</f>
        <v>0</v>
      </c>
      <c r="BC369" s="13" t="n">
        <f aca="false">BC316</f>
        <v>0</v>
      </c>
      <c r="BD369" s="13" t="n">
        <f aca="false">BD316</f>
        <v>0</v>
      </c>
      <c r="BE369" s="13" t="n">
        <f aca="false">BE316</f>
        <v>0</v>
      </c>
      <c r="BF369" s="13" t="n">
        <f aca="false">BF316</f>
        <v>0</v>
      </c>
      <c r="BG369" s="13" t="n">
        <f aca="false">BG316</f>
        <v>0</v>
      </c>
      <c r="BH369" s="13" t="n">
        <f aca="false">BH316</f>
        <v>0</v>
      </c>
      <c r="BI369" s="13" t="n">
        <f aca="false">BI316</f>
        <v>0</v>
      </c>
      <c r="BJ369" s="13" t="n">
        <f aca="false">BJ316</f>
        <v>0</v>
      </c>
      <c r="BK369" s="13" t="n">
        <f aca="false">BK316</f>
        <v>0</v>
      </c>
      <c r="BL369" s="13" t="n">
        <f aca="false">BL316</f>
        <v>0</v>
      </c>
      <c r="BM369" s="13" t="n">
        <f aca="false">BM316</f>
        <v>0</v>
      </c>
      <c r="BN369" s="13" t="n">
        <f aca="false">BN316</f>
        <v>0</v>
      </c>
      <c r="BO369" s="13" t="n">
        <f aca="false">BO316</f>
        <v>0</v>
      </c>
      <c r="BP369" s="13" t="n">
        <f aca="false">BP316</f>
        <v>0</v>
      </c>
      <c r="BQ369" s="13" t="n">
        <f aca="false">BQ316</f>
        <v>0</v>
      </c>
      <c r="BR369" s="13" t="n">
        <f aca="false">BR316</f>
        <v>0</v>
      </c>
      <c r="BS369" s="13" t="n">
        <f aca="false">BS316</f>
        <v>0</v>
      </c>
      <c r="BT369" s="13" t="n">
        <f aca="false">BT316</f>
        <v>0</v>
      </c>
      <c r="BU369" s="13" t="n">
        <f aca="false">BU316</f>
        <v>0</v>
      </c>
      <c r="BV369" s="13" t="n">
        <f aca="false">BV316</f>
        <v>0</v>
      </c>
      <c r="BW369" s="13" t="n">
        <f aca="false">BW316</f>
        <v>0</v>
      </c>
      <c r="BX369" s="13" t="n">
        <f aca="false">BX316</f>
        <v>0</v>
      </c>
      <c r="BY369" s="13" t="n">
        <f aca="false">BY316</f>
        <v>0</v>
      </c>
      <c r="BZ369" s="13" t="n">
        <f aca="false">BZ316</f>
        <v>0</v>
      </c>
      <c r="CA369" s="13" t="n">
        <f aca="false">CA316</f>
        <v>0</v>
      </c>
      <c r="CB369" s="13" t="n">
        <f aca="false">CB316</f>
        <v>0</v>
      </c>
      <c r="CC369" s="13" t="n">
        <f aca="false">CC316</f>
        <v>0</v>
      </c>
      <c r="CD369" s="13" t="n">
        <f aca="false">CD316</f>
        <v>0</v>
      </c>
      <c r="CE369" s="13" t="n">
        <f aca="false">CE316</f>
        <v>0</v>
      </c>
      <c r="CF369" s="13" t="n">
        <f aca="false">CF316</f>
        <v>0</v>
      </c>
      <c r="CG369" s="13" t="n">
        <f aca="false">CG316</f>
        <v>0</v>
      </c>
      <c r="CH369" s="13" t="n">
        <f aca="false">CH316</f>
        <v>0</v>
      </c>
      <c r="CI369" s="13" t="n">
        <f aca="false">CI316</f>
        <v>0</v>
      </c>
      <c r="CJ369" s="13" t="n">
        <f aca="false">CJ316</f>
        <v>0</v>
      </c>
      <c r="CK369" s="13" t="n">
        <f aca="false">CK316</f>
        <v>0</v>
      </c>
      <c r="CL369" s="13" t="n">
        <f aca="false">CL316</f>
        <v>0</v>
      </c>
      <c r="CM369" s="13" t="n">
        <f aca="false">CM316</f>
        <v>0</v>
      </c>
      <c r="CN369" s="13" t="n">
        <f aca="false">CN316</f>
        <v>0</v>
      </c>
      <c r="CO369" s="13" t="n">
        <f aca="false">CO316</f>
        <v>0</v>
      </c>
      <c r="CP369" s="13" t="n">
        <f aca="false">CP316</f>
        <v>0</v>
      </c>
      <c r="CQ369" s="13" t="n">
        <f aca="false">CQ316</f>
        <v>0</v>
      </c>
      <c r="CR369" s="13" t="n">
        <f aca="false">CR316</f>
        <v>0</v>
      </c>
      <c r="CS369" s="13" t="n">
        <f aca="false">CS316</f>
        <v>0</v>
      </c>
      <c r="CT369" s="13" t="n">
        <f aca="false">CT316</f>
        <v>0</v>
      </c>
      <c r="CU369" s="13" t="n">
        <f aca="false">CU316</f>
        <v>0</v>
      </c>
      <c r="CV369" s="13" t="n">
        <f aca="false">CV316</f>
        <v>0</v>
      </c>
      <c r="CW369" s="13" t="n">
        <f aca="false">CW316</f>
        <v>0</v>
      </c>
      <c r="CX369" s="13" t="n">
        <f aca="false">CX316</f>
        <v>0</v>
      </c>
      <c r="CY369" s="13" t="n">
        <f aca="false">CY316</f>
        <v>0</v>
      </c>
      <c r="CZ369" s="13" t="n">
        <f aca="false">CZ316</f>
        <v>0</v>
      </c>
      <c r="DA369" s="13" t="n">
        <f aca="false">DA316</f>
        <v>0</v>
      </c>
      <c r="DB369" s="13" t="n">
        <f aca="false">DB316</f>
        <v>0</v>
      </c>
      <c r="DC369" s="13" t="n">
        <f aca="false">DC316</f>
        <v>0</v>
      </c>
      <c r="DD369" s="13" t="n">
        <f aca="false">DD316</f>
        <v>0</v>
      </c>
      <c r="DE369" s="13" t="n">
        <f aca="false">DE316</f>
        <v>0</v>
      </c>
    </row>
    <row r="370" customFormat="false" ht="15" hidden="false" customHeight="true" outlineLevel="0" collapsed="false">
      <c r="A370" s="22" t="s">
        <v>194</v>
      </c>
      <c r="B370" s="13"/>
      <c r="C370" s="13"/>
      <c r="D370" s="13"/>
      <c r="E370" s="13"/>
      <c r="F370" s="13"/>
      <c r="G370" s="13"/>
      <c r="H370" s="13"/>
      <c r="I370" s="13"/>
      <c r="J370" s="13" t="n">
        <v>0</v>
      </c>
      <c r="K370" s="13" t="n">
        <v>0</v>
      </c>
      <c r="L370" s="13" t="n">
        <v>0</v>
      </c>
      <c r="M370" s="13" t="n">
        <v>0</v>
      </c>
      <c r="N370" s="13" t="n">
        <v>0</v>
      </c>
      <c r="O370" s="13" t="n">
        <v>0</v>
      </c>
      <c r="P370" s="13" t="n">
        <v>0</v>
      </c>
      <c r="Q370" s="13" t="n">
        <v>0</v>
      </c>
      <c r="R370" s="13" t="n">
        <v>0</v>
      </c>
      <c r="S370" s="13" t="n">
        <v>0</v>
      </c>
      <c r="T370" s="13" t="n">
        <v>0</v>
      </c>
      <c r="U370" s="13" t="n">
        <v>0</v>
      </c>
      <c r="V370" s="13" t="n">
        <v>0</v>
      </c>
      <c r="W370" s="13" t="n">
        <v>0</v>
      </c>
      <c r="X370" s="13" t="n">
        <v>0</v>
      </c>
      <c r="Y370" s="13" t="n">
        <v>0</v>
      </c>
      <c r="Z370" s="13" t="n">
        <v>0</v>
      </c>
      <c r="AA370" s="13" t="n">
        <v>0</v>
      </c>
      <c r="AB370" s="13" t="n">
        <v>0</v>
      </c>
      <c r="AC370" s="13" t="n">
        <v>0</v>
      </c>
      <c r="AD370" s="13" t="n">
        <v>0</v>
      </c>
      <c r="AE370" s="13" t="n">
        <v>0</v>
      </c>
      <c r="AF370" s="13" t="n">
        <v>0</v>
      </c>
      <c r="AG370" s="13" t="n">
        <v>0</v>
      </c>
      <c r="AH370" s="13" t="n">
        <v>0</v>
      </c>
      <c r="AI370" s="13" t="n">
        <v>0</v>
      </c>
      <c r="AJ370" s="13" t="n">
        <v>0</v>
      </c>
      <c r="AK370" s="13" t="n">
        <v>0</v>
      </c>
      <c r="AL370" s="13" t="n">
        <v>0</v>
      </c>
      <c r="AM370" s="13" t="n">
        <v>0</v>
      </c>
      <c r="AN370" s="13" t="n">
        <v>0</v>
      </c>
      <c r="AO370" s="13" t="n">
        <v>0</v>
      </c>
      <c r="AP370" s="13" t="n">
        <v>0</v>
      </c>
      <c r="AQ370" s="13" t="n">
        <v>0</v>
      </c>
      <c r="AR370" s="13" t="n">
        <v>0</v>
      </c>
      <c r="AS370" s="13" t="n">
        <v>0</v>
      </c>
      <c r="AT370" s="13" t="n">
        <v>0</v>
      </c>
      <c r="AU370" s="13" t="n">
        <v>0</v>
      </c>
      <c r="AV370" s="13" t="n">
        <v>0</v>
      </c>
      <c r="AW370" s="13" t="n">
        <v>0</v>
      </c>
      <c r="AX370" s="13" t="n">
        <v>0</v>
      </c>
      <c r="AY370" s="13" t="n">
        <v>0</v>
      </c>
      <c r="AZ370" s="13" t="n">
        <v>0</v>
      </c>
      <c r="BA370" s="13" t="n">
        <v>0</v>
      </c>
      <c r="BB370" s="13" t="n">
        <v>0</v>
      </c>
      <c r="BC370" s="13" t="n">
        <v>0</v>
      </c>
      <c r="BD370" s="13" t="n">
        <v>0</v>
      </c>
      <c r="BE370" s="13" t="n">
        <v>0</v>
      </c>
      <c r="BF370" s="13" t="n">
        <v>0</v>
      </c>
      <c r="BG370" s="13" t="n">
        <v>0</v>
      </c>
      <c r="BH370" s="13" t="n">
        <v>0</v>
      </c>
      <c r="BI370" s="13" t="n">
        <v>0</v>
      </c>
      <c r="BJ370" s="13" t="n">
        <v>0</v>
      </c>
      <c r="BK370" s="13" t="n">
        <v>0</v>
      </c>
      <c r="BL370" s="13" t="n">
        <v>0</v>
      </c>
      <c r="BM370" s="13" t="n">
        <v>0</v>
      </c>
      <c r="BN370" s="13" t="n">
        <v>0</v>
      </c>
      <c r="BO370" s="13" t="n">
        <v>0</v>
      </c>
      <c r="BP370" s="13" t="n">
        <v>0</v>
      </c>
      <c r="BQ370" s="13" t="n">
        <v>0</v>
      </c>
      <c r="BR370" s="13" t="n">
        <v>0</v>
      </c>
      <c r="BS370" s="13" t="n">
        <v>0</v>
      </c>
      <c r="BT370" s="13" t="n">
        <v>0</v>
      </c>
      <c r="BU370" s="13" t="n">
        <v>0</v>
      </c>
      <c r="BV370" s="13" t="n">
        <v>0</v>
      </c>
      <c r="BW370" s="13" t="n">
        <v>0</v>
      </c>
      <c r="BX370" s="13" t="n">
        <v>0</v>
      </c>
      <c r="BY370" s="13" t="n">
        <v>0</v>
      </c>
      <c r="BZ370" s="13" t="n">
        <v>0</v>
      </c>
      <c r="CA370" s="13" t="n">
        <v>0</v>
      </c>
      <c r="CB370" s="13" t="n">
        <v>0</v>
      </c>
      <c r="CC370" s="13" t="n">
        <v>0</v>
      </c>
      <c r="CD370" s="13" t="n">
        <v>0</v>
      </c>
      <c r="CE370" s="13" t="n">
        <v>0</v>
      </c>
      <c r="CF370" s="13" t="n">
        <v>0</v>
      </c>
      <c r="CG370" s="13" t="n">
        <v>0</v>
      </c>
      <c r="CH370" s="13" t="n">
        <v>0</v>
      </c>
      <c r="CI370" s="13" t="n">
        <v>0</v>
      </c>
      <c r="CJ370" s="13" t="n">
        <v>0</v>
      </c>
      <c r="CK370" s="13" t="n">
        <v>0</v>
      </c>
      <c r="CL370" s="13" t="n">
        <v>0</v>
      </c>
      <c r="CM370" s="13" t="n">
        <v>0</v>
      </c>
      <c r="CN370" s="13" t="n">
        <v>0</v>
      </c>
      <c r="CO370" s="13" t="n">
        <v>0</v>
      </c>
      <c r="CP370" s="13" t="n">
        <v>0</v>
      </c>
      <c r="CQ370" s="13" t="n">
        <v>0</v>
      </c>
      <c r="CR370" s="13" t="n">
        <v>0</v>
      </c>
      <c r="CS370" s="13" t="n">
        <v>0</v>
      </c>
      <c r="CT370" s="13"/>
      <c r="CU370" s="13"/>
      <c r="CV370" s="13"/>
      <c r="CW370" s="13"/>
      <c r="CX370" s="13"/>
      <c r="CY370" s="13"/>
      <c r="CZ370" s="13"/>
      <c r="DA370" s="13"/>
      <c r="DB370" s="13"/>
      <c r="DC370" s="13"/>
      <c r="DD370" s="13"/>
      <c r="DE370" s="13"/>
    </row>
    <row r="371" customFormat="false" ht="15" hidden="false" customHeight="true" outlineLevel="0" collapsed="false">
      <c r="A371" s="67" t="s">
        <v>195</v>
      </c>
      <c r="B371" s="68"/>
      <c r="C371" s="68"/>
      <c r="D371" s="68"/>
      <c r="E371" s="68"/>
      <c r="F371" s="68"/>
      <c r="G371" s="68"/>
      <c r="H371" s="68"/>
      <c r="I371" s="68"/>
      <c r="J371" s="68" t="n">
        <f aca="false">J366+J367+J368+J369+J370</f>
        <v>512855.116666667</v>
      </c>
      <c r="K371" s="68" t="n">
        <f aca="false">K366+K367+K368+K369+K370</f>
        <v>367520.233333333</v>
      </c>
      <c r="L371" s="68" t="n">
        <f aca="false">L366+L367+L368+L369+L370</f>
        <v>212810.35</v>
      </c>
      <c r="M371" s="68" t="n">
        <f aca="false">M366+M367+M368+M369+M370</f>
        <v>61600.4666666667</v>
      </c>
      <c r="N371" s="68" t="n">
        <f aca="false">N366+N367+N368+N369+N370</f>
        <v>-186092.864786967</v>
      </c>
      <c r="O371" s="68" t="n">
        <f aca="false">O366+O367+O368+O369+O370</f>
        <v>-435771.158646616</v>
      </c>
      <c r="P371" s="68" t="n">
        <f aca="false">P366+P367+P368+P369+P370</f>
        <v>-684949.452506266</v>
      </c>
      <c r="Q371" s="68" t="n">
        <f aca="false">Q366+Q367+Q368+Q369+Q370</f>
        <v>-914587.838632581</v>
      </c>
      <c r="R371" s="68" t="n">
        <f aca="false">R366+R367+R368+R369+R370</f>
        <v>-1150476.4247589</v>
      </c>
      <c r="S371" s="68" t="n">
        <f aca="false">S366+S367+S368+S369+S370</f>
        <v>-1386365.01088521</v>
      </c>
      <c r="T371" s="68" t="n">
        <f aca="false">T366+T367+T368+T369+T370</f>
        <v>-1647759.84701153</v>
      </c>
      <c r="U371" s="68" t="n">
        <f aca="false">U366+U367+U368+U369+U370</f>
        <v>-1912054.68313784</v>
      </c>
      <c r="V371" s="68" t="n">
        <f aca="false">V366+V367+V368+V369+V370</f>
        <v>-2176349.51926416</v>
      </c>
      <c r="W371" s="68" t="n">
        <f aca="false">W366+W367+W368+W369+W370</f>
        <v>-2424072.09299048</v>
      </c>
      <c r="X371" s="68" t="n">
        <f aca="false">X366+X367+X368+X369+X370</f>
        <v>-2655761.20431679</v>
      </c>
      <c r="Y371" s="68" t="n">
        <f aca="false">Y366+Y367+Y368+Y369+Y370</f>
        <v>-2813503.05324311</v>
      </c>
      <c r="Z371" s="68" t="n">
        <f aca="false">Z366+Z367+Z368+Z369+Z370</f>
        <v>-3025669.92576942</v>
      </c>
      <c r="AA371" s="68" t="n">
        <f aca="false">AA366+AA367+AA368+AA369+AA370</f>
        <v>-3472300.29629574</v>
      </c>
      <c r="AB371" s="68" t="n">
        <f aca="false">AB366+AB367+AB368+AB369+AB370</f>
        <v>-3596019.17682206</v>
      </c>
      <c r="AC371" s="68" t="n">
        <f aca="false">AC366+AC367+AC368+AC369+AC370</f>
        <v>-3765240.73646837</v>
      </c>
      <c r="AD371" s="68" t="n">
        <f aca="false">AD366+AD367+AD368+AD369+AD370</f>
        <v>-3918925.80011469</v>
      </c>
      <c r="AE371" s="68" t="n">
        <f aca="false">AE366+AE367+AE368+AE369+AE370</f>
        <v>-3979680.7920396</v>
      </c>
      <c r="AF371" s="68" t="n">
        <f aca="false">AF366+AF367+AF368+AF369+AF370</f>
        <v>-4003038.26068592</v>
      </c>
      <c r="AG371" s="68" t="n">
        <f aca="false">AG366+AG367+AG368+AG369+AG370</f>
        <v>-4015311.83056908</v>
      </c>
      <c r="AH371" s="68" t="n">
        <f aca="false">AH366+AH367+AH368+AH369+AH370</f>
        <v>-3997453.17018908</v>
      </c>
      <c r="AI371" s="68" t="n">
        <f aca="false">AI366+AI367+AI368+AI369+AI370</f>
        <v>-4038219.73980908</v>
      </c>
      <c r="AJ371" s="68" t="n">
        <f aca="false">AJ366+AJ367+AJ368+AJ369+AJ370</f>
        <v>-4078556.14342908</v>
      </c>
      <c r="AK371" s="68" t="n">
        <f aca="false">AK366+AK367+AK368+AK369+AK370</f>
        <v>-4118462.39204908</v>
      </c>
      <c r="AL371" s="68" t="n">
        <f aca="false">AL366+AL367+AL368+AL369+AL370</f>
        <v>-4157938.48016908</v>
      </c>
      <c r="AM371" s="68" t="n">
        <f aca="false">AM366+AM367+AM368+AM369+AM370</f>
        <v>-4446984.41328908</v>
      </c>
      <c r="AN371" s="68" t="n">
        <f aca="false">AN366+AN367+AN368+AN369+AN370</f>
        <v>-4471358.39790908</v>
      </c>
      <c r="AO371" s="68" t="n">
        <f aca="false">AO366+AO367+AO368+AO369+AO370</f>
        <v>-4513281.45703148</v>
      </c>
      <c r="AP371" s="68" t="n">
        <f aca="false">AP366+AP367+AP368+AP369+AP370</f>
        <v>-4569016.14365388</v>
      </c>
      <c r="AQ371" s="68" t="n">
        <f aca="false">AQ366+AQ367+AQ368+AQ369+AQ370</f>
        <v>-4638562.45777628</v>
      </c>
      <c r="AR371" s="68" t="n">
        <f aca="false">AR366+AR367+AR368+AR369+AR370</f>
        <v>-4721920.40489868</v>
      </c>
      <c r="AS371" s="68" t="n">
        <f aca="false">AS366+AS367+AS368+AS369+AS370</f>
        <v>-4826902.74752108</v>
      </c>
      <c r="AT371" s="68" t="n">
        <f aca="false">AT366+AT367+AT368+AT369+AT370</f>
        <v>-4944441.11514348</v>
      </c>
      <c r="AU371" s="68" t="n">
        <f aca="false">AU366+AU367+AU368+AU369+AU370</f>
        <v>-5074535.51276588</v>
      </c>
      <c r="AV371" s="68" t="n">
        <f aca="false">AV366+AV367+AV368+AV369+AV370</f>
        <v>-5217185.93038828</v>
      </c>
      <c r="AW371" s="68" t="n">
        <f aca="false">AW366+AW367+AW368+AW369+AW370</f>
        <v>-5372876.95951068</v>
      </c>
      <c r="AX371" s="68" t="n">
        <f aca="false">AX366+AX367+AX368+AX369+AX370</f>
        <v>-5487689.98713308</v>
      </c>
      <c r="AY371" s="68" t="n">
        <f aca="false">AY366+AY367+AY368+AY369+AY370</f>
        <v>-5615450.08975548</v>
      </c>
      <c r="AZ371" s="68" t="n">
        <f aca="false">AZ366+AZ367+AZ368+AZ369+AZ370</f>
        <v>-5769003.55487788</v>
      </c>
      <c r="BA371" s="68" t="n">
        <f aca="false">BA366+BA367+BA368+BA369+BA370</f>
        <v>-5926799.38205272</v>
      </c>
      <c r="BB371" s="68" t="n">
        <f aca="false">BB366+BB367+BB368+BB369+BB370</f>
        <v>-6085025.37522757</v>
      </c>
      <c r="BC371" s="68" t="n">
        <f aca="false">BC366+BC367+BC368+BC369+BC370</f>
        <v>-6243681.52340242</v>
      </c>
      <c r="BD371" s="68" t="n">
        <f aca="false">BD366+BD367+BD368+BD369+BD370</f>
        <v>-6402767.83207727</v>
      </c>
      <c r="BE371" s="68" t="n">
        <f aca="false">BE366+BE367+BE368+BE369+BE370</f>
        <v>-6562284.30125212</v>
      </c>
      <c r="BF371" s="68" t="n">
        <f aca="false">BF366+BF367+BF368+BF369+BF370</f>
        <v>-6722230.93092697</v>
      </c>
      <c r="BG371" s="68" t="n">
        <f aca="false">BG366+BG367+BG368+BG369+BG370</f>
        <v>-6882607.72110181</v>
      </c>
      <c r="BH371" s="68" t="n">
        <f aca="false">BH366+BH367+BH368+BH369+BH370</f>
        <v>-7043414.67177666</v>
      </c>
      <c r="BI371" s="68" t="n">
        <f aca="false">BI366+BI367+BI368+BI369+BI370</f>
        <v>-7204651.78295151</v>
      </c>
      <c r="BJ371" s="68" t="n">
        <f aca="false">BJ366+BJ367+BJ368+BJ369+BJ370</f>
        <v>-7366319.05462636</v>
      </c>
      <c r="BK371" s="68" t="n">
        <f aca="false">BK366+BK367+BK368+BK369+BK370</f>
        <v>-7528416.48680121</v>
      </c>
      <c r="BL371" s="68" t="n">
        <f aca="false">BL366+BL367+BL368+BL369+BL370</f>
        <v>-7690944.07397605</v>
      </c>
      <c r="BM371" s="68" t="n">
        <f aca="false">BM366+BM367+BM368+BM369+BM370</f>
        <v>-7834289.7727344</v>
      </c>
      <c r="BN371" s="68" t="n">
        <f aca="false">BN366+BN367+BN368+BN369+BN370</f>
        <v>-7978065.63199274</v>
      </c>
      <c r="BO371" s="68" t="n">
        <f aca="false">BO366+BO367+BO368+BO369+BO370</f>
        <v>-8068445.36175109</v>
      </c>
      <c r="BP371" s="68" t="n">
        <f aca="false">BP366+BP367+BP368+BP369+BP370</f>
        <v>-8271756.08650943</v>
      </c>
      <c r="BQ371" s="68" t="n">
        <f aca="false">BQ366+BQ367+BQ368+BQ369+BQ370</f>
        <v>-8475066.81126778</v>
      </c>
      <c r="BR371" s="68" t="n">
        <f aca="false">BR366+BR367+BR368+BR369+BR370</f>
        <v>-8625127.18602612</v>
      </c>
      <c r="BS371" s="68" t="n">
        <f aca="false">BS366+BS367+BS368+BS369+BS370</f>
        <v>-8828437.91078447</v>
      </c>
      <c r="BT371" s="68" t="n">
        <f aca="false">BT366+BT367+BT368+BT369+BT370</f>
        <v>-9031748.63554281</v>
      </c>
      <c r="BU371" s="68" t="n">
        <f aca="false">BU366+BU367+BU368+BU369+BU370</f>
        <v>-9167297.36030116</v>
      </c>
      <c r="BV371" s="68" t="n">
        <f aca="false">BV366+BV367+BV368+BV369+BV370</f>
        <v>-9370608.08505951</v>
      </c>
      <c r="BW371" s="68" t="n">
        <f aca="false">BW366+BW367+BW368+BW369+BW370</f>
        <v>-9573918.80981785</v>
      </c>
      <c r="BX371" s="68" t="n">
        <f aca="false">BX366+BX367+BX368+BX369+BX370</f>
        <v>-9709467.5345762</v>
      </c>
      <c r="BY371" s="68" t="n">
        <f aca="false">BY366+BY367+BY368+BY369+BY370</f>
        <v>-9916744.47382971</v>
      </c>
      <c r="BZ371" s="68" t="n">
        <f aca="false">BZ366+BZ367+BZ368+BZ369+BZ370</f>
        <v>-10124021.4130832</v>
      </c>
      <c r="CA371" s="68" t="n">
        <f aca="false">CA366+CA367+CA368+CA369+CA370</f>
        <v>-10263536.3523367</v>
      </c>
      <c r="CB371" s="68" t="n">
        <f aca="false">CB366+CB367+CB368+CB369+CB370</f>
        <v>-10470813.2915902</v>
      </c>
      <c r="CC371" s="68" t="n">
        <f aca="false">CC366+CC367+CC368+CC369+CC370</f>
        <v>-10678090.2308438</v>
      </c>
      <c r="CD371" s="68" t="n">
        <f aca="false">CD366+CD367+CD368+CD369+CD370</f>
        <v>-10808868.1700973</v>
      </c>
      <c r="CE371" s="68" t="n">
        <f aca="false">CE366+CE367+CE368+CE369+CE370</f>
        <v>-11016145.1093508</v>
      </c>
      <c r="CF371" s="68" t="n">
        <f aca="false">CF366+CF367+CF368+CF369+CF370</f>
        <v>-11223422.0486043</v>
      </c>
      <c r="CG371" s="68" t="n">
        <f aca="false">CG366+CG367+CG368+CG369+CG370</f>
        <v>-11354199.9878578</v>
      </c>
      <c r="CH371" s="68" t="n">
        <f aca="false">CH366+CH367+CH368+CH369+CH370</f>
        <v>-11561476.9271113</v>
      </c>
      <c r="CI371" s="68" t="n">
        <f aca="false">CI366+CI367+CI368+CI369+CI370</f>
        <v>-11768753.8663648</v>
      </c>
      <c r="CJ371" s="68" t="n">
        <f aca="false">CJ366+CJ367+CJ368+CJ369+CJ370</f>
        <v>-11892923.7790119</v>
      </c>
      <c r="CK371" s="68" t="n">
        <f aca="false">CK366+CK367+CK368+CK369+CK370</f>
        <v>-11946385.2570505</v>
      </c>
      <c r="CL371" s="68" t="n">
        <f aca="false">CL366+CL367+CL368+CL369+CL370</f>
        <v>-11999846.735089</v>
      </c>
      <c r="CM371" s="68" t="n">
        <f aca="false">CM366+CM367+CM368+CM369+CM370</f>
        <v>-12053308.2131276</v>
      </c>
      <c r="CN371" s="68" t="n">
        <f aca="false">CN366+CN367+CN368+CN369+CN370</f>
        <v>-12106769.6911662</v>
      </c>
      <c r="CO371" s="68" t="n">
        <f aca="false">CO366+CO367+CO368+CO369+CO370</f>
        <v>-12160231.1692048</v>
      </c>
      <c r="CP371" s="68" t="n">
        <f aca="false">CP366+CP367+CP368+CP369+CP370</f>
        <v>-12213692.6472434</v>
      </c>
      <c r="CQ371" s="68" t="n">
        <f aca="false">CQ366+CQ367+CQ368+CQ369+CQ370</f>
        <v>-12267154.125282</v>
      </c>
      <c r="CR371" s="68" t="n">
        <f aca="false">CR366+CR367+CR368+CR369+CR370</f>
        <v>-12320615.6033205</v>
      </c>
      <c r="CS371" s="68" t="n">
        <f aca="false">CS366+CS367+CS368+CS369+CS370</f>
        <v>-12374077.0813591</v>
      </c>
      <c r="CT371" s="68" t="n">
        <f aca="false">CT366+CT367+CT368+CT369+CT370</f>
        <v>-12418516.5907164</v>
      </c>
      <c r="CU371" s="68" t="n">
        <f aca="false">CU366+CU367+CU368+CU369+CU370</f>
        <v>-12462956.1000736</v>
      </c>
      <c r="CV371" s="68" t="n">
        <f aca="false">CV366+CV367+CV368+CV369+CV370</f>
        <v>-12507395.6094309</v>
      </c>
      <c r="CW371" s="68" t="n">
        <f aca="false">CW366+CW367+CW368+CW369+CW370</f>
        <v>-12500072.9779117</v>
      </c>
      <c r="CX371" s="68" t="n">
        <f aca="false">CX366+CX367+CX368+CX369+CX370</f>
        <v>-12475303.4974561</v>
      </c>
      <c r="CY371" s="68" t="n">
        <f aca="false">CY366+CY367+CY368+CY369+CY370</f>
        <v>-12450534.0170005</v>
      </c>
      <c r="CZ371" s="68" t="n">
        <f aca="false">CZ366+CZ367+CZ368+CZ369+CZ370</f>
        <v>-12425764.5365449</v>
      </c>
      <c r="DA371" s="68" t="n">
        <f aca="false">DA366+DA367+DA368+DA369+DA370</f>
        <v>-12400995.0560893</v>
      </c>
      <c r="DB371" s="68" t="n">
        <f aca="false">DB366+DB367+DB368+DB369+DB370</f>
        <v>-12376225.5756337</v>
      </c>
      <c r="DC371" s="68" t="n">
        <f aca="false">DC366+DC367+DC368+DC369+DC370</f>
        <v>-12351456.0951781</v>
      </c>
      <c r="DD371" s="68" t="n">
        <f aca="false">DD366+DD367+DD368+DD369+DD370</f>
        <v>-12326686.6147225</v>
      </c>
      <c r="DE371" s="68" t="n">
        <f aca="false">DE366+DE367+DE368+DE369+DE370</f>
        <v>-12301917.1342669</v>
      </c>
    </row>
    <row r="372" customFormat="false" ht="15" hidden="false" customHeight="true" outlineLevel="0" collapsed="false">
      <c r="A372" s="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row>
    <row r="373" customFormat="false" ht="15" hidden="false" customHeight="true" outlineLevel="0" collapsed="false">
      <c r="A373" s="23" t="s">
        <v>196</v>
      </c>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row>
    <row r="374" customFormat="false" ht="15" hidden="false" customHeight="true" outlineLevel="0" collapsed="false">
      <c r="A374" s="22" t="s">
        <v>197</v>
      </c>
      <c r="B374" s="13"/>
      <c r="C374" s="13"/>
      <c r="D374" s="13"/>
      <c r="E374" s="13"/>
      <c r="F374" s="13"/>
      <c r="G374" s="13"/>
      <c r="H374" s="13"/>
      <c r="I374" s="13"/>
      <c r="J374" s="13" t="n">
        <f aca="false">J355+J366</f>
        <v>1945296</v>
      </c>
      <c r="K374" s="13" t="n">
        <f aca="false">K355+K366</f>
        <v>1626283.60557404</v>
      </c>
      <c r="L374" s="13" t="n">
        <f aca="false">L355+L366</f>
        <v>1976456.74750204</v>
      </c>
      <c r="M374" s="13" t="n">
        <f aca="false">M355+M366</f>
        <v>2266472.27886452</v>
      </c>
      <c r="N374" s="13" t="n">
        <f aca="false">N355+N366</f>
        <v>2229655.31378602</v>
      </c>
      <c r="O374" s="13" t="n">
        <f aca="false">O355+O366</f>
        <v>957724.80874267</v>
      </c>
      <c r="P374" s="13" t="n">
        <f aca="false">P355+P366</f>
        <v>988607.003789134</v>
      </c>
      <c r="Q374" s="13" t="n">
        <f aca="false">Q355+Q366</f>
        <v>1054831.89819155</v>
      </c>
      <c r="R374" s="13" t="n">
        <f aca="false">R355+R366</f>
        <v>1068578.8765911</v>
      </c>
      <c r="S374" s="13" t="n">
        <f aca="false">S355+S366</f>
        <v>347156.705978184</v>
      </c>
      <c r="T374" s="13" t="n">
        <f aca="false">T355+T366</f>
        <v>175207.739140788</v>
      </c>
      <c r="U374" s="13" t="n">
        <f aca="false">U355+U366</f>
        <v>15051.0159862521</v>
      </c>
      <c r="V374" s="13" t="n">
        <f aca="false">V355+V366</f>
        <v>41473.3108449746</v>
      </c>
      <c r="W374" s="13" t="n">
        <f aca="false">W355+W366</f>
        <v>405603.539750495</v>
      </c>
      <c r="X374" s="13" t="n">
        <f aca="false">X355+X366</f>
        <v>835358.014556017</v>
      </c>
      <c r="Y374" s="13" t="n">
        <f aca="false">Y355+Y366</f>
        <v>1064880.23751859</v>
      </c>
      <c r="Z374" s="13" t="n">
        <f aca="false">Z355+Z366</f>
        <v>1601964.56229008</v>
      </c>
      <c r="AA374" s="13" t="n">
        <f aca="false">AA355+AA366</f>
        <v>1981661.80129619</v>
      </c>
      <c r="AB374" s="13" t="n">
        <f aca="false">AB355+AB366</f>
        <v>2347678.86674962</v>
      </c>
      <c r="AC374" s="13" t="n">
        <f aca="false">AC355+AC366</f>
        <v>3068727.80763715</v>
      </c>
      <c r="AD374" s="13" t="n">
        <f aca="false">AD355+AD366</f>
        <v>3486008.71472443</v>
      </c>
      <c r="AE374" s="13" t="n">
        <f aca="false">AE355+AE366</f>
        <v>3695322.45364507</v>
      </c>
      <c r="AF374" s="13" t="n">
        <f aca="false">AF355+AF366</f>
        <v>4035009.66866676</v>
      </c>
      <c r="AG374" s="13" t="n">
        <f aca="false">AG355+AG366</f>
        <v>3956184.45828891</v>
      </c>
      <c r="AH374" s="13" t="n">
        <f aca="false">AH355+AH366</f>
        <v>4716228.60169826</v>
      </c>
      <c r="AI374" s="13" t="n">
        <f aca="false">AI355+AI366</f>
        <v>5369262.59098174</v>
      </c>
      <c r="AJ374" s="13" t="n">
        <f aca="false">AJ355+AJ366</f>
        <v>5839594.06311102</v>
      </c>
      <c r="AK374" s="13" t="n">
        <f aca="false">AK355+AK366</f>
        <v>6519502.14801824</v>
      </c>
      <c r="AL374" s="13" t="n">
        <f aca="false">AL355+AL366</f>
        <v>7163870.91730815</v>
      </c>
      <c r="AM374" s="13" t="n">
        <f aca="false">AM355+AM366</f>
        <v>7483295.63056375</v>
      </c>
      <c r="AN374" s="13" t="n">
        <f aca="false">AN355+AN366</f>
        <v>7461950.41977156</v>
      </c>
      <c r="AO374" s="13" t="n">
        <f aca="false">AO355+AO366</f>
        <v>7812751.43474993</v>
      </c>
      <c r="AP374" s="13" t="n">
        <f aca="false">AP355+AP366</f>
        <v>7795394.74692349</v>
      </c>
      <c r="AQ374" s="13" t="n">
        <f aca="false">AQ355+AQ366</f>
        <v>7724297.82159705</v>
      </c>
      <c r="AR374" s="13" t="n">
        <f aca="false">AR355+AR366</f>
        <v>7645594.40130523</v>
      </c>
      <c r="AS374" s="13" t="n">
        <f aca="false">AS355+AS366</f>
        <v>7572694.7326288</v>
      </c>
      <c r="AT374" s="13" t="n">
        <f aca="false">AT355+AT366</f>
        <v>7481212.40008697</v>
      </c>
      <c r="AU374" s="13" t="n">
        <f aca="false">AU355+AU366</f>
        <v>7645650.73324636</v>
      </c>
      <c r="AV374" s="13" t="n">
        <f aca="false">AV355+AV366</f>
        <v>7962900.91170698</v>
      </c>
      <c r="AW374" s="13" t="n">
        <f aca="false">AW355+AW366</f>
        <v>7836030.76341197</v>
      </c>
      <c r="AX374" s="13" t="n">
        <f aca="false">AX355+AX366</f>
        <v>7426210.35051521</v>
      </c>
      <c r="AY374" s="13" t="n">
        <f aca="false">AY355+AY366</f>
        <v>7057267.93911845</v>
      </c>
      <c r="AZ374" s="13" t="n">
        <f aca="false">AZ355+AZ366</f>
        <v>6675378.45272169</v>
      </c>
      <c r="BA374" s="13" t="n">
        <f aca="false">BA355+BA366</f>
        <v>6267695.60382493</v>
      </c>
      <c r="BB374" s="13" t="n">
        <f aca="false">BB355+BB366</f>
        <v>5847692.27202374</v>
      </c>
      <c r="BC374" s="13" t="n">
        <f aca="false">BC355+BC366</f>
        <v>5427258.77422254</v>
      </c>
      <c r="BD374" s="13" t="n">
        <f aca="false">BD355+BD366</f>
        <v>5006395.12142134</v>
      </c>
      <c r="BE374" s="13" t="n">
        <f aca="false">BE355+BE366</f>
        <v>4585101.30812014</v>
      </c>
      <c r="BF374" s="13" t="n">
        <f aca="false">BF355+BF366</f>
        <v>4163377.33431895</v>
      </c>
      <c r="BG374" s="13" t="n">
        <f aca="false">BG355+BG366</f>
        <v>3741223.20001775</v>
      </c>
      <c r="BH374" s="13" t="n">
        <f aca="false">BH355+BH366</f>
        <v>3318638.90521655</v>
      </c>
      <c r="BI374" s="13" t="n">
        <f aca="false">BI355+BI366</f>
        <v>3132113.91121818</v>
      </c>
      <c r="BJ374" s="13" t="n">
        <f aca="false">BJ355+BJ366</f>
        <v>2965488.55251601</v>
      </c>
      <c r="BK374" s="13" t="n">
        <f aca="false">BK355+BK366</f>
        <v>2391837.11738969</v>
      </c>
      <c r="BL374" s="13" t="n">
        <f aca="false">BL355+BL366</f>
        <v>1817755.52176337</v>
      </c>
      <c r="BM374" s="13" t="n">
        <f aca="false">BM355+BM366</f>
        <v>1243243.77113705</v>
      </c>
      <c r="BN374" s="13" t="n">
        <f aca="false">BN355+BN366</f>
        <v>679674.225658206</v>
      </c>
      <c r="BO374" s="13" t="n">
        <f aca="false">BO355+BO366</f>
        <v>115674.519679362</v>
      </c>
      <c r="BP374" s="13" t="n">
        <f aca="false">BP355+BP366</f>
        <v>-394929.056799482</v>
      </c>
      <c r="BQ374" s="13" t="n">
        <f aca="false">BQ355+BQ366</f>
        <v>-1018463.62827833</v>
      </c>
      <c r="BR374" s="13" t="n">
        <f aca="false">BR355+BR366</f>
        <v>-1641998.19975717</v>
      </c>
      <c r="BS374" s="13" t="n">
        <f aca="false">BS355+BS366</f>
        <v>-2212282.42123601</v>
      </c>
      <c r="BT374" s="13" t="n">
        <f aca="false">BT355+BT366</f>
        <v>-2835816.99271486</v>
      </c>
      <c r="BU374" s="13" t="n">
        <f aca="false">BU355+BU366</f>
        <v>-3459351.5641937</v>
      </c>
      <c r="BV374" s="13" t="n">
        <f aca="false">BV355+BV366</f>
        <v>-4015124.13567255</v>
      </c>
      <c r="BW374" s="13" t="n">
        <f aca="false">BW355+BW366</f>
        <v>-4638658.70715139</v>
      </c>
      <c r="BX374" s="13" t="n">
        <f aca="false">BX355+BX366</f>
        <v>-5262193.27863024</v>
      </c>
      <c r="BY374" s="13" t="n">
        <f aca="false">BY355+BY366</f>
        <v>-5817965.85010908</v>
      </c>
      <c r="BZ374" s="13" t="n">
        <f aca="false">BZ355+BZ366</f>
        <v>-6453871.1130175</v>
      </c>
      <c r="CA374" s="13" t="n">
        <f aca="false">CA355+CA366</f>
        <v>-7089776.37592593</v>
      </c>
      <c r="CB374" s="13" t="n">
        <f aca="false">CB355+CB366</f>
        <v>-7657919.63883435</v>
      </c>
      <c r="CC374" s="13" t="n">
        <f aca="false">CC355+CC366</f>
        <v>-8293824.90174277</v>
      </c>
      <c r="CD374" s="13" t="n">
        <f aca="false">CD355+CD366</f>
        <v>-8929730.16465119</v>
      </c>
      <c r="CE374" s="13" t="n">
        <f aca="false">CE355+CE366</f>
        <v>-9489136.42755961</v>
      </c>
      <c r="CF374" s="13" t="n">
        <f aca="false">CF355+CF366</f>
        <v>-10125041.690468</v>
      </c>
      <c r="CG374" s="13" t="n">
        <f aca="false">CG355+CG366</f>
        <v>-10760946.9533765</v>
      </c>
      <c r="CH374" s="13" t="n">
        <f aca="false">CH355+CH366</f>
        <v>-11320353.2162849</v>
      </c>
      <c r="CI374" s="13" t="n">
        <f aca="false">CI355+CI366</f>
        <v>-11956258.4791933</v>
      </c>
      <c r="CJ374" s="13" t="n">
        <f aca="false">CJ355+CJ366</f>
        <v>-12592163.7421017</v>
      </c>
      <c r="CK374" s="13" t="n">
        <f aca="false">CK355+CK366</f>
        <v>-13144961.9784037</v>
      </c>
      <c r="CL374" s="13" t="n">
        <f aca="false">CL355+CL366</f>
        <v>-13635624.3465703</v>
      </c>
      <c r="CM374" s="13" t="n">
        <f aca="false">CM355+CM366</f>
        <v>-14126286.7147368</v>
      </c>
      <c r="CN374" s="13" t="n">
        <f aca="false">CN355+CN366</f>
        <v>-14616949.0829034</v>
      </c>
      <c r="CO374" s="13" t="n">
        <f aca="false">CO355+CO366</f>
        <v>-15107611.45107</v>
      </c>
      <c r="CP374" s="13" t="n">
        <f aca="false">CP355+CP366</f>
        <v>-15598273.8192366</v>
      </c>
      <c r="CQ374" s="13" t="n">
        <f aca="false">CQ355+CQ366</f>
        <v>-16088936.1874032</v>
      </c>
      <c r="CR374" s="13" t="n">
        <f aca="false">CR355+CR366</f>
        <v>-16579598.5555698</v>
      </c>
      <c r="CS374" s="13" t="n">
        <f aca="false">CS355+CS366</f>
        <v>-17070260.9237364</v>
      </c>
      <c r="CT374" s="13" t="n">
        <f aca="false">CT355+CT366</f>
        <v>-17560923.291903</v>
      </c>
      <c r="CU374" s="13" t="n">
        <f aca="false">CU355+CU366</f>
        <v>-17990783.5317768</v>
      </c>
      <c r="CV374" s="13" t="n">
        <f aca="false">CV355+CV366</f>
        <v>-18420643.7716506</v>
      </c>
      <c r="CW374" s="13" t="n">
        <f aca="false">CW355+CW366</f>
        <v>-18850504.0115244</v>
      </c>
      <c r="CX374" s="13" t="n">
        <f aca="false">CX355+CX366</f>
        <v>-19236310.5251321</v>
      </c>
      <c r="CY374" s="13" t="n">
        <f aca="false">CY355+CY366</f>
        <v>-19604670.1898034</v>
      </c>
      <c r="CZ374" s="13" t="n">
        <f aca="false">CZ355+CZ366</f>
        <v>-19973029.8544747</v>
      </c>
      <c r="DA374" s="13" t="n">
        <f aca="false">DA355+DA366</f>
        <v>-20341389.519146</v>
      </c>
      <c r="DB374" s="13" t="n">
        <f aca="false">DB355+DB366</f>
        <v>-20709749.1838173</v>
      </c>
      <c r="DC374" s="13" t="n">
        <f aca="false">DC355+DC366</f>
        <v>-21078108.8484885</v>
      </c>
      <c r="DD374" s="13" t="n">
        <f aca="false">DD355+DD366</f>
        <v>-21446468.5131598</v>
      </c>
      <c r="DE374" s="13" t="n">
        <f aca="false">DE355+DE366</f>
        <v>-21814828.1778311</v>
      </c>
    </row>
    <row r="375" customFormat="false" ht="15" hidden="false" customHeight="true" outlineLevel="0" collapsed="false">
      <c r="A375" s="22" t="s">
        <v>198</v>
      </c>
      <c r="B375" s="13"/>
      <c r="C375" s="13"/>
      <c r="D375" s="13"/>
      <c r="E375" s="13"/>
      <c r="F375" s="13"/>
      <c r="G375" s="13"/>
      <c r="H375" s="13"/>
      <c r="I375" s="13"/>
      <c r="J375" s="13" t="n">
        <v>0</v>
      </c>
      <c r="K375" s="13" t="n">
        <v>0</v>
      </c>
      <c r="L375" s="13" t="n">
        <v>0</v>
      </c>
      <c r="M375" s="13" t="n">
        <v>0</v>
      </c>
      <c r="N375" s="13" t="n">
        <v>0</v>
      </c>
      <c r="O375" s="13" t="n">
        <v>0</v>
      </c>
      <c r="P375" s="13" t="n">
        <f aca="false">IF((B302+C302+D302+E302+F302+G302+H302+I302+J302+K302+L302+M302)&gt;0,-(B302+C302+D302+E302+F302+G302+H302+I302+J302+K302+L302+M302)*0.503,0)</f>
        <v>-206038.210732122</v>
      </c>
      <c r="Q375" s="13" t="n">
        <v>0</v>
      </c>
      <c r="R375" s="13" t="n">
        <v>0</v>
      </c>
      <c r="S375" s="13" t="n">
        <v>0</v>
      </c>
      <c r="T375" s="13" t="n">
        <v>0</v>
      </c>
      <c r="U375" s="13" t="n">
        <v>0</v>
      </c>
      <c r="V375" s="13" t="n">
        <v>0</v>
      </c>
      <c r="W375" s="13" t="n">
        <v>0</v>
      </c>
      <c r="X375" s="13" t="n">
        <v>0</v>
      </c>
      <c r="Y375" s="13" t="n">
        <v>0</v>
      </c>
      <c r="Z375" s="13" t="n">
        <v>0</v>
      </c>
      <c r="AA375" s="13" t="n">
        <v>0</v>
      </c>
      <c r="AB375" s="13" t="n">
        <f aca="false">IF((N302+O302+P302+Q302+R302+S302+T302+U302+V302+W302+X302+Y302)&gt;0,-(N302+O302+P302+Q302+R302+S302+T302+U302+V302+W302+X302+Y302)*0.503,0)</f>
        <v>-1419271.45981913</v>
      </c>
      <c r="AC375" s="13" t="n">
        <v>0</v>
      </c>
      <c r="AD375" s="13" t="n">
        <v>0</v>
      </c>
      <c r="AE375" s="13" t="n">
        <v>0</v>
      </c>
      <c r="AF375" s="13" t="n">
        <v>0</v>
      </c>
      <c r="AG375" s="13" t="n">
        <v>0</v>
      </c>
      <c r="AH375" s="13" t="n">
        <v>0</v>
      </c>
      <c r="AI375" s="13" t="n">
        <v>0</v>
      </c>
      <c r="AJ375" s="13" t="n">
        <v>0</v>
      </c>
      <c r="AK375" s="13" t="n">
        <v>0</v>
      </c>
      <c r="AL375" s="13" t="n">
        <v>0</v>
      </c>
      <c r="AM375" s="13" t="n">
        <v>0</v>
      </c>
      <c r="AN375" s="13" t="n">
        <f aca="false">IF((Z302+AA302+AB302+AC302+AD302+AE302+AF302+AG302+AH302+AI302+AJ302+AK302)&gt;0,-(Z302+AA302+AB302+AC302+AD302+AE302+AF302+AG302+AH302+AI302+AJ302+AK302)*0.503,0)</f>
        <v>-3061595.77565932</v>
      </c>
      <c r="AO375" s="13" t="n">
        <v>0</v>
      </c>
      <c r="AP375" s="13" t="n">
        <v>0</v>
      </c>
      <c r="AQ375" s="13" t="n">
        <v>0</v>
      </c>
      <c r="AR375" s="13" t="n">
        <v>0</v>
      </c>
      <c r="AS375" s="13" t="n">
        <v>0</v>
      </c>
      <c r="AT375" s="13" t="n">
        <v>0</v>
      </c>
      <c r="AU375" s="13" t="n">
        <v>0</v>
      </c>
      <c r="AV375" s="13" t="n">
        <v>0</v>
      </c>
      <c r="AW375" s="13" t="n">
        <v>0</v>
      </c>
      <c r="AX375" s="13" t="n">
        <v>0</v>
      </c>
      <c r="AY375" s="13" t="n">
        <v>0</v>
      </c>
      <c r="AZ375" s="13" t="n">
        <f aca="false">IF((AL302+AM302+AN302+AO302+AP302+AQ302+AR302+AS302+AT302+AU302+AV302+AW302)&gt;0,-(AL302+AM302+AN302+AO302+AP302+AQ302+AR302+AS302+AT302+AU302+AV302+AW302)*0.503,0)</f>
        <v>0</v>
      </c>
      <c r="BA375" s="13" t="n">
        <v>0</v>
      </c>
      <c r="BB375" s="13" t="n">
        <v>0</v>
      </c>
      <c r="BC375" s="13" t="n">
        <v>0</v>
      </c>
      <c r="BD375" s="13" t="n">
        <v>0</v>
      </c>
      <c r="BE375" s="13" t="n">
        <v>0</v>
      </c>
      <c r="BF375" s="13" t="n">
        <v>0</v>
      </c>
      <c r="BG375" s="13" t="n">
        <v>0</v>
      </c>
      <c r="BH375" s="13" t="n">
        <v>0</v>
      </c>
      <c r="BI375" s="13" t="n">
        <v>0</v>
      </c>
      <c r="BJ375" s="13" t="n">
        <v>0</v>
      </c>
      <c r="BK375" s="13" t="n">
        <v>0</v>
      </c>
      <c r="BL375" s="13" t="n">
        <f aca="false">IF((AX302+AY302+AZ302+BA302+BB302+BC302+BD302+BE302+BF302+BG302+BH302+BI302)&gt;0,-(AX302+AY302+AZ302+BA302+BB302+BC302+BD302+BE302+BF302+BG302+BH302+BI302)*0.503,0)</f>
        <v>0</v>
      </c>
      <c r="BM375" s="13" t="n">
        <v>0</v>
      </c>
      <c r="BN375" s="13" t="n">
        <v>0</v>
      </c>
      <c r="BO375" s="13" t="n">
        <v>0</v>
      </c>
      <c r="BP375" s="13" t="n">
        <v>0</v>
      </c>
      <c r="BQ375" s="13" t="n">
        <v>0</v>
      </c>
      <c r="BR375" s="13" t="n">
        <v>0</v>
      </c>
      <c r="BS375" s="13" t="n">
        <v>0</v>
      </c>
      <c r="BT375" s="13" t="n">
        <v>0</v>
      </c>
      <c r="BU375" s="13" t="n">
        <v>0</v>
      </c>
      <c r="BV375" s="13" t="n">
        <v>0</v>
      </c>
      <c r="BW375" s="13" t="n">
        <v>0</v>
      </c>
      <c r="BX375" s="13" t="n">
        <f aca="false">IF((BJ302+BK302+BL302+BM302+BN302+BO302+BP302+BQ302+BR302+BS302+BT302+BU302)&gt;0,-(BJ302+BK302+BL302+BM302+BN302+BO302+BP302+BQ302+BR302+BS302+BT302+BU302)*0.503,0)</f>
        <v>0</v>
      </c>
      <c r="BY375" s="13" t="n">
        <v>0</v>
      </c>
      <c r="BZ375" s="13" t="n">
        <v>0</v>
      </c>
      <c r="CA375" s="13" t="n">
        <v>0</v>
      </c>
      <c r="CB375" s="13" t="n">
        <v>0</v>
      </c>
      <c r="CC375" s="13" t="n">
        <v>0</v>
      </c>
      <c r="CD375" s="13" t="n">
        <v>0</v>
      </c>
      <c r="CE375" s="13" t="n">
        <v>0</v>
      </c>
      <c r="CF375" s="13" t="n">
        <v>0</v>
      </c>
      <c r="CG375" s="13" t="n">
        <v>0</v>
      </c>
      <c r="CH375" s="13" t="n">
        <v>0</v>
      </c>
      <c r="CI375" s="13" t="n">
        <v>0</v>
      </c>
      <c r="CJ375" s="13" t="n">
        <f aca="false">IF((BV302+BW302+BX302+BY302+BZ302+CA302+CB302+CC302+CD302+CE302+CF302+CG302)&gt;0,-(BV302+BW302+BX302+BY302+BZ302+CA302+CB302+CC302+CD302+CE302+CF302+CG302)*0.503,0)</f>
        <v>0</v>
      </c>
      <c r="CK375" s="13" t="n">
        <v>0</v>
      </c>
      <c r="CL375" s="13" t="n">
        <v>0</v>
      </c>
      <c r="CM375" s="13" t="n">
        <v>0</v>
      </c>
      <c r="CN375" s="13" t="n">
        <v>0</v>
      </c>
      <c r="CO375" s="13" t="n">
        <v>0</v>
      </c>
      <c r="CP375" s="13" t="n">
        <v>0</v>
      </c>
      <c r="CQ375" s="13" t="n">
        <v>0</v>
      </c>
      <c r="CR375" s="13" t="n">
        <v>0</v>
      </c>
      <c r="CS375" s="13" t="n">
        <v>0</v>
      </c>
      <c r="CT375" s="13" t="n">
        <v>0</v>
      </c>
      <c r="CU375" s="13" t="n">
        <v>0</v>
      </c>
      <c r="CV375" s="13" t="n">
        <v>0</v>
      </c>
      <c r="CW375" s="13" t="n">
        <v>0</v>
      </c>
      <c r="CX375" s="13" t="n">
        <v>0</v>
      </c>
      <c r="CY375" s="13" t="n">
        <v>0</v>
      </c>
      <c r="CZ375" s="13" t="n">
        <v>0</v>
      </c>
      <c r="DA375" s="13" t="n">
        <v>0</v>
      </c>
      <c r="DB375" s="13" t="n">
        <v>0</v>
      </c>
      <c r="DC375" s="13" t="n">
        <v>0</v>
      </c>
      <c r="DD375" s="13" t="n">
        <v>0</v>
      </c>
      <c r="DE375" s="13" t="n">
        <v>0</v>
      </c>
    </row>
    <row r="376" customFormat="false" ht="15" hidden="false" customHeight="true" outlineLevel="0" collapsed="false">
      <c r="A376" s="67" t="s">
        <v>199</v>
      </c>
      <c r="B376" s="68"/>
      <c r="C376" s="68"/>
      <c r="D376" s="68"/>
      <c r="E376" s="68"/>
      <c r="F376" s="68"/>
      <c r="G376" s="68"/>
      <c r="H376" s="68"/>
      <c r="I376" s="68"/>
      <c r="J376" s="68" t="n">
        <f aca="false">J363+J371+J375</f>
        <v>1626283.60557404</v>
      </c>
      <c r="K376" s="68" t="n">
        <f aca="false">K363+K371+K375</f>
        <v>1976456.74750204</v>
      </c>
      <c r="L376" s="68" t="n">
        <f aca="false">L363+L371+L375</f>
        <v>2266472.27886452</v>
      </c>
      <c r="M376" s="68" t="n">
        <f aca="false">M363+M371+M375</f>
        <v>2229655.31378602</v>
      </c>
      <c r="N376" s="68" t="n">
        <f aca="false">N363+N371+N375</f>
        <v>957724.80874267</v>
      </c>
      <c r="O376" s="68" t="n">
        <f aca="false">O363+O371+O375</f>
        <v>988607.003789134</v>
      </c>
      <c r="P376" s="68" t="n">
        <f aca="false">P363+P371+P375</f>
        <v>848793.687459426</v>
      </c>
      <c r="Q376" s="68" t="n">
        <f aca="false">Q363+Q371+Q375</f>
        <v>1068578.8765911</v>
      </c>
      <c r="R376" s="68" t="n">
        <f aca="false">R363+R371+R375</f>
        <v>347156.705978184</v>
      </c>
      <c r="S376" s="68" t="n">
        <f aca="false">S363+S371+S375</f>
        <v>175207.739140788</v>
      </c>
      <c r="T376" s="68" t="n">
        <f aca="false">T363+T371+T375</f>
        <v>15051.0159862521</v>
      </c>
      <c r="U376" s="68" t="n">
        <f aca="false">U363+U371+U375</f>
        <v>41473.3108449746</v>
      </c>
      <c r="V376" s="68" t="n">
        <f aca="false">V363+V371+V375</f>
        <v>405603.539750495</v>
      </c>
      <c r="W376" s="68" t="n">
        <f aca="false">W363+W371+W375</f>
        <v>835358.014556017</v>
      </c>
      <c r="X376" s="68" t="n">
        <f aca="false">X363+X371+X375</f>
        <v>1064880.23751859</v>
      </c>
      <c r="Y376" s="68" t="n">
        <f aca="false">Y363+Y371+Y375</f>
        <v>1601964.56229008</v>
      </c>
      <c r="Z376" s="68" t="n">
        <f aca="false">Z363+Z371+Z375</f>
        <v>1981661.80129619</v>
      </c>
      <c r="AA376" s="68" t="n">
        <f aca="false">AA363+AA371+AA375</f>
        <v>2347678.86674962</v>
      </c>
      <c r="AB376" s="68" t="n">
        <f aca="false">AB363+AB371+AB375</f>
        <v>1649456.34781803</v>
      </c>
      <c r="AC376" s="68" t="n">
        <f aca="false">AC363+AC371+AC375</f>
        <v>3486008.71472443</v>
      </c>
      <c r="AD376" s="68" t="n">
        <f aca="false">AD363+AD371+AD375</f>
        <v>3695322.45364507</v>
      </c>
      <c r="AE376" s="68" t="n">
        <f aca="false">AE363+AE371+AE375</f>
        <v>4035009.66866676</v>
      </c>
      <c r="AF376" s="68" t="n">
        <f aca="false">AF363+AF371+AF375</f>
        <v>3956184.45828891</v>
      </c>
      <c r="AG376" s="68" t="n">
        <f aca="false">AG363+AG371+AG375</f>
        <v>4716228.60169826</v>
      </c>
      <c r="AH376" s="68" t="n">
        <f aca="false">AH363+AH371+AH375</f>
        <v>5369262.59098174</v>
      </c>
      <c r="AI376" s="68" t="n">
        <f aca="false">AI363+AI371+AI375</f>
        <v>5839594.06311102</v>
      </c>
      <c r="AJ376" s="68" t="n">
        <f aca="false">AJ363+AJ371+AJ375</f>
        <v>6519502.14801824</v>
      </c>
      <c r="AK376" s="68" t="n">
        <f aca="false">AK363+AK371+AK375</f>
        <v>7163870.91730815</v>
      </c>
      <c r="AL376" s="68" t="n">
        <f aca="false">AL363+AL371+AL375</f>
        <v>7483295.63056375</v>
      </c>
      <c r="AM376" s="68" t="n">
        <f aca="false">AM363+AM371+AM375</f>
        <v>7461950.41977156</v>
      </c>
      <c r="AN376" s="68" t="n">
        <f aca="false">AN363+AN371+AN375</f>
        <v>4751155.6590906</v>
      </c>
      <c r="AO376" s="68" t="n">
        <f aca="false">AO363+AO371+AO375</f>
        <v>7795394.74692349</v>
      </c>
      <c r="AP376" s="68" t="n">
        <f aca="false">AP363+AP371+AP375</f>
        <v>7724297.82159705</v>
      </c>
      <c r="AQ376" s="68" t="n">
        <f aca="false">AQ363+AQ371+AQ375</f>
        <v>7645594.40130523</v>
      </c>
      <c r="AR376" s="68" t="n">
        <f aca="false">AR363+AR371+AR375</f>
        <v>7572694.7326288</v>
      </c>
      <c r="AS376" s="68" t="n">
        <f aca="false">AS363+AS371+AS375</f>
        <v>7481212.40008697</v>
      </c>
      <c r="AT376" s="68" t="n">
        <f aca="false">AT363+AT371+AT375</f>
        <v>7645650.73324636</v>
      </c>
      <c r="AU376" s="68" t="n">
        <f aca="false">AU363+AU371+AU375</f>
        <v>7962900.91170698</v>
      </c>
      <c r="AV376" s="68" t="n">
        <f aca="false">AV363+AV371+AV375</f>
        <v>7836030.76341197</v>
      </c>
      <c r="AW376" s="68" t="n">
        <f aca="false">AW363+AW371+AW375</f>
        <v>7426210.35051521</v>
      </c>
      <c r="AX376" s="68" t="n">
        <f aca="false">AX363+AX371+AX375</f>
        <v>7057267.93911845</v>
      </c>
      <c r="AY376" s="68" t="n">
        <f aca="false">AY363+AY371+AY375</f>
        <v>6675378.45272169</v>
      </c>
      <c r="AZ376" s="68" t="n">
        <f aca="false">AZ363+AZ371+AZ375</f>
        <v>6267695.60382493</v>
      </c>
      <c r="BA376" s="68" t="n">
        <f aca="false">BA363+BA371+BA375</f>
        <v>5847692.27202374</v>
      </c>
      <c r="BB376" s="68" t="n">
        <f aca="false">BB363+BB371+BB375</f>
        <v>5427258.77422254</v>
      </c>
      <c r="BC376" s="68" t="n">
        <f aca="false">BC363+BC371+BC375</f>
        <v>5006395.12142134</v>
      </c>
      <c r="BD376" s="68" t="n">
        <f aca="false">BD363+BD371+BD375</f>
        <v>4585101.30812014</v>
      </c>
      <c r="BE376" s="68" t="n">
        <f aca="false">BE363+BE371+BE375</f>
        <v>4163377.33431895</v>
      </c>
      <c r="BF376" s="68" t="n">
        <f aca="false">BF363+BF371+BF375</f>
        <v>3741223.20001775</v>
      </c>
      <c r="BG376" s="68" t="n">
        <f aca="false">BG363+BG371+BG375</f>
        <v>3318638.90521655</v>
      </c>
      <c r="BH376" s="68" t="n">
        <f aca="false">BH363+BH371+BH375</f>
        <v>3132113.91121818</v>
      </c>
      <c r="BI376" s="68" t="n">
        <f aca="false">BI363+BI371+BI375</f>
        <v>2965488.55251601</v>
      </c>
      <c r="BJ376" s="68" t="n">
        <f aca="false">BJ363+BJ371+BJ375</f>
        <v>2391837.11738969</v>
      </c>
      <c r="BK376" s="68" t="n">
        <f aca="false">BK363+BK371+BK375</f>
        <v>1817755.52176337</v>
      </c>
      <c r="BL376" s="68" t="n">
        <f aca="false">BL363+BL371+BL375</f>
        <v>1243243.77113705</v>
      </c>
      <c r="BM376" s="68" t="n">
        <f aca="false">BM363+BM371+BM375</f>
        <v>679674.225658206</v>
      </c>
      <c r="BN376" s="68" t="n">
        <f aca="false">BN363+BN371+BN375</f>
        <v>115674.519679362</v>
      </c>
      <c r="BO376" s="68" t="n">
        <f aca="false">BO363+BO371+BO375</f>
        <v>-394929.056799482</v>
      </c>
      <c r="BP376" s="68" t="n">
        <f aca="false">BP363+BP371+BP375</f>
        <v>-1018463.62827833</v>
      </c>
      <c r="BQ376" s="68" t="n">
        <f aca="false">BQ363+BQ371+BQ375</f>
        <v>-1641998.19975717</v>
      </c>
      <c r="BR376" s="68" t="n">
        <f aca="false">BR363+BR371+BR375</f>
        <v>-2212282.42123601</v>
      </c>
      <c r="BS376" s="68" t="n">
        <f aca="false">BS363+BS371+BS375</f>
        <v>-2835816.99271486</v>
      </c>
      <c r="BT376" s="68" t="n">
        <f aca="false">BT363+BT371+BT375</f>
        <v>-3459351.5641937</v>
      </c>
      <c r="BU376" s="68" t="n">
        <f aca="false">BU363+BU371+BU375</f>
        <v>-4015124.13567255</v>
      </c>
      <c r="BV376" s="68" t="n">
        <f aca="false">BV363+BV371+BV375</f>
        <v>-4638658.70715139</v>
      </c>
      <c r="BW376" s="68" t="n">
        <f aca="false">BW363+BW371+BW375</f>
        <v>-5262193.27863024</v>
      </c>
      <c r="BX376" s="68" t="n">
        <f aca="false">BX363+BX371+BX375</f>
        <v>-5817965.85010908</v>
      </c>
      <c r="BY376" s="68" t="n">
        <f aca="false">BY363+BY371+BY375</f>
        <v>-6453871.1130175</v>
      </c>
      <c r="BZ376" s="68" t="n">
        <f aca="false">BZ363+BZ371+BZ375</f>
        <v>-7089776.37592593</v>
      </c>
      <c r="CA376" s="68" t="n">
        <f aca="false">CA363+CA371+CA375</f>
        <v>-7657919.63883435</v>
      </c>
      <c r="CB376" s="68" t="n">
        <f aca="false">CB363+CB371+CB375</f>
        <v>-8293824.90174277</v>
      </c>
      <c r="CC376" s="68" t="n">
        <f aca="false">CC363+CC371+CC375</f>
        <v>-8929730.16465119</v>
      </c>
      <c r="CD376" s="68" t="n">
        <f aca="false">CD363+CD371+CD375</f>
        <v>-9489136.42755961</v>
      </c>
      <c r="CE376" s="68" t="n">
        <f aca="false">CE363+CE371+CE375</f>
        <v>-10125041.690468</v>
      </c>
      <c r="CF376" s="68" t="n">
        <f aca="false">CF363+CF371+CF375</f>
        <v>-10760946.9533765</v>
      </c>
      <c r="CG376" s="68" t="n">
        <f aca="false">CG363+CG371+CG375</f>
        <v>-11320353.2162849</v>
      </c>
      <c r="CH376" s="68" t="n">
        <f aca="false">CH363+CH371+CH375</f>
        <v>-11956258.4791933</v>
      </c>
      <c r="CI376" s="68" t="n">
        <f aca="false">CI363+CI371+CI375</f>
        <v>-12592163.7421017</v>
      </c>
      <c r="CJ376" s="68" t="n">
        <f aca="false">CJ363+CJ371+CJ375</f>
        <v>-13144961.9784037</v>
      </c>
      <c r="CK376" s="68" t="n">
        <f aca="false">CK363+CK371+CK375</f>
        <v>-13635624.3465703</v>
      </c>
      <c r="CL376" s="68" t="n">
        <f aca="false">CL363+CL371+CL375</f>
        <v>-14126286.7147368</v>
      </c>
      <c r="CM376" s="68" t="n">
        <f aca="false">CM363+CM371+CM375</f>
        <v>-14616949.0829034</v>
      </c>
      <c r="CN376" s="68" t="n">
        <f aca="false">CN363+CN371+CN375</f>
        <v>-15107611.45107</v>
      </c>
      <c r="CO376" s="68" t="n">
        <f aca="false">CO363+CO371+CO375</f>
        <v>-15598273.8192366</v>
      </c>
      <c r="CP376" s="68" t="n">
        <f aca="false">CP363+CP371+CP375</f>
        <v>-16088936.1874032</v>
      </c>
      <c r="CQ376" s="68" t="n">
        <f aca="false">CQ363+CQ371+CQ375</f>
        <v>-16579598.5555698</v>
      </c>
      <c r="CR376" s="68" t="n">
        <f aca="false">CR363+CR371+CR375</f>
        <v>-17070260.9237364</v>
      </c>
      <c r="CS376" s="68" t="n">
        <f aca="false">CS363+CS371+CS375</f>
        <v>-17560923.291903</v>
      </c>
      <c r="CT376" s="68" t="n">
        <f aca="false">CT363+CT371+CT375</f>
        <v>-17990783.5317768</v>
      </c>
      <c r="CU376" s="68" t="n">
        <f aca="false">CU363+CU371+CU375</f>
        <v>-18420643.7716506</v>
      </c>
      <c r="CV376" s="68" t="n">
        <f aca="false">CV363+CV371+CV375</f>
        <v>-18850504.0115244</v>
      </c>
      <c r="CW376" s="68" t="n">
        <f aca="false">CW363+CW371+CW375</f>
        <v>-19236310.5251321</v>
      </c>
      <c r="CX376" s="68" t="n">
        <f aca="false">CX363+CX371+CX375</f>
        <v>-19604670.1898034</v>
      </c>
      <c r="CY376" s="68" t="n">
        <f aca="false">CY363+CY371+CY375</f>
        <v>-19973029.8544747</v>
      </c>
      <c r="CZ376" s="68" t="n">
        <f aca="false">CZ363+CZ371+CZ375</f>
        <v>-20341389.519146</v>
      </c>
      <c r="DA376" s="68" t="n">
        <f aca="false">DA363+DA371+DA375</f>
        <v>-20709749.1838173</v>
      </c>
      <c r="DB376" s="68" t="n">
        <f aca="false">DB363+DB371+DB375</f>
        <v>-21078108.8484885</v>
      </c>
      <c r="DC376" s="68" t="n">
        <f aca="false">DC363+DC371+DC375</f>
        <v>-21446468.5131598</v>
      </c>
      <c r="DD376" s="68" t="n">
        <f aca="false">DD363+DD371+DD375</f>
        <v>-21814828.1778311</v>
      </c>
      <c r="DE376" s="68" t="n">
        <f aca="false">DE363+DE371+DE375</f>
        <v>-22183187.8425024</v>
      </c>
    </row>
    <row r="377" customFormat="false" ht="15" hidden="false" customHeight="true" outlineLevel="0" collapsed="false">
      <c r="A377" s="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row>
    <row r="378" customFormat="false" ht="15" hidden="false" customHeight="true" outlineLevel="0" collapsed="false">
      <c r="A378" s="2" t="s">
        <v>200</v>
      </c>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row>
    <row r="379" customFormat="false" ht="15" hidden="false" customHeight="true" outlineLevel="0" collapsed="false">
      <c r="A379" s="69" t="s">
        <v>201</v>
      </c>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70" t="s">
        <v>202</v>
      </c>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row>
    <row r="381" customFormat="false" ht="15" hidden="false" customHeight="true" outlineLevel="0" collapsed="false">
      <c r="A381" s="70" t="s">
        <v>203</v>
      </c>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row>
    <row r="382" customFormat="false" ht="15" hidden="false" customHeight="true" outlineLevel="0" collapsed="false">
      <c r="A382" s="70" t="s">
        <v>204</v>
      </c>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c r="AV383" s="71"/>
      <c r="AW383" s="71"/>
      <c r="AX383" s="71"/>
      <c r="AY383" s="71"/>
      <c r="AZ383" s="71"/>
      <c r="BA383" s="71"/>
      <c r="BB383" s="71"/>
      <c r="BC383" s="71"/>
      <c r="BD383" s="71"/>
      <c r="BE383" s="71"/>
      <c r="BF383" s="71"/>
      <c r="BG383" s="71"/>
      <c r="BH383" s="71"/>
      <c r="BI383" s="71"/>
      <c r="BJ383" s="71"/>
      <c r="BK383" s="71"/>
      <c r="BL383" s="71"/>
      <c r="BM383" s="71"/>
      <c r="BN383" s="71"/>
      <c r="BO383" s="71"/>
      <c r="BP383" s="71"/>
      <c r="BQ383" s="71"/>
      <c r="BR383" s="71"/>
      <c r="BS383" s="71"/>
      <c r="BT383" s="71"/>
      <c r="BU383" s="71"/>
      <c r="BV383" s="71"/>
      <c r="BW383" s="71"/>
      <c r="BX383" s="71"/>
      <c r="BY383" s="71"/>
      <c r="BZ383" s="71"/>
      <c r="CA383" s="71"/>
      <c r="CB383" s="71"/>
      <c r="CC383" s="71"/>
      <c r="CD383" s="71"/>
      <c r="CE383" s="71"/>
      <c r="CF383" s="71"/>
      <c r="CG383" s="71"/>
      <c r="CH383" s="71"/>
      <c r="CI383" s="71"/>
      <c r="CJ383" s="71"/>
      <c r="CK383" s="71"/>
      <c r="CL383" s="71"/>
      <c r="CM383" s="71"/>
      <c r="CN383" s="71"/>
      <c r="CO383" s="71"/>
      <c r="CP383" s="71"/>
      <c r="CQ383" s="71"/>
      <c r="CR383" s="71"/>
      <c r="CS383" s="71"/>
      <c r="CT383" s="71"/>
      <c r="CU383" s="71"/>
      <c r="CV383" s="71"/>
      <c r="CW383" s="71"/>
      <c r="CX383" s="71"/>
      <c r="CY383" s="71"/>
      <c r="CZ383" s="71"/>
      <c r="DA383" s="71"/>
      <c r="DB383" s="71"/>
      <c r="DC383" s="71"/>
      <c r="DD383" s="71"/>
      <c r="DE383" s="71"/>
    </row>
    <row r="384" customFormat="false" ht="15" hidden="false" customHeight="true" outlineLevel="0" collapsed="false">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c r="AV384" s="71"/>
      <c r="AW384" s="71"/>
      <c r="AX384" s="71"/>
      <c r="AY384" s="71"/>
      <c r="AZ384" s="71"/>
      <c r="BA384" s="71"/>
      <c r="BB384" s="71"/>
      <c r="BC384" s="71"/>
      <c r="BD384" s="71"/>
      <c r="BE384" s="71"/>
      <c r="BF384" s="71"/>
      <c r="BG384" s="71"/>
      <c r="BH384" s="71"/>
      <c r="BI384" s="71"/>
      <c r="BJ384" s="71"/>
      <c r="BK384" s="71"/>
      <c r="BL384" s="71"/>
      <c r="BM384" s="71"/>
      <c r="BN384" s="71"/>
      <c r="BO384" s="71"/>
      <c r="BP384" s="71"/>
      <c r="BQ384" s="71"/>
      <c r="BR384" s="71"/>
      <c r="BS384" s="71"/>
      <c r="BT384" s="71"/>
      <c r="BU384" s="71"/>
      <c r="BV384" s="71"/>
      <c r="BW384" s="71"/>
      <c r="BX384" s="71"/>
      <c r="BY384" s="71"/>
      <c r="BZ384" s="71"/>
      <c r="CA384" s="71"/>
      <c r="CB384" s="71"/>
      <c r="CC384" s="71"/>
      <c r="CD384" s="71"/>
      <c r="CE384" s="71"/>
      <c r="CF384" s="71"/>
      <c r="CG384" s="71"/>
      <c r="CH384" s="71"/>
      <c r="CI384" s="71"/>
      <c r="CJ384" s="71"/>
      <c r="CK384" s="71"/>
      <c r="CL384" s="71"/>
      <c r="CM384" s="71"/>
      <c r="CN384" s="71"/>
      <c r="CO384" s="71"/>
      <c r="CP384" s="71"/>
      <c r="CQ384" s="71"/>
      <c r="CR384" s="71"/>
      <c r="CS384" s="71"/>
      <c r="CT384" s="71"/>
      <c r="CU384" s="71"/>
      <c r="CV384" s="71"/>
      <c r="CW384" s="71"/>
      <c r="CX384" s="71"/>
      <c r="CY384" s="71"/>
      <c r="CZ384" s="71"/>
      <c r="DA384" s="71"/>
      <c r="DB384" s="71"/>
      <c r="DC384" s="71"/>
      <c r="DD384" s="71"/>
      <c r="DE384" s="71"/>
    </row>
    <row r="385" customFormat="false" ht="15" hidden="false" customHeight="true" outlineLevel="0" collapsed="false">
      <c r="A385" s="44" t="s">
        <v>205</v>
      </c>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c r="BZ385" s="39"/>
      <c r="CA385" s="39"/>
      <c r="CB385" s="39"/>
      <c r="CC385" s="39"/>
      <c r="CD385" s="39"/>
      <c r="CE385" s="39"/>
      <c r="CF385" s="39"/>
      <c r="CG385" s="39"/>
      <c r="CH385" s="39"/>
      <c r="CI385" s="39"/>
      <c r="CJ385" s="39"/>
      <c r="CK385" s="39"/>
      <c r="CL385" s="39"/>
      <c r="CM385" s="39"/>
      <c r="CN385" s="39"/>
      <c r="CO385" s="39"/>
      <c r="CP385" s="39"/>
      <c r="CQ385" s="39"/>
      <c r="CR385" s="39"/>
      <c r="CS385" s="39"/>
      <c r="CT385" s="39"/>
      <c r="CU385" s="39"/>
      <c r="CV385" s="39"/>
      <c r="CW385" s="39"/>
      <c r="CX385" s="39"/>
      <c r="CY385" s="39"/>
      <c r="CZ385" s="39"/>
      <c r="DA385" s="39"/>
      <c r="DB385" s="39"/>
      <c r="DC385" s="39"/>
      <c r="DD385" s="39"/>
      <c r="DE385" s="39"/>
    </row>
    <row r="386" customFormat="false" ht="15" hidden="false" customHeight="true" outlineLevel="0" collapsed="false">
      <c r="A386" s="70" t="s">
        <v>206</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207</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2"/>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c r="AV388" s="71"/>
      <c r="AW388" s="71"/>
      <c r="AX388" s="71"/>
      <c r="AY388" s="71"/>
      <c r="AZ388" s="71"/>
      <c r="BA388" s="71"/>
      <c r="BB388" s="71"/>
      <c r="BC388" s="71"/>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c r="CM388" s="71"/>
      <c r="CN388" s="71"/>
      <c r="CO388" s="71"/>
      <c r="CP388" s="71"/>
      <c r="CQ388" s="71"/>
      <c r="CR388" s="71"/>
      <c r="CS388" s="71"/>
      <c r="CT388" s="71"/>
      <c r="CU388" s="71"/>
      <c r="CV388" s="71"/>
      <c r="CW388" s="71"/>
      <c r="CX388" s="71"/>
      <c r="CY388" s="71"/>
      <c r="CZ388" s="71"/>
      <c r="DA388" s="71"/>
      <c r="DB388" s="71"/>
      <c r="DC388" s="71"/>
      <c r="DD388" s="71"/>
      <c r="DE388" s="71"/>
    </row>
    <row r="389" customFormat="false" ht="15" hidden="false" customHeight="true" outlineLevel="0" collapsed="false">
      <c r="A389" s="23" t="s">
        <v>208</v>
      </c>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row>
    <row r="390" customFormat="false" ht="15" hidden="false" customHeight="true" outlineLevel="0" collapsed="false">
      <c r="A390" s="22" t="s">
        <v>209</v>
      </c>
      <c r="B390" s="73" t="n">
        <v>680024</v>
      </c>
      <c r="C390" s="73" t="n">
        <v>115848</v>
      </c>
      <c r="D390" s="73" t="n">
        <v>633520</v>
      </c>
      <c r="E390" s="73" t="n">
        <v>394004</v>
      </c>
      <c r="F390" s="73" t="n">
        <v>501967</v>
      </c>
      <c r="G390" s="73" t="n">
        <v>306139</v>
      </c>
      <c r="H390" s="73" t="n">
        <v>283340</v>
      </c>
      <c r="I390" s="13" t="n">
        <v>1287106</v>
      </c>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22" t="s">
        <v>210</v>
      </c>
      <c r="B391" s="73" t="n">
        <v>340025.08</v>
      </c>
      <c r="C391" s="73" t="n">
        <v>-261834.01</v>
      </c>
      <c r="D391" s="73" t="n">
        <v>193556.06</v>
      </c>
      <c r="E391" s="73" t="n">
        <v>189693.03</v>
      </c>
      <c r="F391" s="73" t="n">
        <v>158202.61</v>
      </c>
      <c r="G391" s="73" t="n">
        <v>93567.49</v>
      </c>
      <c r="H391" s="73" t="n">
        <v>-24341.08</v>
      </c>
      <c r="I391" s="13" t="n">
        <v>539859.24</v>
      </c>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22" t="s">
        <v>211</v>
      </c>
      <c r="B392" s="73" t="n">
        <v>250140</v>
      </c>
      <c r="C392" s="73" t="n">
        <v>142.7</v>
      </c>
      <c r="D392" s="73" t="n">
        <v>142.7</v>
      </c>
      <c r="E392" s="73" t="n">
        <v>142.7</v>
      </c>
      <c r="F392" s="73" t="n">
        <v>142.7</v>
      </c>
      <c r="G392" s="73" t="n">
        <v>142.7</v>
      </c>
      <c r="H392" s="73" t="n">
        <v>142.7</v>
      </c>
      <c r="I392" s="13" t="n">
        <v>142.7</v>
      </c>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A393" s="22" t="s">
        <v>212</v>
      </c>
      <c r="B393" s="73" t="n">
        <v>89759.22</v>
      </c>
      <c r="C393" s="73" t="n">
        <v>377339.45</v>
      </c>
      <c r="D393" s="73" t="n">
        <v>439621.63</v>
      </c>
      <c r="E393" s="73" t="n">
        <v>203968.72</v>
      </c>
      <c r="F393" s="73" t="n">
        <v>343421.93</v>
      </c>
      <c r="G393" s="73" t="n">
        <v>212228.57</v>
      </c>
      <c r="H393" s="73" t="n">
        <v>307338.39</v>
      </c>
      <c r="I393" s="13" t="n">
        <v>746904.15</v>
      </c>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22" t="s">
        <v>213</v>
      </c>
      <c r="B394" s="73" t="n">
        <v>100</v>
      </c>
      <c r="C394" s="73" t="n">
        <v>200</v>
      </c>
      <c r="D394" s="73" t="n">
        <v>200</v>
      </c>
      <c r="E394" s="73" t="n">
        <v>200</v>
      </c>
      <c r="F394" s="73" t="n">
        <v>200</v>
      </c>
      <c r="G394" s="73" t="n">
        <v>200</v>
      </c>
      <c r="H394" s="73" t="n">
        <v>200</v>
      </c>
      <c r="I394" s="13" t="n">
        <v>200</v>
      </c>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22" t="s">
        <v>214</v>
      </c>
      <c r="B395" s="74" t="n">
        <f aca="false">IF(B390="","",ROUND(SUM(B391:B394)-B390,0))</f>
        <v>0</v>
      </c>
      <c r="C395" s="74" t="n">
        <f aca="false">IF(C390="","",ROUND(SUM(C391:C394)-C390,0))</f>
        <v>0</v>
      </c>
      <c r="D395" s="74" t="n">
        <f aca="false">IF(D390="","",ROUND(SUM(D391:D394)-D390,0))</f>
        <v>0</v>
      </c>
      <c r="E395" s="74" t="n">
        <f aca="false">IF(E390="","",ROUND(SUM(E391:E394)-E390,0))</f>
        <v>0</v>
      </c>
      <c r="F395" s="74" t="n">
        <f aca="false">IF(F390="","",ROUND(SUM(F391:F394)-F390,0))</f>
        <v>0</v>
      </c>
      <c r="G395" s="74" t="n">
        <f aca="false">IF(G390="","",ROUND(SUM(G391:G394)-G390,0))</f>
        <v>-0</v>
      </c>
      <c r="H395" s="74" t="n">
        <f aca="false">IF(H390="","",ROUND(SUM(H391:H394)-H390,0))</f>
        <v>0</v>
      </c>
      <c r="I395" s="74" t="n">
        <f aca="false">IF(I390="","",ROUND(SUM(I391:I394)-I390,0))</f>
        <v>0</v>
      </c>
      <c r="J395" s="74" t="str">
        <f aca="false">IF(J390="","",ROUND(SUM(J391:J394)-J390,0))</f>
        <v/>
      </c>
      <c r="K395" s="74" t="str">
        <f aca="false">IF(K390="","",ROUND(SUM(K391:K394)-K390,0))</f>
        <v/>
      </c>
      <c r="L395" s="74" t="str">
        <f aca="false">IF(L390="","",ROUND(SUM(L391:L394)-L390,0))</f>
        <v/>
      </c>
      <c r="M395" s="74" t="str">
        <f aca="false">IF(M390="","",ROUND(SUM(M391:M394)-M390,0))</f>
        <v/>
      </c>
      <c r="N395" s="74" t="str">
        <f aca="false">IF(N390="","",ROUND(SUM(N391:N394)-N390,0))</f>
        <v/>
      </c>
      <c r="O395" s="74" t="str">
        <f aca="false">IF(O390="","",ROUND(SUM(O391:O394)-O390,0))</f>
        <v/>
      </c>
      <c r="P395" s="74" t="str">
        <f aca="false">IF(P390="","",ROUND(SUM(P391:P394)-P390,0))</f>
        <v/>
      </c>
      <c r="Q395" s="74" t="str">
        <f aca="false">IF(Q390="","",ROUND(SUM(Q391:Q394)-Q390,0))</f>
        <v/>
      </c>
      <c r="R395" s="74" t="str">
        <f aca="false">IF(R390="","",ROUND(SUM(R391:R394)-R390,0))</f>
        <v/>
      </c>
      <c r="S395" s="74" t="str">
        <f aca="false">IF(S390="","",ROUND(SUM(S391:S394)-S390,0))</f>
        <v/>
      </c>
      <c r="T395" s="74" t="str">
        <f aca="false">IF(T390="","",ROUND(SUM(T391:T394)-T390,0))</f>
        <v/>
      </c>
      <c r="U395" s="74" t="str">
        <f aca="false">IF(U390="","",ROUND(SUM(U391:U394)-U390,0))</f>
        <v/>
      </c>
      <c r="V395" s="74" t="str">
        <f aca="false">IF(V390="","",ROUND(SUM(V391:V394)-V390,0))</f>
        <v/>
      </c>
      <c r="W395" s="74" t="str">
        <f aca="false">IF(W390="","",ROUND(SUM(W391:W394)-W390,0))</f>
        <v/>
      </c>
      <c r="X395" s="74" t="str">
        <f aca="false">IF(X390="","",ROUND(SUM(X391:X394)-X390,0))</f>
        <v/>
      </c>
      <c r="Y395" s="74" t="str">
        <f aca="false">IF(Y390="","",ROUND(SUM(Y391:Y394)-Y390,0))</f>
        <v/>
      </c>
      <c r="Z395" s="74" t="str">
        <f aca="false">IF(Z390="","",ROUND(SUM(Z391:Z394)-Z390,0))</f>
        <v/>
      </c>
      <c r="AA395" s="74" t="str">
        <f aca="false">IF(AA390="","",ROUND(SUM(AA391:AA394)-AA390,0))</f>
        <v/>
      </c>
      <c r="AB395" s="74" t="str">
        <f aca="false">IF(AB390="","",ROUND(SUM(AB391:AB394)-AB390,0))</f>
        <v/>
      </c>
      <c r="AC395" s="74" t="str">
        <f aca="false">IF(AC390="","",ROUND(SUM(AC391:AC394)-AC390,0))</f>
        <v/>
      </c>
      <c r="AD395" s="74" t="str">
        <f aca="false">IF(AD390="","",ROUND(SUM(AD391:AD394)-AD390,0))</f>
        <v/>
      </c>
      <c r="AE395" s="74" t="str">
        <f aca="false">IF(AE390="","",ROUND(SUM(AE391:AE394)-AE390,0))</f>
        <v/>
      </c>
      <c r="AF395" s="74" t="str">
        <f aca="false">IF(AF390="","",ROUND(SUM(AF391:AF394)-AF390,0))</f>
        <v/>
      </c>
      <c r="AG395" s="74" t="str">
        <f aca="false">IF(AG390="","",ROUND(SUM(AG391:AG394)-AG390,0))</f>
        <v/>
      </c>
      <c r="AH395" s="74" t="str">
        <f aca="false">IF(AH390="","",ROUND(SUM(AH391:AH394)-AH390,0))</f>
        <v/>
      </c>
      <c r="AI395" s="74" t="str">
        <f aca="false">IF(AI390="","",ROUND(SUM(AI391:AI394)-AI390,0))</f>
        <v/>
      </c>
      <c r="AJ395" s="74" t="str">
        <f aca="false">IF(AJ390="","",ROUND(SUM(AJ391:AJ394)-AJ390,0))</f>
        <v/>
      </c>
      <c r="AK395" s="74" t="str">
        <f aca="false">IF(AK390="","",ROUND(SUM(AK391:AK394)-AK390,0))</f>
        <v/>
      </c>
      <c r="AL395" s="74" t="str">
        <f aca="false">IF(AL390="","",ROUND(SUM(AL391:AL394)-AL390,0))</f>
        <v/>
      </c>
      <c r="AM395" s="74" t="str">
        <f aca="false">IF(AM390="","",ROUND(SUM(AM391:AM394)-AM390,0))</f>
        <v/>
      </c>
      <c r="AN395" s="74" t="str">
        <f aca="false">IF(AN390="","",ROUND(SUM(AN391:AN394)-AN390,0))</f>
        <v/>
      </c>
      <c r="AO395" s="74" t="str">
        <f aca="false">IF(AO390="","",ROUND(SUM(AO391:AO394)-AO390,0))</f>
        <v/>
      </c>
      <c r="AP395" s="74" t="str">
        <f aca="false">IF(AP390="","",ROUND(SUM(AP391:AP394)-AP390,0))</f>
        <v/>
      </c>
      <c r="AQ395" s="74" t="str">
        <f aca="false">IF(AQ390="","",ROUND(SUM(AQ391:AQ394)-AQ390,0))</f>
        <v/>
      </c>
      <c r="AR395" s="74" t="str">
        <f aca="false">IF(AR390="","",ROUND(SUM(AR391:AR394)-AR390,0))</f>
        <v/>
      </c>
      <c r="AS395" s="74" t="str">
        <f aca="false">IF(AS390="","",ROUND(SUM(AS391:AS394)-AS390,0))</f>
        <v/>
      </c>
      <c r="AT395" s="74" t="str">
        <f aca="false">IF(AT390="","",ROUND(SUM(AT391:AT394)-AT390,0))</f>
        <v/>
      </c>
      <c r="AU395" s="74" t="str">
        <f aca="false">IF(AU390="","",ROUND(SUM(AU391:AU394)-AU390,0))</f>
        <v/>
      </c>
      <c r="AV395" s="74" t="str">
        <f aca="false">IF(AV390="","",ROUND(SUM(AV391:AV394)-AV390,0))</f>
        <v/>
      </c>
      <c r="AW395" s="74" t="str">
        <f aca="false">IF(AW390="","",ROUND(SUM(AW391:AW394)-AW390,0))</f>
        <v/>
      </c>
      <c r="AX395" s="74" t="str">
        <f aca="false">IF(AX390="","",ROUND(SUM(AX391:AX394)-AX390,0))</f>
        <v/>
      </c>
      <c r="AY395" s="74" t="str">
        <f aca="false">IF(AY390="","",ROUND(SUM(AY391:AY394)-AY390,0))</f>
        <v/>
      </c>
      <c r="AZ395" s="74" t="str">
        <f aca="false">IF(AZ390="","",ROUND(SUM(AZ391:AZ394)-AZ390,0))</f>
        <v/>
      </c>
      <c r="BA395" s="74" t="str">
        <f aca="false">IF(BA390="","",ROUND(SUM(BA391:BA394)-BA390,0))</f>
        <v/>
      </c>
      <c r="BB395" s="74" t="str">
        <f aca="false">IF(BB390="","",ROUND(SUM(BB391:BB394)-BB390,0))</f>
        <v/>
      </c>
      <c r="BC395" s="74" t="str">
        <f aca="false">IF(BC390="","",ROUND(SUM(BC391:BC394)-BC390,0))</f>
        <v/>
      </c>
      <c r="BD395" s="74" t="str">
        <f aca="false">IF(BD390="","",ROUND(SUM(BD391:BD394)-BD390,0))</f>
        <v/>
      </c>
      <c r="BE395" s="74" t="str">
        <f aca="false">IF(BE390="","",ROUND(SUM(BE391:BE394)-BE390,0))</f>
        <v/>
      </c>
      <c r="BF395" s="74" t="str">
        <f aca="false">IF(BF390="","",ROUND(SUM(BF391:BF394)-BF390,0))</f>
        <v/>
      </c>
      <c r="BG395" s="74" t="str">
        <f aca="false">IF(BG390="","",ROUND(SUM(BG391:BG394)-BG390,0))</f>
        <v/>
      </c>
      <c r="BH395" s="74" t="str">
        <f aca="false">IF(BH390="","",ROUND(SUM(BH391:BH394)-BH390,0))</f>
        <v/>
      </c>
      <c r="BI395" s="74" t="str">
        <f aca="false">IF(BI390="","",ROUND(SUM(BI391:BI394)-BI390,0))</f>
        <v/>
      </c>
      <c r="BJ395" s="74" t="str">
        <f aca="false">IF(BJ390="","",ROUND(SUM(BJ391:BJ394)-BJ390,0))</f>
        <v/>
      </c>
      <c r="BK395" s="74" t="str">
        <f aca="false">IF(BK390="","",ROUND(SUM(BK391:BK394)-BK390,0))</f>
        <v/>
      </c>
      <c r="BL395" s="74" t="str">
        <f aca="false">IF(BL390="","",ROUND(SUM(BL391:BL394)-BL390,0))</f>
        <v/>
      </c>
      <c r="BM395" s="74" t="str">
        <f aca="false">IF(BM390="","",ROUND(SUM(BM391:BM394)-BM390,0))</f>
        <v/>
      </c>
      <c r="BN395" s="74" t="str">
        <f aca="false">IF(BN390="","",ROUND(SUM(BN391:BN394)-BN390,0))</f>
        <v/>
      </c>
      <c r="BO395" s="74" t="str">
        <f aca="false">IF(BO390="","",ROUND(SUM(BO391:BO394)-BO390,0))</f>
        <v/>
      </c>
      <c r="BP395" s="74" t="str">
        <f aca="false">IF(BP390="","",ROUND(SUM(BP391:BP394)-BP390,0))</f>
        <v/>
      </c>
      <c r="BQ395" s="74" t="str">
        <f aca="false">IF(BQ390="","",ROUND(SUM(BQ391:BQ394)-BQ390,0))</f>
        <v/>
      </c>
      <c r="BR395" s="74" t="str">
        <f aca="false">IF(BR390="","",ROUND(SUM(BR391:BR394)-BR390,0))</f>
        <v/>
      </c>
      <c r="BS395" s="74" t="str">
        <f aca="false">IF(BS390="","",ROUND(SUM(BS391:BS394)-BS390,0))</f>
        <v/>
      </c>
      <c r="BT395" s="74" t="str">
        <f aca="false">IF(BT390="","",ROUND(SUM(BT391:BT394)-BT390,0))</f>
        <v/>
      </c>
      <c r="BU395" s="74" t="str">
        <f aca="false">IF(BU390="","",ROUND(SUM(BU391:BU394)-BU390,0))</f>
        <v/>
      </c>
      <c r="BV395" s="74" t="str">
        <f aca="false">IF(BV390="","",ROUND(SUM(BV391:BV394)-BV390,0))</f>
        <v/>
      </c>
      <c r="BW395" s="74" t="str">
        <f aca="false">IF(BW390="","",ROUND(SUM(BW391:BW394)-BW390,0))</f>
        <v/>
      </c>
      <c r="BX395" s="74" t="str">
        <f aca="false">IF(BX390="","",ROUND(SUM(BX391:BX394)-BX390,0))</f>
        <v/>
      </c>
      <c r="BY395" s="74" t="str">
        <f aca="false">IF(BY390="","",ROUND(SUM(BY391:BY394)-BY390,0))</f>
        <v/>
      </c>
      <c r="BZ395" s="74" t="str">
        <f aca="false">IF(BZ390="","",ROUND(SUM(BZ391:BZ394)-BZ390,0))</f>
        <v/>
      </c>
      <c r="CA395" s="74" t="str">
        <f aca="false">IF(CA390="","",ROUND(SUM(CA391:CA394)-CA390,0))</f>
        <v/>
      </c>
      <c r="CB395" s="74" t="str">
        <f aca="false">IF(CB390="","",ROUND(SUM(CB391:CB394)-CB390,0))</f>
        <v/>
      </c>
      <c r="CC395" s="74" t="str">
        <f aca="false">IF(CC390="","",ROUND(SUM(CC391:CC394)-CC390,0))</f>
        <v/>
      </c>
      <c r="CD395" s="74" t="str">
        <f aca="false">IF(CD390="","",ROUND(SUM(CD391:CD394)-CD390,0))</f>
        <v/>
      </c>
      <c r="CE395" s="74" t="str">
        <f aca="false">IF(CE390="","",ROUND(SUM(CE391:CE394)-CE390,0))</f>
        <v/>
      </c>
      <c r="CF395" s="74" t="str">
        <f aca="false">IF(CF390="","",ROUND(SUM(CF391:CF394)-CF390,0))</f>
        <v/>
      </c>
      <c r="CG395" s="74" t="str">
        <f aca="false">IF(CG390="","",ROUND(SUM(CG391:CG394)-CG390,0))</f>
        <v/>
      </c>
      <c r="CH395" s="74" t="str">
        <f aca="false">IF(CH390="","",ROUND(SUM(CH391:CH394)-CH390,0))</f>
        <v/>
      </c>
      <c r="CI395" s="74" t="str">
        <f aca="false">IF(CI390="","",ROUND(SUM(CI391:CI394)-CI390,0))</f>
        <v/>
      </c>
      <c r="CJ395" s="74" t="str">
        <f aca="false">IF(CJ390="","",ROUND(SUM(CJ391:CJ394)-CJ390,0))</f>
        <v/>
      </c>
      <c r="CK395" s="74" t="str">
        <f aca="false">IF(CK390="","",ROUND(SUM(CK391:CK394)-CK390,0))</f>
        <v/>
      </c>
      <c r="CL395" s="74" t="str">
        <f aca="false">IF(CL390="","",ROUND(SUM(CL391:CL394)-CL390,0))</f>
        <v/>
      </c>
      <c r="CM395" s="74" t="str">
        <f aca="false">IF(CM390="","",ROUND(SUM(CM391:CM394)-CM390,0))</f>
        <v/>
      </c>
      <c r="CN395" s="74" t="str">
        <f aca="false">IF(CN390="","",ROUND(SUM(CN391:CN394)-CN390,0))</f>
        <v/>
      </c>
      <c r="CO395" s="74" t="str">
        <f aca="false">IF(CO390="","",ROUND(SUM(CO391:CO394)-CO390,0))</f>
        <v/>
      </c>
      <c r="CP395" s="74" t="str">
        <f aca="false">IF(CP390="","",ROUND(SUM(CP391:CP394)-CP390,0))</f>
        <v/>
      </c>
      <c r="CQ395" s="74" t="str">
        <f aca="false">IF(CQ390="","",ROUND(SUM(CQ391:CQ394)-CQ390,0))</f>
        <v/>
      </c>
      <c r="CR395" s="74" t="str">
        <f aca="false">IF(CR390="","",ROUND(SUM(CR391:CR394)-CR390,0))</f>
        <v/>
      </c>
      <c r="CS395" s="74" t="str">
        <f aca="false">IF(CS390="","",ROUND(SUM(CS391:CS394)-CS390,0))</f>
        <v/>
      </c>
      <c r="CT395" s="74" t="str">
        <f aca="false">IF(CT390="","",ROUND(SUM(CT391:CT394)-CT390,0))</f>
        <v/>
      </c>
      <c r="CU395" s="74" t="str">
        <f aca="false">IF(CU390="","",ROUND(SUM(CU391:CU394)-CU390,0))</f>
        <v/>
      </c>
      <c r="CV395" s="74" t="str">
        <f aca="false">IF(CV390="","",ROUND(SUM(CV391:CV394)-CV390,0))</f>
        <v/>
      </c>
      <c r="CW395" s="74" t="str">
        <f aca="false">IF(CW390="","",ROUND(SUM(CW391:CW394)-CW390,0))</f>
        <v/>
      </c>
      <c r="CX395" s="74" t="str">
        <f aca="false">IF(CX390="","",ROUND(SUM(CX391:CX394)-CX390,0))</f>
        <v/>
      </c>
      <c r="CY395" s="74" t="str">
        <f aca="false">IF(CY390="","",ROUND(SUM(CY391:CY394)-CY390,0))</f>
        <v/>
      </c>
      <c r="CZ395" s="74" t="str">
        <f aca="false">IF(CZ390="","",ROUND(SUM(CZ391:CZ394)-CZ390,0))</f>
        <v/>
      </c>
      <c r="DA395" s="74" t="str">
        <f aca="false">IF(DA390="","",ROUND(SUM(DA391:DA394)-DA390,0))</f>
        <v/>
      </c>
      <c r="DB395" s="74" t="str">
        <f aca="false">IF(DB390="","",ROUND(SUM(DB391:DB394)-DB390,0))</f>
        <v/>
      </c>
      <c r="DC395" s="74" t="str">
        <f aca="false">IF(DC390="","",ROUND(SUM(DC391:DC394)-DC390,0))</f>
        <v/>
      </c>
      <c r="DD395" s="74" t="str">
        <f aca="false">IF(DD390="","",ROUND(SUM(DD391:DD394)-DD390,0))</f>
        <v/>
      </c>
      <c r="DE395" s="74" t="str">
        <f aca="false">IF(DE390="","",ROUND(SUM(DE391:DE394)-DE390,0))</f>
        <v/>
      </c>
    </row>
    <row r="396" customFormat="false" ht="15" hidden="false" customHeight="true" outlineLevel="0" collapsed="false">
      <c r="A396" s="22" t="s">
        <v>215</v>
      </c>
      <c r="B396" s="73" t="n">
        <v>378187</v>
      </c>
      <c r="C396" s="73" t="n">
        <v>110882</v>
      </c>
      <c r="D396" s="73" t="n">
        <v>171148</v>
      </c>
      <c r="E396" s="73" t="n">
        <v>368691</v>
      </c>
      <c r="F396" s="73" t="n">
        <v>343251</v>
      </c>
      <c r="G396" s="73" t="n">
        <v>665368</v>
      </c>
      <c r="H396" s="73" t="n">
        <v>122223</v>
      </c>
      <c r="I396" s="13" t="n">
        <v>658190</v>
      </c>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22" t="s">
        <v>216</v>
      </c>
      <c r="B397" s="73" t="n">
        <v>369156.23</v>
      </c>
      <c r="C397" s="73" t="n">
        <v>110746.48</v>
      </c>
      <c r="D397" s="73" t="n">
        <v>171012.63</v>
      </c>
      <c r="E397" s="73" t="n">
        <v>368555.41</v>
      </c>
      <c r="F397" s="73" t="n">
        <v>343114.99</v>
      </c>
      <c r="G397" s="73" t="n">
        <v>665232.34</v>
      </c>
      <c r="H397" s="73" t="n">
        <v>122087.33</v>
      </c>
      <c r="I397" s="13" t="n">
        <v>658065.75</v>
      </c>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217</v>
      </c>
      <c r="B398" s="73" t="n">
        <v>23.76</v>
      </c>
      <c r="C398" s="73" t="n">
        <v>23.76</v>
      </c>
      <c r="D398" s="73" t="n">
        <v>23.76</v>
      </c>
      <c r="E398" s="73" t="n">
        <v>23.76</v>
      </c>
      <c r="F398" s="73" t="n">
        <v>23.76</v>
      </c>
      <c r="G398" s="73" t="n">
        <v>23.76</v>
      </c>
      <c r="H398" s="73" t="n">
        <v>23.76</v>
      </c>
      <c r="I398" s="13" t="n">
        <v>23.76</v>
      </c>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218</v>
      </c>
      <c r="B399" s="73" t="n">
        <v>9006.61</v>
      </c>
      <c r="C399" s="73" t="n">
        <v>112</v>
      </c>
      <c r="D399" s="73" t="n">
        <v>112</v>
      </c>
      <c r="E399" s="73" t="n">
        <v>112</v>
      </c>
      <c r="F399" s="73" t="n">
        <v>112</v>
      </c>
      <c r="G399" s="73" t="n">
        <v>112</v>
      </c>
      <c r="H399" s="73" t="n">
        <v>112</v>
      </c>
      <c r="I399" s="13" t="n">
        <v>100.49</v>
      </c>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219</v>
      </c>
      <c r="B400" s="74" t="n">
        <f aca="false">IF(B396="","",ROUND(SUM(B397:B399)-B396,0))</f>
        <v>-0</v>
      </c>
      <c r="C400" s="74" t="n">
        <f aca="false">IF(C396="","",ROUND(SUM(C397:C399)-C396,0))</f>
        <v>0</v>
      </c>
      <c r="D400" s="74" t="n">
        <f aca="false">IF(D396="","",ROUND(SUM(D397:D399)-D396,0))</f>
        <v>0</v>
      </c>
      <c r="E400" s="74" t="n">
        <f aca="false">IF(E396="","",ROUND(SUM(E397:E399)-E396,0))</f>
        <v>0</v>
      </c>
      <c r="F400" s="74" t="n">
        <f aca="false">IF(F396="","",ROUND(SUM(F397:F399)-F396,0))</f>
        <v>-0</v>
      </c>
      <c r="G400" s="74" t="n">
        <f aca="false">IF(G396="","",ROUND(SUM(G397:G399)-G396,0))</f>
        <v>0</v>
      </c>
      <c r="H400" s="74" t="n">
        <f aca="false">IF(H396="","",ROUND(SUM(H397:H399)-H396,0))</f>
        <v>0</v>
      </c>
      <c r="I400" s="74" t="n">
        <f aca="false">IF(I396="","",ROUND(SUM(I397:I399)-I396,0))</f>
        <v>0</v>
      </c>
      <c r="J400" s="74" t="str">
        <f aca="false">IF(J396="","",ROUND(SUM(J397:J399)-J396,0))</f>
        <v/>
      </c>
      <c r="K400" s="74" t="str">
        <f aca="false">IF(K396="","",ROUND(SUM(K397:K399)-K396,0))</f>
        <v/>
      </c>
      <c r="L400" s="74" t="str">
        <f aca="false">IF(L396="","",ROUND(SUM(L397:L399)-L396,0))</f>
        <v/>
      </c>
      <c r="M400" s="74" t="str">
        <f aca="false">IF(M396="","",ROUND(SUM(M397:M399)-M396,0))</f>
        <v/>
      </c>
      <c r="N400" s="74" t="str">
        <f aca="false">IF(N396="","",ROUND(SUM(N397:N399)-N396,0))</f>
        <v/>
      </c>
      <c r="O400" s="74" t="str">
        <f aca="false">IF(O396="","",ROUND(SUM(O397:O399)-O396,0))</f>
        <v/>
      </c>
      <c r="P400" s="74" t="str">
        <f aca="false">IF(P396="","",ROUND(SUM(P397:P399)-P396,0))</f>
        <v/>
      </c>
      <c r="Q400" s="74" t="str">
        <f aca="false">IF(Q396="","",ROUND(SUM(Q397:Q399)-Q396,0))</f>
        <v/>
      </c>
      <c r="R400" s="74" t="str">
        <f aca="false">IF(R396="","",ROUND(SUM(R397:R399)-R396,0))</f>
        <v/>
      </c>
      <c r="S400" s="74" t="str">
        <f aca="false">IF(S396="","",ROUND(SUM(S397:S399)-S396,0))</f>
        <v/>
      </c>
      <c r="T400" s="74" t="str">
        <f aca="false">IF(T396="","",ROUND(SUM(T397:T399)-T396,0))</f>
        <v/>
      </c>
      <c r="U400" s="74" t="str">
        <f aca="false">IF(U396="","",ROUND(SUM(U397:U399)-U396,0))</f>
        <v/>
      </c>
      <c r="V400" s="74" t="str">
        <f aca="false">IF(V396="","",ROUND(SUM(V397:V399)-V396,0))</f>
        <v/>
      </c>
      <c r="W400" s="74" t="str">
        <f aca="false">IF(W396="","",ROUND(SUM(W397:W399)-W396,0))</f>
        <v/>
      </c>
      <c r="X400" s="74" t="str">
        <f aca="false">IF(X396="","",ROUND(SUM(X397:X399)-X396,0))</f>
        <v/>
      </c>
      <c r="Y400" s="74" t="str">
        <f aca="false">IF(Y396="","",ROUND(SUM(Y397:Y399)-Y396,0))</f>
        <v/>
      </c>
      <c r="Z400" s="74" t="str">
        <f aca="false">IF(Z396="","",ROUND(SUM(Z397:Z399)-Z396,0))</f>
        <v/>
      </c>
      <c r="AA400" s="74" t="str">
        <f aca="false">IF(AA396="","",ROUND(SUM(AA397:AA399)-AA396,0))</f>
        <v/>
      </c>
      <c r="AB400" s="74" t="str">
        <f aca="false">IF(AB396="","",ROUND(SUM(AB397:AB399)-AB396,0))</f>
        <v/>
      </c>
      <c r="AC400" s="74" t="str">
        <f aca="false">IF(AC396="","",ROUND(SUM(AC397:AC399)-AC396,0))</f>
        <v/>
      </c>
      <c r="AD400" s="74" t="str">
        <f aca="false">IF(AD396="","",ROUND(SUM(AD397:AD399)-AD396,0))</f>
        <v/>
      </c>
      <c r="AE400" s="74" t="str">
        <f aca="false">IF(AE396="","",ROUND(SUM(AE397:AE399)-AE396,0))</f>
        <v/>
      </c>
      <c r="AF400" s="74" t="str">
        <f aca="false">IF(AF396="","",ROUND(SUM(AF397:AF399)-AF396,0))</f>
        <v/>
      </c>
      <c r="AG400" s="74" t="str">
        <f aca="false">IF(AG396="","",ROUND(SUM(AG397:AG399)-AG396,0))</f>
        <v/>
      </c>
      <c r="AH400" s="74" t="str">
        <f aca="false">IF(AH396="","",ROUND(SUM(AH397:AH399)-AH396,0))</f>
        <v/>
      </c>
      <c r="AI400" s="74" t="str">
        <f aca="false">IF(AI396="","",ROUND(SUM(AI397:AI399)-AI396,0))</f>
        <v/>
      </c>
      <c r="AJ400" s="74" t="str">
        <f aca="false">IF(AJ396="","",ROUND(SUM(AJ397:AJ399)-AJ396,0))</f>
        <v/>
      </c>
      <c r="AK400" s="74" t="str">
        <f aca="false">IF(AK396="","",ROUND(SUM(AK397:AK399)-AK396,0))</f>
        <v/>
      </c>
      <c r="AL400" s="74" t="str">
        <f aca="false">IF(AL396="","",ROUND(SUM(AL397:AL399)-AL396,0))</f>
        <v/>
      </c>
      <c r="AM400" s="74" t="str">
        <f aca="false">IF(AM396="","",ROUND(SUM(AM397:AM399)-AM396,0))</f>
        <v/>
      </c>
      <c r="AN400" s="74" t="str">
        <f aca="false">IF(AN396="","",ROUND(SUM(AN397:AN399)-AN396,0))</f>
        <v/>
      </c>
      <c r="AO400" s="74" t="str">
        <f aca="false">IF(AO396="","",ROUND(SUM(AO397:AO399)-AO396,0))</f>
        <v/>
      </c>
      <c r="AP400" s="74" t="str">
        <f aca="false">IF(AP396="","",ROUND(SUM(AP397:AP399)-AP396,0))</f>
        <v/>
      </c>
      <c r="AQ400" s="74" t="str">
        <f aca="false">IF(AQ396="","",ROUND(SUM(AQ397:AQ399)-AQ396,0))</f>
        <v/>
      </c>
      <c r="AR400" s="74" t="str">
        <f aca="false">IF(AR396="","",ROUND(SUM(AR397:AR399)-AR396,0))</f>
        <v/>
      </c>
      <c r="AS400" s="74" t="str">
        <f aca="false">IF(AS396="","",ROUND(SUM(AS397:AS399)-AS396,0))</f>
        <v/>
      </c>
      <c r="AT400" s="74" t="str">
        <f aca="false">IF(AT396="","",ROUND(SUM(AT397:AT399)-AT396,0))</f>
        <v/>
      </c>
      <c r="AU400" s="74" t="str">
        <f aca="false">IF(AU396="","",ROUND(SUM(AU397:AU399)-AU396,0))</f>
        <v/>
      </c>
      <c r="AV400" s="74" t="str">
        <f aca="false">IF(AV396="","",ROUND(SUM(AV397:AV399)-AV396,0))</f>
        <v/>
      </c>
      <c r="AW400" s="74" t="str">
        <f aca="false">IF(AW396="","",ROUND(SUM(AW397:AW399)-AW396,0))</f>
        <v/>
      </c>
      <c r="AX400" s="74" t="str">
        <f aca="false">IF(AX396="","",ROUND(SUM(AX397:AX399)-AX396,0))</f>
        <v/>
      </c>
      <c r="AY400" s="74" t="str">
        <f aca="false">IF(AY396="","",ROUND(SUM(AY397:AY399)-AY396,0))</f>
        <v/>
      </c>
      <c r="AZ400" s="74" t="str">
        <f aca="false">IF(AZ396="","",ROUND(SUM(AZ397:AZ399)-AZ396,0))</f>
        <v/>
      </c>
      <c r="BA400" s="74" t="str">
        <f aca="false">IF(BA396="","",ROUND(SUM(BA397:BA399)-BA396,0))</f>
        <v/>
      </c>
      <c r="BB400" s="74" t="str">
        <f aca="false">IF(BB396="","",ROUND(SUM(BB397:BB399)-BB396,0))</f>
        <v/>
      </c>
      <c r="BC400" s="74" t="str">
        <f aca="false">IF(BC396="","",ROUND(SUM(BC397:BC399)-BC396,0))</f>
        <v/>
      </c>
      <c r="BD400" s="74" t="str">
        <f aca="false">IF(BD396="","",ROUND(SUM(BD397:BD399)-BD396,0))</f>
        <v/>
      </c>
      <c r="BE400" s="74" t="str">
        <f aca="false">IF(BE396="","",ROUND(SUM(BE397:BE399)-BE396,0))</f>
        <v/>
      </c>
      <c r="BF400" s="74" t="str">
        <f aca="false">IF(BF396="","",ROUND(SUM(BF397:BF399)-BF396,0))</f>
        <v/>
      </c>
      <c r="BG400" s="74" t="str">
        <f aca="false">IF(BG396="","",ROUND(SUM(BG397:BG399)-BG396,0))</f>
        <v/>
      </c>
      <c r="BH400" s="74" t="str">
        <f aca="false">IF(BH396="","",ROUND(SUM(BH397:BH399)-BH396,0))</f>
        <v/>
      </c>
      <c r="BI400" s="74" t="str">
        <f aca="false">IF(BI396="","",ROUND(SUM(BI397:BI399)-BI396,0))</f>
        <v/>
      </c>
      <c r="BJ400" s="74" t="str">
        <f aca="false">IF(BJ396="","",ROUND(SUM(BJ397:BJ399)-BJ396,0))</f>
        <v/>
      </c>
      <c r="BK400" s="74" t="str">
        <f aca="false">IF(BK396="","",ROUND(SUM(BK397:BK399)-BK396,0))</f>
        <v/>
      </c>
      <c r="BL400" s="74" t="str">
        <f aca="false">IF(BL396="","",ROUND(SUM(BL397:BL399)-BL396,0))</f>
        <v/>
      </c>
      <c r="BM400" s="74" t="str">
        <f aca="false">IF(BM396="","",ROUND(SUM(BM397:BM399)-BM396,0))</f>
        <v/>
      </c>
      <c r="BN400" s="74" t="str">
        <f aca="false">IF(BN396="","",ROUND(SUM(BN397:BN399)-BN396,0))</f>
        <v/>
      </c>
      <c r="BO400" s="74" t="str">
        <f aca="false">IF(BO396="","",ROUND(SUM(BO397:BO399)-BO396,0))</f>
        <v/>
      </c>
      <c r="BP400" s="74" t="str">
        <f aca="false">IF(BP396="","",ROUND(SUM(BP397:BP399)-BP396,0))</f>
        <v/>
      </c>
      <c r="BQ400" s="74" t="str">
        <f aca="false">IF(BQ396="","",ROUND(SUM(BQ397:BQ399)-BQ396,0))</f>
        <v/>
      </c>
      <c r="BR400" s="74" t="str">
        <f aca="false">IF(BR396="","",ROUND(SUM(BR397:BR399)-BR396,0))</f>
        <v/>
      </c>
      <c r="BS400" s="74" t="str">
        <f aca="false">IF(BS396="","",ROUND(SUM(BS397:BS399)-BS396,0))</f>
        <v/>
      </c>
      <c r="BT400" s="74" t="str">
        <f aca="false">IF(BT396="","",ROUND(SUM(BT397:BT399)-BT396,0))</f>
        <v/>
      </c>
      <c r="BU400" s="74" t="str">
        <f aca="false">IF(BU396="","",ROUND(SUM(BU397:BU399)-BU396,0))</f>
        <v/>
      </c>
      <c r="BV400" s="74" t="str">
        <f aca="false">IF(BV396="","",ROUND(SUM(BV397:BV399)-BV396,0))</f>
        <v/>
      </c>
      <c r="BW400" s="74" t="str">
        <f aca="false">IF(BW396="","",ROUND(SUM(BW397:BW399)-BW396,0))</f>
        <v/>
      </c>
      <c r="BX400" s="74" t="str">
        <f aca="false">IF(BX396="","",ROUND(SUM(BX397:BX399)-BX396,0))</f>
        <v/>
      </c>
      <c r="BY400" s="74" t="str">
        <f aca="false">IF(BY396="","",ROUND(SUM(BY397:BY399)-BY396,0))</f>
        <v/>
      </c>
      <c r="BZ400" s="74" t="str">
        <f aca="false">IF(BZ396="","",ROUND(SUM(BZ397:BZ399)-BZ396,0))</f>
        <v/>
      </c>
      <c r="CA400" s="74" t="str">
        <f aca="false">IF(CA396="","",ROUND(SUM(CA397:CA399)-CA396,0))</f>
        <v/>
      </c>
      <c r="CB400" s="74" t="str">
        <f aca="false">IF(CB396="","",ROUND(SUM(CB397:CB399)-CB396,0))</f>
        <v/>
      </c>
      <c r="CC400" s="74" t="str">
        <f aca="false">IF(CC396="","",ROUND(SUM(CC397:CC399)-CC396,0))</f>
        <v/>
      </c>
      <c r="CD400" s="74" t="str">
        <f aca="false">IF(CD396="","",ROUND(SUM(CD397:CD399)-CD396,0))</f>
        <v/>
      </c>
      <c r="CE400" s="74" t="str">
        <f aca="false">IF(CE396="","",ROUND(SUM(CE397:CE399)-CE396,0))</f>
        <v/>
      </c>
      <c r="CF400" s="74" t="str">
        <f aca="false">IF(CF396="","",ROUND(SUM(CF397:CF399)-CF396,0))</f>
        <v/>
      </c>
      <c r="CG400" s="74" t="str">
        <f aca="false">IF(CG396="","",ROUND(SUM(CG397:CG399)-CG396,0))</f>
        <v/>
      </c>
      <c r="CH400" s="74" t="str">
        <f aca="false">IF(CH396="","",ROUND(SUM(CH397:CH399)-CH396,0))</f>
        <v/>
      </c>
      <c r="CI400" s="74" t="str">
        <f aca="false">IF(CI396="","",ROUND(SUM(CI397:CI399)-CI396,0))</f>
        <v/>
      </c>
      <c r="CJ400" s="74" t="str">
        <f aca="false">IF(CJ396="","",ROUND(SUM(CJ397:CJ399)-CJ396,0))</f>
        <v/>
      </c>
      <c r="CK400" s="74" t="str">
        <f aca="false">IF(CK396="","",ROUND(SUM(CK397:CK399)-CK396,0))</f>
        <v/>
      </c>
      <c r="CL400" s="74" t="str">
        <f aca="false">IF(CL396="","",ROUND(SUM(CL397:CL399)-CL396,0))</f>
        <v/>
      </c>
      <c r="CM400" s="74" t="str">
        <f aca="false">IF(CM396="","",ROUND(SUM(CM397:CM399)-CM396,0))</f>
        <v/>
      </c>
      <c r="CN400" s="74" t="str">
        <f aca="false">IF(CN396="","",ROUND(SUM(CN397:CN399)-CN396,0))</f>
        <v/>
      </c>
      <c r="CO400" s="74" t="str">
        <f aca="false">IF(CO396="","",ROUND(SUM(CO397:CO399)-CO396,0))</f>
        <v/>
      </c>
      <c r="CP400" s="74" t="str">
        <f aca="false">IF(CP396="","",ROUND(SUM(CP397:CP399)-CP396,0))</f>
        <v/>
      </c>
      <c r="CQ400" s="74" t="str">
        <f aca="false">IF(CQ396="","",ROUND(SUM(CQ397:CQ399)-CQ396,0))</f>
        <v/>
      </c>
      <c r="CR400" s="74" t="str">
        <f aca="false">IF(CR396="","",ROUND(SUM(CR397:CR399)-CR396,0))</f>
        <v/>
      </c>
      <c r="CS400" s="74" t="str">
        <f aca="false">IF(CS396="","",ROUND(SUM(CS397:CS399)-CS396,0))</f>
        <v/>
      </c>
      <c r="CT400" s="74" t="str">
        <f aca="false">IF(CT396="","",ROUND(SUM(CT397:CT399)-CT396,0))</f>
        <v/>
      </c>
      <c r="CU400" s="74" t="str">
        <f aca="false">IF(CU396="","",ROUND(SUM(CU397:CU399)-CU396,0))</f>
        <v/>
      </c>
      <c r="CV400" s="74" t="str">
        <f aca="false">IF(CV396="","",ROUND(SUM(CV397:CV399)-CV396,0))</f>
        <v/>
      </c>
      <c r="CW400" s="74" t="str">
        <f aca="false">IF(CW396="","",ROUND(SUM(CW397:CW399)-CW396,0))</f>
        <v/>
      </c>
      <c r="CX400" s="74" t="str">
        <f aca="false">IF(CX396="","",ROUND(SUM(CX397:CX399)-CX396,0))</f>
        <v/>
      </c>
      <c r="CY400" s="74" t="str">
        <f aca="false">IF(CY396="","",ROUND(SUM(CY397:CY399)-CY396,0))</f>
        <v/>
      </c>
      <c r="CZ400" s="74" t="str">
        <f aca="false">IF(CZ396="","",ROUND(SUM(CZ397:CZ399)-CZ396,0))</f>
        <v/>
      </c>
      <c r="DA400" s="74" t="str">
        <f aca="false">IF(DA396="","",ROUND(SUM(DA397:DA399)-DA396,0))</f>
        <v/>
      </c>
      <c r="DB400" s="74" t="str">
        <f aca="false">IF(DB396="","",ROUND(SUM(DB397:DB399)-DB396,0))</f>
        <v/>
      </c>
      <c r="DC400" s="74" t="str">
        <f aca="false">IF(DC396="","",ROUND(SUM(DC397:DC399)-DC396,0))</f>
        <v/>
      </c>
      <c r="DD400" s="74" t="str">
        <f aca="false">IF(DD396="","",ROUND(SUM(DD397:DD399)-DD396,0))</f>
        <v/>
      </c>
      <c r="DE400" s="74" t="str">
        <f aca="false">IF(DE396="","",ROUND(SUM(DE397:DE399)-DE396,0))</f>
        <v/>
      </c>
    </row>
    <row r="401" customFormat="false" ht="15" hidden="false" customHeight="true" outlineLevel="0" collapsed="false">
      <c r="A401" s="67" t="s">
        <v>220</v>
      </c>
      <c r="B401" s="68" t="n">
        <f aca="false">IF(B390="","",B390+B396)</f>
        <v>1058211</v>
      </c>
      <c r="C401" s="68" t="n">
        <f aca="false">IF(C390="","",C390+C396)</f>
        <v>226730</v>
      </c>
      <c r="D401" s="68" t="n">
        <f aca="false">IF(D390="","",D390+D396)</f>
        <v>804668</v>
      </c>
      <c r="E401" s="68" t="n">
        <f aca="false">IF(E390="","",E390+E396)</f>
        <v>762695</v>
      </c>
      <c r="F401" s="68" t="n">
        <f aca="false">IF(F390="","",F390+F396)</f>
        <v>845218</v>
      </c>
      <c r="G401" s="68" t="n">
        <f aca="false">IF(G390="","",G390+G396)</f>
        <v>971507</v>
      </c>
      <c r="H401" s="68" t="n">
        <f aca="false">IF(H390="","",H390+H396)</f>
        <v>405563</v>
      </c>
      <c r="I401" s="68" t="n">
        <f aca="false">IF(I390="","",I390+I396)</f>
        <v>1945296</v>
      </c>
      <c r="J401" s="68" t="str">
        <f aca="false">IF(J390="","",J390+J396)</f>
        <v/>
      </c>
      <c r="K401" s="68" t="str">
        <f aca="false">IF(K390="","",K390+K396)</f>
        <v/>
      </c>
      <c r="L401" s="68" t="str">
        <f aca="false">IF(L390="","",L390+L396)</f>
        <v/>
      </c>
      <c r="M401" s="68" t="str">
        <f aca="false">IF(M390="","",M390+M396)</f>
        <v/>
      </c>
      <c r="N401" s="68" t="str">
        <f aca="false">IF(N390="","",N390+N396)</f>
        <v/>
      </c>
      <c r="O401" s="68" t="str">
        <f aca="false">IF(O390="","",O390+O396)</f>
        <v/>
      </c>
      <c r="P401" s="68" t="str">
        <f aca="false">IF(P390="","",P390+P396)</f>
        <v/>
      </c>
      <c r="Q401" s="68" t="str">
        <f aca="false">IF(Q390="","",Q390+Q396)</f>
        <v/>
      </c>
      <c r="R401" s="68" t="str">
        <f aca="false">IF(R390="","",R390+R396)</f>
        <v/>
      </c>
      <c r="S401" s="68" t="str">
        <f aca="false">IF(S390="","",S390+S396)</f>
        <v/>
      </c>
      <c r="T401" s="68" t="str">
        <f aca="false">IF(T390="","",T390+T396)</f>
        <v/>
      </c>
      <c r="U401" s="68" t="str">
        <f aca="false">IF(U390="","",U390+U396)</f>
        <v/>
      </c>
      <c r="V401" s="68" t="str">
        <f aca="false">IF(V390="","",V390+V396)</f>
        <v/>
      </c>
      <c r="W401" s="68" t="str">
        <f aca="false">IF(W390="","",W390+W396)</f>
        <v/>
      </c>
      <c r="X401" s="68" t="str">
        <f aca="false">IF(X390="","",X390+X396)</f>
        <v/>
      </c>
      <c r="Y401" s="68" t="str">
        <f aca="false">IF(Y390="","",Y390+Y396)</f>
        <v/>
      </c>
      <c r="Z401" s="68" t="str">
        <f aca="false">IF(Z390="","",Z390+Z396)</f>
        <v/>
      </c>
      <c r="AA401" s="68" t="str">
        <f aca="false">IF(AA390="","",AA390+AA396)</f>
        <v/>
      </c>
      <c r="AB401" s="68" t="str">
        <f aca="false">IF(AB390="","",AB390+AB396)</f>
        <v/>
      </c>
      <c r="AC401" s="68" t="str">
        <f aca="false">IF(AC390="","",AC390+AC396)</f>
        <v/>
      </c>
      <c r="AD401" s="68" t="str">
        <f aca="false">IF(AD390="","",AD390+AD396)</f>
        <v/>
      </c>
      <c r="AE401" s="68" t="str">
        <f aca="false">IF(AE390="","",AE390+AE396)</f>
        <v/>
      </c>
      <c r="AF401" s="68" t="str">
        <f aca="false">IF(AF390="","",AF390+AF396)</f>
        <v/>
      </c>
      <c r="AG401" s="68" t="str">
        <f aca="false">IF(AG390="","",AG390+AG396)</f>
        <v/>
      </c>
      <c r="AH401" s="68" t="str">
        <f aca="false">IF(AH390="","",AH390+AH396)</f>
        <v/>
      </c>
      <c r="AI401" s="68" t="str">
        <f aca="false">IF(AI390="","",AI390+AI396)</f>
        <v/>
      </c>
      <c r="AJ401" s="68" t="str">
        <f aca="false">IF(AJ390="","",AJ390+AJ396)</f>
        <v/>
      </c>
      <c r="AK401" s="68" t="str">
        <f aca="false">IF(AK390="","",AK390+AK396)</f>
        <v/>
      </c>
      <c r="AL401" s="68" t="str">
        <f aca="false">IF(AL390="","",AL390+AL396)</f>
        <v/>
      </c>
      <c r="AM401" s="68" t="str">
        <f aca="false">IF(AM390="","",AM390+AM396)</f>
        <v/>
      </c>
      <c r="AN401" s="68" t="str">
        <f aca="false">IF(AN390="","",AN390+AN396)</f>
        <v/>
      </c>
      <c r="AO401" s="68" t="str">
        <f aca="false">IF(AO390="","",AO390+AO396)</f>
        <v/>
      </c>
      <c r="AP401" s="68" t="str">
        <f aca="false">IF(AP390="","",AP390+AP396)</f>
        <v/>
      </c>
      <c r="AQ401" s="68" t="str">
        <f aca="false">IF(AQ390="","",AQ390+AQ396)</f>
        <v/>
      </c>
      <c r="AR401" s="68" t="str">
        <f aca="false">IF(AR390="","",AR390+AR396)</f>
        <v/>
      </c>
      <c r="AS401" s="68" t="str">
        <f aca="false">IF(AS390="","",AS390+AS396)</f>
        <v/>
      </c>
      <c r="AT401" s="68" t="str">
        <f aca="false">IF(AT390="","",AT390+AT396)</f>
        <v/>
      </c>
      <c r="AU401" s="68" t="str">
        <f aca="false">IF(AU390="","",AU390+AU396)</f>
        <v/>
      </c>
      <c r="AV401" s="68" t="str">
        <f aca="false">IF(AV390="","",AV390+AV396)</f>
        <v/>
      </c>
      <c r="AW401" s="68" t="str">
        <f aca="false">IF(AW390="","",AW390+AW396)</f>
        <v/>
      </c>
      <c r="AX401" s="68" t="str">
        <f aca="false">IF(AX390="","",AX390+AX396)</f>
        <v/>
      </c>
      <c r="AY401" s="68" t="str">
        <f aca="false">IF(AY390="","",AY390+AY396)</f>
        <v/>
      </c>
      <c r="AZ401" s="68" t="str">
        <f aca="false">IF(AZ390="","",AZ390+AZ396)</f>
        <v/>
      </c>
      <c r="BA401" s="68" t="str">
        <f aca="false">IF(BA390="","",BA390+BA396)</f>
        <v/>
      </c>
      <c r="BB401" s="68" t="str">
        <f aca="false">IF(BB390="","",BB390+BB396)</f>
        <v/>
      </c>
      <c r="BC401" s="68" t="str">
        <f aca="false">IF(BC390="","",BC390+BC396)</f>
        <v/>
      </c>
      <c r="BD401" s="68" t="str">
        <f aca="false">IF(BD390="","",BD390+BD396)</f>
        <v/>
      </c>
      <c r="BE401" s="68" t="str">
        <f aca="false">IF(BE390="","",BE390+BE396)</f>
        <v/>
      </c>
      <c r="BF401" s="68" t="str">
        <f aca="false">IF(BF390="","",BF390+BF396)</f>
        <v/>
      </c>
      <c r="BG401" s="68" t="str">
        <f aca="false">IF(BG390="","",BG390+BG396)</f>
        <v/>
      </c>
      <c r="BH401" s="68" t="str">
        <f aca="false">IF(BH390="","",BH390+BH396)</f>
        <v/>
      </c>
      <c r="BI401" s="68" t="str">
        <f aca="false">IF(BI390="","",BI390+BI396)</f>
        <v/>
      </c>
      <c r="BJ401" s="68" t="str">
        <f aca="false">IF(BJ390="","",BJ390+BJ396)</f>
        <v/>
      </c>
      <c r="BK401" s="68" t="str">
        <f aca="false">IF(BK390="","",BK390+BK396)</f>
        <v/>
      </c>
      <c r="BL401" s="68" t="str">
        <f aca="false">IF(BL390="","",BL390+BL396)</f>
        <v/>
      </c>
      <c r="BM401" s="68" t="str">
        <f aca="false">IF(BM390="","",BM390+BM396)</f>
        <v/>
      </c>
      <c r="BN401" s="68" t="str">
        <f aca="false">IF(BN390="","",BN390+BN396)</f>
        <v/>
      </c>
      <c r="BO401" s="68" t="str">
        <f aca="false">IF(BO390="","",BO390+BO396)</f>
        <v/>
      </c>
      <c r="BP401" s="68" t="str">
        <f aca="false">IF(BP390="","",BP390+BP396)</f>
        <v/>
      </c>
      <c r="BQ401" s="68" t="str">
        <f aca="false">IF(BQ390="","",BQ390+BQ396)</f>
        <v/>
      </c>
      <c r="BR401" s="68" t="str">
        <f aca="false">IF(BR390="","",BR390+BR396)</f>
        <v/>
      </c>
      <c r="BS401" s="68" t="str">
        <f aca="false">IF(BS390="","",BS390+BS396)</f>
        <v/>
      </c>
      <c r="BT401" s="68" t="str">
        <f aca="false">IF(BT390="","",BT390+BT396)</f>
        <v/>
      </c>
      <c r="BU401" s="68" t="str">
        <f aca="false">IF(BU390="","",BU390+BU396)</f>
        <v/>
      </c>
      <c r="BV401" s="68" t="str">
        <f aca="false">IF(BV390="","",BV390+BV396)</f>
        <v/>
      </c>
      <c r="BW401" s="68" t="str">
        <f aca="false">IF(BW390="","",BW390+BW396)</f>
        <v/>
      </c>
      <c r="BX401" s="68" t="str">
        <f aca="false">IF(BX390="","",BX390+BX396)</f>
        <v/>
      </c>
      <c r="BY401" s="68" t="str">
        <f aca="false">IF(BY390="","",BY390+BY396)</f>
        <v/>
      </c>
      <c r="BZ401" s="68" t="str">
        <f aca="false">IF(BZ390="","",BZ390+BZ396)</f>
        <v/>
      </c>
      <c r="CA401" s="68" t="str">
        <f aca="false">IF(CA390="","",CA390+CA396)</f>
        <v/>
      </c>
      <c r="CB401" s="68" t="str">
        <f aca="false">IF(CB390="","",CB390+CB396)</f>
        <v/>
      </c>
      <c r="CC401" s="68" t="str">
        <f aca="false">IF(CC390="","",CC390+CC396)</f>
        <v/>
      </c>
      <c r="CD401" s="68" t="str">
        <f aca="false">IF(CD390="","",CD390+CD396)</f>
        <v/>
      </c>
      <c r="CE401" s="68" t="str">
        <f aca="false">IF(CE390="","",CE390+CE396)</f>
        <v/>
      </c>
      <c r="CF401" s="68" t="str">
        <f aca="false">IF(CF390="","",CF390+CF396)</f>
        <v/>
      </c>
      <c r="CG401" s="68" t="str">
        <f aca="false">IF(CG390="","",CG390+CG396)</f>
        <v/>
      </c>
      <c r="CH401" s="68" t="str">
        <f aca="false">IF(CH390="","",CH390+CH396)</f>
        <v/>
      </c>
      <c r="CI401" s="68" t="str">
        <f aca="false">IF(CI390="","",CI390+CI396)</f>
        <v/>
      </c>
      <c r="CJ401" s="68" t="str">
        <f aca="false">IF(CJ390="","",CJ390+CJ396)</f>
        <v/>
      </c>
      <c r="CK401" s="68" t="str">
        <f aca="false">IF(CK390="","",CK390+CK396)</f>
        <v/>
      </c>
      <c r="CL401" s="68" t="str">
        <f aca="false">IF(CL390="","",CL390+CL396)</f>
        <v/>
      </c>
      <c r="CM401" s="68" t="str">
        <f aca="false">IF(CM390="","",CM390+CM396)</f>
        <v/>
      </c>
      <c r="CN401" s="68" t="str">
        <f aca="false">IF(CN390="","",CN390+CN396)</f>
        <v/>
      </c>
      <c r="CO401" s="68" t="str">
        <f aca="false">IF(CO390="","",CO390+CO396)</f>
        <v/>
      </c>
      <c r="CP401" s="68" t="str">
        <f aca="false">IF(CP390="","",CP390+CP396)</f>
        <v/>
      </c>
      <c r="CQ401" s="68" t="str">
        <f aca="false">IF(CQ390="","",CQ390+CQ396)</f>
        <v/>
      </c>
      <c r="CR401" s="68" t="str">
        <f aca="false">IF(CR390="","",CR390+CR396)</f>
        <v/>
      </c>
      <c r="CS401" s="68" t="str">
        <f aca="false">IF(CS390="","",CS390+CS396)</f>
        <v/>
      </c>
      <c r="CT401" s="68" t="str">
        <f aca="false">IF(CT390="","",CT390+CT396)</f>
        <v/>
      </c>
      <c r="CU401" s="68" t="str">
        <f aca="false">IF(CU390="","",CU390+CU396)</f>
        <v/>
      </c>
      <c r="CV401" s="68" t="str">
        <f aca="false">IF(CV390="","",CV390+CV396)</f>
        <v/>
      </c>
      <c r="CW401" s="68" t="str">
        <f aca="false">IF(CW390="","",CW390+CW396)</f>
        <v/>
      </c>
      <c r="CX401" s="68" t="str">
        <f aca="false">IF(CX390="","",CX390+CX396)</f>
        <v/>
      </c>
      <c r="CY401" s="68" t="str">
        <f aca="false">IF(CY390="","",CY390+CY396)</f>
        <v/>
      </c>
      <c r="CZ401" s="68" t="str">
        <f aca="false">IF(CZ390="","",CZ390+CZ396)</f>
        <v/>
      </c>
      <c r="DA401" s="68" t="str">
        <f aca="false">IF(DA390="","",DA390+DA396)</f>
        <v/>
      </c>
      <c r="DB401" s="68" t="str">
        <f aca="false">IF(DB390="","",DB390+DB396)</f>
        <v/>
      </c>
      <c r="DC401" s="68" t="str">
        <f aca="false">IF(DC390="","",DC390+DC396)</f>
        <v/>
      </c>
      <c r="DD401" s="68" t="str">
        <f aca="false">IF(DD390="","",DD390+DD396)</f>
        <v/>
      </c>
      <c r="DE401" s="68" t="str">
        <f aca="false">IF(DE390="","",DE390+DE396)</f>
        <v/>
      </c>
    </row>
    <row r="402" customFormat="false" ht="15" hidden="false" customHeight="true" outlineLevel="0" collapsed="false">
      <c r="A402" s="72"/>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c r="AZ402" s="71"/>
      <c r="BA402" s="71"/>
      <c r="BB402" s="71"/>
      <c r="BC402" s="71"/>
      <c r="BD402" s="71"/>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c r="CY402" s="71"/>
      <c r="CZ402" s="71"/>
      <c r="DA402" s="71"/>
      <c r="DB402" s="71"/>
      <c r="DC402" s="71"/>
      <c r="DD402" s="71"/>
      <c r="DE402" s="71"/>
    </row>
    <row r="403" customFormat="false" ht="15" hidden="false" customHeight="true" outlineLevel="0" collapsed="false">
      <c r="A403" s="23" t="s">
        <v>221</v>
      </c>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row>
    <row r="404" customFormat="false" ht="15" hidden="false" customHeight="true" outlineLevel="0" collapsed="false">
      <c r="A404" s="22" t="s">
        <v>222</v>
      </c>
      <c r="B404" s="13" t="n">
        <f aca="false">IF(B390="","",B390)</f>
        <v>680024</v>
      </c>
      <c r="C404" s="13" t="n">
        <f aca="false">IF(C390="","",C390)</f>
        <v>115848</v>
      </c>
      <c r="D404" s="13" t="n">
        <f aca="false">IF(D390="","",D390)</f>
        <v>633520</v>
      </c>
      <c r="E404" s="13" t="n">
        <f aca="false">IF(E390="","",E390)</f>
        <v>394004</v>
      </c>
      <c r="F404" s="13" t="n">
        <f aca="false">IF(F390="","",F390)</f>
        <v>501967</v>
      </c>
      <c r="G404" s="13" t="n">
        <f aca="false">IF(G390="","",G390)</f>
        <v>306139</v>
      </c>
      <c r="H404" s="13" t="n">
        <f aca="false">IF(H390="","",H390)</f>
        <v>283340</v>
      </c>
      <c r="I404" s="13" t="n">
        <f aca="false">IF(I390="","",I390)</f>
        <v>1287106</v>
      </c>
      <c r="J404" s="13" t="str">
        <f aca="false">IF(J390="","",J390)</f>
        <v/>
      </c>
      <c r="K404" s="13" t="str">
        <f aca="false">IF(K390="","",K390)</f>
        <v/>
      </c>
      <c r="L404" s="13" t="str">
        <f aca="false">IF(L390="","",L390)</f>
        <v/>
      </c>
      <c r="M404" s="13" t="str">
        <f aca="false">IF(M390="","",M390)</f>
        <v/>
      </c>
      <c r="N404" s="13" t="str">
        <f aca="false">IF(N390="","",N390)</f>
        <v/>
      </c>
      <c r="O404" s="13" t="str">
        <f aca="false">IF(O390="","",O390)</f>
        <v/>
      </c>
      <c r="P404" s="13" t="str">
        <f aca="false">IF(P390="","",P390)</f>
        <v/>
      </c>
      <c r="Q404" s="13" t="str">
        <f aca="false">IF(Q390="","",Q390)</f>
        <v/>
      </c>
      <c r="R404" s="13" t="str">
        <f aca="false">IF(R390="","",R390)</f>
        <v/>
      </c>
      <c r="S404" s="13" t="str">
        <f aca="false">IF(S390="","",S390)</f>
        <v/>
      </c>
      <c r="T404" s="13" t="str">
        <f aca="false">IF(T390="","",T390)</f>
        <v/>
      </c>
      <c r="U404" s="13" t="str">
        <f aca="false">IF(U390="","",U390)</f>
        <v/>
      </c>
      <c r="V404" s="13" t="str">
        <f aca="false">IF(V390="","",V390)</f>
        <v/>
      </c>
      <c r="W404" s="13" t="str">
        <f aca="false">IF(W390="","",W390)</f>
        <v/>
      </c>
      <c r="X404" s="13" t="str">
        <f aca="false">IF(X390="","",X390)</f>
        <v/>
      </c>
      <c r="Y404" s="13" t="str">
        <f aca="false">IF(Y390="","",Y390)</f>
        <v/>
      </c>
      <c r="Z404" s="13" t="str">
        <f aca="false">IF(Z390="","",Z390)</f>
        <v/>
      </c>
      <c r="AA404" s="13" t="str">
        <f aca="false">IF(AA390="","",AA390)</f>
        <v/>
      </c>
      <c r="AB404" s="13" t="str">
        <f aca="false">IF(AB390="","",AB390)</f>
        <v/>
      </c>
      <c r="AC404" s="13" t="str">
        <f aca="false">IF(AC390="","",AC390)</f>
        <v/>
      </c>
      <c r="AD404" s="13" t="str">
        <f aca="false">IF(AD390="","",AD390)</f>
        <v/>
      </c>
      <c r="AE404" s="13" t="str">
        <f aca="false">IF(AE390="","",AE390)</f>
        <v/>
      </c>
      <c r="AF404" s="13" t="str">
        <f aca="false">IF(AF390="","",AF390)</f>
        <v/>
      </c>
      <c r="AG404" s="13" t="str">
        <f aca="false">IF(AG390="","",AG390)</f>
        <v/>
      </c>
      <c r="AH404" s="13" t="str">
        <f aca="false">IF(AH390="","",AH390)</f>
        <v/>
      </c>
      <c r="AI404" s="13" t="str">
        <f aca="false">IF(AI390="","",AI390)</f>
        <v/>
      </c>
      <c r="AJ404" s="13" t="str">
        <f aca="false">IF(AJ390="","",AJ390)</f>
        <v/>
      </c>
      <c r="AK404" s="13" t="str">
        <f aca="false">IF(AK390="","",AK390)</f>
        <v/>
      </c>
      <c r="AL404" s="13" t="str">
        <f aca="false">IF(AL390="","",AL390)</f>
        <v/>
      </c>
      <c r="AM404" s="13" t="str">
        <f aca="false">IF(AM390="","",AM390)</f>
        <v/>
      </c>
      <c r="AN404" s="13" t="str">
        <f aca="false">IF(AN390="","",AN390)</f>
        <v/>
      </c>
      <c r="AO404" s="13" t="str">
        <f aca="false">IF(AO390="","",AO390)</f>
        <v/>
      </c>
      <c r="AP404" s="13" t="str">
        <f aca="false">IF(AP390="","",AP390)</f>
        <v/>
      </c>
      <c r="AQ404" s="13" t="str">
        <f aca="false">IF(AQ390="","",AQ390)</f>
        <v/>
      </c>
      <c r="AR404" s="13" t="str">
        <f aca="false">IF(AR390="","",AR390)</f>
        <v/>
      </c>
      <c r="AS404" s="13" t="str">
        <f aca="false">IF(AS390="","",AS390)</f>
        <v/>
      </c>
      <c r="AT404" s="13" t="str">
        <f aca="false">IF(AT390="","",AT390)</f>
        <v/>
      </c>
      <c r="AU404" s="13" t="str">
        <f aca="false">IF(AU390="","",AU390)</f>
        <v/>
      </c>
      <c r="AV404" s="13" t="str">
        <f aca="false">IF(AV390="","",AV390)</f>
        <v/>
      </c>
      <c r="AW404" s="13" t="str">
        <f aca="false">IF(AW390="","",AW390)</f>
        <v/>
      </c>
      <c r="AX404" s="13" t="str">
        <f aca="false">IF(AX390="","",AX390)</f>
        <v/>
      </c>
      <c r="AY404" s="13" t="str">
        <f aca="false">IF(AY390="","",AY390)</f>
        <v/>
      </c>
      <c r="AZ404" s="13" t="str">
        <f aca="false">IF(AZ390="","",AZ390)</f>
        <v/>
      </c>
      <c r="BA404" s="13" t="str">
        <f aca="false">IF(BA390="","",BA390)</f>
        <v/>
      </c>
      <c r="BB404" s="13" t="str">
        <f aca="false">IF(BB390="","",BB390)</f>
        <v/>
      </c>
      <c r="BC404" s="13" t="str">
        <f aca="false">IF(BC390="","",BC390)</f>
        <v/>
      </c>
      <c r="BD404" s="13" t="str">
        <f aca="false">IF(BD390="","",BD390)</f>
        <v/>
      </c>
      <c r="BE404" s="13" t="str">
        <f aca="false">IF(BE390="","",BE390)</f>
        <v/>
      </c>
      <c r="BF404" s="13" t="str">
        <f aca="false">IF(BF390="","",BF390)</f>
        <v/>
      </c>
      <c r="BG404" s="13" t="str">
        <f aca="false">IF(BG390="","",BG390)</f>
        <v/>
      </c>
      <c r="BH404" s="13" t="str">
        <f aca="false">IF(BH390="","",BH390)</f>
        <v/>
      </c>
      <c r="BI404" s="13" t="str">
        <f aca="false">IF(BI390="","",BI390)</f>
        <v/>
      </c>
      <c r="BJ404" s="13" t="str">
        <f aca="false">IF(BJ390="","",BJ390)</f>
        <v/>
      </c>
      <c r="BK404" s="13" t="str">
        <f aca="false">IF(BK390="","",BK390)</f>
        <v/>
      </c>
      <c r="BL404" s="13" t="str">
        <f aca="false">IF(BL390="","",BL390)</f>
        <v/>
      </c>
      <c r="BM404" s="13" t="str">
        <f aca="false">IF(BM390="","",BM390)</f>
        <v/>
      </c>
      <c r="BN404" s="13" t="str">
        <f aca="false">IF(BN390="","",BN390)</f>
        <v/>
      </c>
      <c r="BO404" s="13" t="str">
        <f aca="false">IF(BO390="","",BO390)</f>
        <v/>
      </c>
      <c r="BP404" s="13" t="str">
        <f aca="false">IF(BP390="","",BP390)</f>
        <v/>
      </c>
      <c r="BQ404" s="13" t="str">
        <f aca="false">IF(BQ390="","",BQ390)</f>
        <v/>
      </c>
      <c r="BR404" s="13" t="str">
        <f aca="false">IF(BR390="","",BR390)</f>
        <v/>
      </c>
      <c r="BS404" s="13" t="str">
        <f aca="false">IF(BS390="","",BS390)</f>
        <v/>
      </c>
      <c r="BT404" s="13" t="str">
        <f aca="false">IF(BT390="","",BT390)</f>
        <v/>
      </c>
      <c r="BU404" s="13" t="str">
        <f aca="false">IF(BU390="","",BU390)</f>
        <v/>
      </c>
      <c r="BV404" s="13" t="str">
        <f aca="false">IF(BV390="","",BV390)</f>
        <v/>
      </c>
      <c r="BW404" s="13" t="str">
        <f aca="false">IF(BW390="","",BW390)</f>
        <v/>
      </c>
      <c r="BX404" s="13" t="str">
        <f aca="false">IF(BX390="","",BX390)</f>
        <v/>
      </c>
      <c r="BY404" s="13" t="str">
        <f aca="false">IF(BY390="","",BY390)</f>
        <v/>
      </c>
      <c r="BZ404" s="13" t="str">
        <f aca="false">IF(BZ390="","",BZ390)</f>
        <v/>
      </c>
      <c r="CA404" s="13" t="str">
        <f aca="false">IF(CA390="","",CA390)</f>
        <v/>
      </c>
      <c r="CB404" s="13" t="str">
        <f aca="false">IF(CB390="","",CB390)</f>
        <v/>
      </c>
      <c r="CC404" s="13" t="str">
        <f aca="false">IF(CC390="","",CC390)</f>
        <v/>
      </c>
      <c r="CD404" s="13" t="str">
        <f aca="false">IF(CD390="","",CD390)</f>
        <v/>
      </c>
      <c r="CE404" s="13" t="str">
        <f aca="false">IF(CE390="","",CE390)</f>
        <v/>
      </c>
      <c r="CF404" s="13" t="str">
        <f aca="false">IF(CF390="","",CF390)</f>
        <v/>
      </c>
      <c r="CG404" s="13" t="str">
        <f aca="false">IF(CG390="","",CG390)</f>
        <v/>
      </c>
      <c r="CH404" s="13" t="str">
        <f aca="false">IF(CH390="","",CH390)</f>
        <v/>
      </c>
      <c r="CI404" s="13" t="str">
        <f aca="false">IF(CI390="","",CI390)</f>
        <v/>
      </c>
      <c r="CJ404" s="13" t="str">
        <f aca="false">IF(CJ390="","",CJ390)</f>
        <v/>
      </c>
      <c r="CK404" s="13" t="str">
        <f aca="false">IF(CK390="","",CK390)</f>
        <v/>
      </c>
      <c r="CL404" s="13" t="str">
        <f aca="false">IF(CL390="","",CL390)</f>
        <v/>
      </c>
      <c r="CM404" s="13" t="str">
        <f aca="false">IF(CM390="","",CM390)</f>
        <v/>
      </c>
      <c r="CN404" s="13" t="str">
        <f aca="false">IF(CN390="","",CN390)</f>
        <v/>
      </c>
      <c r="CO404" s="13" t="str">
        <f aca="false">IF(CO390="","",CO390)</f>
        <v/>
      </c>
      <c r="CP404" s="13" t="str">
        <f aca="false">IF(CP390="","",CP390)</f>
        <v/>
      </c>
      <c r="CQ404" s="13" t="str">
        <f aca="false">IF(CQ390="","",CQ390)</f>
        <v/>
      </c>
      <c r="CR404" s="13" t="str">
        <f aca="false">IF(CR390="","",CR390)</f>
        <v/>
      </c>
      <c r="CS404" s="13" t="str">
        <f aca="false">IF(CS390="","",CS390)</f>
        <v/>
      </c>
      <c r="CT404" s="13" t="str">
        <f aca="false">IF(CT390="","",CT390)</f>
        <v/>
      </c>
      <c r="CU404" s="13" t="str">
        <f aca="false">IF(CU390="","",CU390)</f>
        <v/>
      </c>
      <c r="CV404" s="13" t="str">
        <f aca="false">IF(CV390="","",CV390)</f>
        <v/>
      </c>
      <c r="CW404" s="13" t="str">
        <f aca="false">IF(CW390="","",CW390)</f>
        <v/>
      </c>
      <c r="CX404" s="13" t="str">
        <f aca="false">IF(CX390="","",CX390)</f>
        <v/>
      </c>
      <c r="CY404" s="13" t="str">
        <f aca="false">IF(CY390="","",CY390)</f>
        <v/>
      </c>
      <c r="CZ404" s="13" t="str">
        <f aca="false">IF(CZ390="","",CZ390)</f>
        <v/>
      </c>
      <c r="DA404" s="13" t="str">
        <f aca="false">IF(DA390="","",DA390)</f>
        <v/>
      </c>
      <c r="DB404" s="13" t="str">
        <f aca="false">IF(DB390="","",DB390)</f>
        <v/>
      </c>
      <c r="DC404" s="13" t="str">
        <f aca="false">IF(DC390="","",DC390)</f>
        <v/>
      </c>
      <c r="DD404" s="13" t="str">
        <f aca="false">IF(DD390="","",DD390)</f>
        <v/>
      </c>
      <c r="DE404" s="13" t="str">
        <f aca="false">IF(DE390="","",DE390)</f>
        <v/>
      </c>
    </row>
    <row r="405" customFormat="false" ht="15" hidden="false" customHeight="true" outlineLevel="0" collapsed="false">
      <c r="A405" s="22" t="s">
        <v>223</v>
      </c>
      <c r="B405" s="13" t="str">
        <f aca="false">IF(B$4="Actuals",IF(C$4="Actuals","",C355),B363)</f>
        <v/>
      </c>
      <c r="C405" s="13" t="str">
        <f aca="false">IF(C$4="Actuals",IF(D$4="Actuals","",D355),C363)</f>
        <v/>
      </c>
      <c r="D405" s="13" t="str">
        <f aca="false">IF(D$4="Actuals",IF(E$4="Actuals","",E355),D363)</f>
        <v/>
      </c>
      <c r="E405" s="13" t="str">
        <f aca="false">IF(E$4="Actuals",IF(F$4="Actuals","",F355),E363)</f>
        <v/>
      </c>
      <c r="F405" s="13" t="str">
        <f aca="false">IF(F$4="Actuals",IF(G$4="Actuals","",G355),F363)</f>
        <v/>
      </c>
      <c r="G405" s="13" t="str">
        <f aca="false">IF(G$4="Actuals",IF(H$4="Actuals","",H355),G363)</f>
        <v/>
      </c>
      <c r="H405" s="13" t="str">
        <f aca="false">IF(H$4="Actuals",IF(I$4="Actuals","",I355),H363)</f>
        <v/>
      </c>
      <c r="I405" s="13" t="n">
        <f aca="false">IF(I$4="Actuals",IF(J$4="Actuals","",J355),I363)</f>
        <v>1287106</v>
      </c>
      <c r="J405" s="13" t="n">
        <f aca="false">IF(J$4="Actuals",IF(K$4="Actuals","",K355),J363)</f>
        <v>1113428.48890737</v>
      </c>
      <c r="K405" s="13" t="n">
        <f aca="false">IF(K$4="Actuals",IF(L$4="Actuals","",L355),K363)</f>
        <v>1608936.51416871</v>
      </c>
      <c r="L405" s="13" t="n">
        <f aca="false">IF(L$4="Actuals",IF(M$4="Actuals","",M355),L363)</f>
        <v>2053661.92886452</v>
      </c>
      <c r="M405" s="13" t="n">
        <f aca="false">IF(M$4="Actuals",IF(N$4="Actuals","",N355),M363)</f>
        <v>2168054.84711936</v>
      </c>
      <c r="N405" s="13" t="n">
        <f aca="false">IF(N$4="Actuals",IF(O$4="Actuals","",O355),N363)</f>
        <v>1143817.67352964</v>
      </c>
      <c r="O405" s="13" t="n">
        <f aca="false">IF(O$4="Actuals",IF(P$4="Actuals","",P355),O363)</f>
        <v>1424378.16243575</v>
      </c>
      <c r="P405" s="13" t="n">
        <f aca="false">IF(P$4="Actuals",IF(Q$4="Actuals","",Q355),P363)</f>
        <v>1739781.35069781</v>
      </c>
      <c r="Q405" s="13" t="n">
        <f aca="false">IF(Q$4="Actuals",IF(R$4="Actuals","",R355),Q363)</f>
        <v>1983166.71522368</v>
      </c>
      <c r="R405" s="13" t="n">
        <f aca="false">IF(R$4="Actuals",IF(S$4="Actuals","",S355),R363)</f>
        <v>1497633.13073708</v>
      </c>
      <c r="S405" s="13" t="n">
        <f aca="false">IF(S$4="Actuals",IF(T$4="Actuals","",T355),S363)</f>
        <v>1561572.750026</v>
      </c>
      <c r="T405" s="13" t="n">
        <f aca="false">IF(T$4="Actuals",IF(U$4="Actuals","",U355),T363)</f>
        <v>1662810.86299778</v>
      </c>
      <c r="U405" s="13" t="n">
        <f aca="false">IF(U$4="Actuals",IF(V$4="Actuals","",V355),U363)</f>
        <v>1953527.99398282</v>
      </c>
      <c r="V405" s="13" t="n">
        <f aca="false">IF(V$4="Actuals",IF(W$4="Actuals","",W355),V363)</f>
        <v>2581953.05901466</v>
      </c>
      <c r="W405" s="13" t="n">
        <f aca="false">IF(W$4="Actuals",IF(X$4="Actuals","",X355),W363)</f>
        <v>3259430.10754649</v>
      </c>
      <c r="X405" s="13" t="n">
        <f aca="false">IF(X$4="Actuals",IF(Y$4="Actuals","",Y355),X363)</f>
        <v>3720641.44183539</v>
      </c>
      <c r="Y405" s="13" t="n">
        <f aca="false">IF(Y$4="Actuals",IF(Z$4="Actuals","",Z355),Y363)</f>
        <v>4415467.61553319</v>
      </c>
      <c r="Z405" s="13" t="n">
        <f aca="false">IF(Z$4="Actuals",IF(AA$4="Actuals","",AA355),Z363)</f>
        <v>5007331.72706562</v>
      </c>
      <c r="AA405" s="13" t="n">
        <f aca="false">IF(AA$4="Actuals",IF(AB$4="Actuals","",AB355),AA363)</f>
        <v>5819979.16304536</v>
      </c>
      <c r="AB405" s="13" t="n">
        <f aca="false">IF(AB$4="Actuals",IF(AC$4="Actuals","",AC355),AB363)</f>
        <v>6664746.98445921</v>
      </c>
      <c r="AC405" s="13" t="n">
        <f aca="false">IF(AC$4="Actuals",IF(AD$4="Actuals","",AD355),AC363)</f>
        <v>7251249.4511928</v>
      </c>
      <c r="AD405" s="13" t="n">
        <f aca="false">IF(AD$4="Actuals",IF(AE$4="Actuals","",AE355),AD363)</f>
        <v>7614248.25375976</v>
      </c>
      <c r="AE405" s="13" t="n">
        <f aca="false">IF(AE$4="Actuals",IF(AF$4="Actuals","",AF355),AE363)</f>
        <v>8014690.46070636</v>
      </c>
      <c r="AF405" s="13" t="n">
        <f aca="false">IF(AF$4="Actuals",IF(AG$4="Actuals","",AG355),AF363)</f>
        <v>7959222.71897483</v>
      </c>
      <c r="AG405" s="13" t="n">
        <f aca="false">IF(AG$4="Actuals",IF(AH$4="Actuals","",AH355),AG363)</f>
        <v>8731540.43226733</v>
      </c>
      <c r="AH405" s="13" t="n">
        <f aca="false">IF(AH$4="Actuals",IF(AI$4="Actuals","",AI355),AH363)</f>
        <v>9366715.76117082</v>
      </c>
      <c r="AI405" s="13" t="n">
        <f aca="false">IF(AI$4="Actuals",IF(AJ$4="Actuals","",AJ355),AI363)</f>
        <v>9877813.80292009</v>
      </c>
      <c r="AJ405" s="13" t="n">
        <f aca="false">IF(AJ$4="Actuals",IF(AK$4="Actuals","",AK355),AJ363)</f>
        <v>10598058.2914473</v>
      </c>
      <c r="AK405" s="13" t="n">
        <f aca="false">IF(AK$4="Actuals",IF(AL$4="Actuals","",AL355),AK363)</f>
        <v>11282333.3093572</v>
      </c>
      <c r="AL405" s="13" t="n">
        <f aca="false">IF(AL$4="Actuals",IF(AM$4="Actuals","",AM355),AL363)</f>
        <v>11641234.1107328</v>
      </c>
      <c r="AM405" s="13" t="n">
        <f aca="false">IF(AM$4="Actuals",IF(AN$4="Actuals","",AN355),AM363)</f>
        <v>11908934.8330606</v>
      </c>
      <c r="AN405" s="13" t="n">
        <f aca="false">IF(AN$4="Actuals",IF(AO$4="Actuals","",AO355),AN363)</f>
        <v>12284109.832659</v>
      </c>
      <c r="AO405" s="13" t="n">
        <f aca="false">IF(AO$4="Actuals",IF(AP$4="Actuals","",AP355),AO363)</f>
        <v>12308676.203955</v>
      </c>
      <c r="AP405" s="13" t="n">
        <f aca="false">IF(AP$4="Actuals",IF(AQ$4="Actuals","",AQ355),AP363)</f>
        <v>12293313.9652509</v>
      </c>
      <c r="AQ405" s="13" t="n">
        <f aca="false">IF(AQ$4="Actuals",IF(AR$4="Actuals","",AR355),AQ363)</f>
        <v>12284156.8590815</v>
      </c>
      <c r="AR405" s="13" t="n">
        <f aca="false">IF(AR$4="Actuals",IF(AS$4="Actuals","",AS355),AR363)</f>
        <v>12294615.1375275</v>
      </c>
      <c r="AS405" s="13" t="n">
        <f aca="false">IF(AS$4="Actuals",IF(AT$4="Actuals","",AT355),AS363)</f>
        <v>12308115.1476081</v>
      </c>
      <c r="AT405" s="13" t="n">
        <f aca="false">IF(AT$4="Actuals",IF(AU$4="Actuals","",AU355),AT363)</f>
        <v>12590091.8483898</v>
      </c>
      <c r="AU405" s="13" t="n">
        <f aca="false">IF(AU$4="Actuals",IF(AV$4="Actuals","",AV355),AU363)</f>
        <v>13037436.4244729</v>
      </c>
      <c r="AV405" s="13" t="n">
        <f aca="false">IF(AV$4="Actuals",IF(AW$4="Actuals","",AW355),AV363)</f>
        <v>13053216.6938003</v>
      </c>
      <c r="AW405" s="13" t="n">
        <f aca="false">IF(AW$4="Actuals",IF(AX$4="Actuals","",AX355),AW363)</f>
        <v>12799087.3100259</v>
      </c>
      <c r="AX405" s="13" t="n">
        <f aca="false">IF(AX$4="Actuals",IF(AY$4="Actuals","",AY355),AX363)</f>
        <v>12544957.9262515</v>
      </c>
      <c r="AY405" s="13" t="n">
        <f aca="false">IF(AY$4="Actuals",IF(AZ$4="Actuals","",AZ355),AY363)</f>
        <v>12290828.5424772</v>
      </c>
      <c r="AZ405" s="13" t="n">
        <f aca="false">IF(AZ$4="Actuals",IF(BA$4="Actuals","",BA355),AZ363)</f>
        <v>12036699.1587028</v>
      </c>
      <c r="BA405" s="13" t="n">
        <f aca="false">IF(BA$4="Actuals",IF(BB$4="Actuals","",BB355),BA363)</f>
        <v>11774491.6540765</v>
      </c>
      <c r="BB405" s="13" t="n">
        <f aca="false">IF(BB$4="Actuals",IF(BC$4="Actuals","",BC355),BB363)</f>
        <v>11512284.1494501</v>
      </c>
      <c r="BC405" s="13" t="n">
        <f aca="false">IF(BC$4="Actuals",IF(BD$4="Actuals","",BD355),BC363)</f>
        <v>11250076.6448238</v>
      </c>
      <c r="BD405" s="13" t="n">
        <f aca="false">IF(BD$4="Actuals",IF(BE$4="Actuals","",BE355),BD363)</f>
        <v>10987869.1401974</v>
      </c>
      <c r="BE405" s="13" t="n">
        <f aca="false">IF(BE$4="Actuals",IF(BF$4="Actuals","",BF355),BE363)</f>
        <v>10725661.6355711</v>
      </c>
      <c r="BF405" s="13" t="n">
        <f aca="false">IF(BF$4="Actuals",IF(BG$4="Actuals","",BG355),BF363)</f>
        <v>10463454.1309447</v>
      </c>
      <c r="BG405" s="13" t="n">
        <f aca="false">IF(BG$4="Actuals",IF(BH$4="Actuals","",BH355),BG363)</f>
        <v>10201246.6263184</v>
      </c>
      <c r="BH405" s="13" t="n">
        <f aca="false">IF(BH$4="Actuals",IF(BI$4="Actuals","",BI355),BH363)</f>
        <v>10175528.5829948</v>
      </c>
      <c r="BI405" s="13" t="n">
        <f aca="false">IF(BI$4="Actuals",IF(BJ$4="Actuals","",BJ355),BI363)</f>
        <v>10170140.3354675</v>
      </c>
      <c r="BJ405" s="13" t="n">
        <f aca="false">IF(BJ$4="Actuals",IF(BK$4="Actuals","",BK355),BJ363)</f>
        <v>9758156.17201604</v>
      </c>
      <c r="BK405" s="13" t="n">
        <f aca="false">IF(BK$4="Actuals",IF(BL$4="Actuals","",BL355),BK363)</f>
        <v>9346172.00856457</v>
      </c>
      <c r="BL405" s="13" t="n">
        <f aca="false">IF(BL$4="Actuals",IF(BM$4="Actuals","",BM355),BL363)</f>
        <v>8934187.8451131</v>
      </c>
      <c r="BM405" s="13" t="n">
        <f aca="false">IF(BM$4="Actuals",IF(BN$4="Actuals","",BN355),BM363)</f>
        <v>8513963.9983926</v>
      </c>
      <c r="BN405" s="13" t="n">
        <f aca="false">IF(BN$4="Actuals",IF(BO$4="Actuals","",BO355),BN363)</f>
        <v>8093740.15167211</v>
      </c>
      <c r="BO405" s="13" t="n">
        <f aca="false">IF(BO$4="Actuals",IF(BP$4="Actuals","",BP355),BO363)</f>
        <v>7673516.30495161</v>
      </c>
      <c r="BP405" s="13" t="n">
        <f aca="false">IF(BP$4="Actuals",IF(BQ$4="Actuals","",BQ355),BP363)</f>
        <v>7253292.45823111</v>
      </c>
      <c r="BQ405" s="13" t="n">
        <f aca="false">IF(BQ$4="Actuals",IF(BR$4="Actuals","",BR355),BQ363)</f>
        <v>6833068.61151061</v>
      </c>
      <c r="BR405" s="13" t="n">
        <f aca="false">IF(BR$4="Actuals",IF(BS$4="Actuals","",BS355),BR363)</f>
        <v>6412844.76479011</v>
      </c>
      <c r="BS405" s="13" t="n">
        <f aca="false">IF(BS$4="Actuals",IF(BT$4="Actuals","",BT355),BS363)</f>
        <v>5992620.91806961</v>
      </c>
      <c r="BT405" s="13" t="n">
        <f aca="false">IF(BT$4="Actuals",IF(BU$4="Actuals","",BU355),BT363)</f>
        <v>5572397.07134911</v>
      </c>
      <c r="BU405" s="13" t="n">
        <f aca="false">IF(BU$4="Actuals",IF(BV$4="Actuals","",BV355),BU363)</f>
        <v>5152173.22462861</v>
      </c>
      <c r="BV405" s="13" t="n">
        <f aca="false">IF(BV$4="Actuals",IF(BW$4="Actuals","",BW355),BV363)</f>
        <v>4731949.37790811</v>
      </c>
      <c r="BW405" s="13" t="n">
        <f aca="false">IF(BW$4="Actuals",IF(BX$4="Actuals","",BX355),BW363)</f>
        <v>4311725.53118761</v>
      </c>
      <c r="BX405" s="13" t="n">
        <f aca="false">IF(BX$4="Actuals",IF(BY$4="Actuals","",BY355),BX363)</f>
        <v>3891501.68446712</v>
      </c>
      <c r="BY405" s="13" t="n">
        <f aca="false">IF(BY$4="Actuals",IF(BZ$4="Actuals","",BZ355),BY363)</f>
        <v>3462873.36081221</v>
      </c>
      <c r="BZ405" s="13" t="n">
        <f aca="false">IF(BZ$4="Actuals",IF(CA$4="Actuals","",CA355),BZ363)</f>
        <v>3034245.0371573</v>
      </c>
      <c r="CA405" s="13" t="n">
        <f aca="false">IF(CA$4="Actuals",IF(CB$4="Actuals","",CB355),CA363)</f>
        <v>2605616.71350239</v>
      </c>
      <c r="CB405" s="13" t="n">
        <f aca="false">IF(CB$4="Actuals",IF(CC$4="Actuals","",CC355),CB363)</f>
        <v>2176988.38984748</v>
      </c>
      <c r="CC405" s="13" t="n">
        <f aca="false">IF(CC$4="Actuals",IF(CD$4="Actuals","",CD355),CC363)</f>
        <v>1748360.06619257</v>
      </c>
      <c r="CD405" s="13" t="n">
        <f aca="false">IF(CD$4="Actuals",IF(CE$4="Actuals","",CE355),CD363)</f>
        <v>1319731.74253766</v>
      </c>
      <c r="CE405" s="13" t="n">
        <f aca="false">IF(CE$4="Actuals",IF(CF$4="Actuals","",CF355),CE363)</f>
        <v>891103.418882752</v>
      </c>
      <c r="CF405" s="13" t="n">
        <f aca="false">IF(CF$4="Actuals",IF(CG$4="Actuals","",CG355),CF363)</f>
        <v>462475.095227842</v>
      </c>
      <c r="CG405" s="13" t="n">
        <f aca="false">IF(CG$4="Actuals",IF(CH$4="Actuals","",CH355),CG363)</f>
        <v>33846.7715729334</v>
      </c>
      <c r="CH405" s="13" t="n">
        <f aca="false">IF(CH$4="Actuals",IF(CI$4="Actuals","",CI355),CH363)</f>
        <v>-394781.552081976</v>
      </c>
      <c r="CI405" s="13" t="n">
        <f aca="false">IF(CI$4="Actuals",IF(CJ$4="Actuals","",CJ355),CI363)</f>
        <v>-823409.875736885</v>
      </c>
      <c r="CJ405" s="13" t="n">
        <f aca="false">IF(CJ$4="Actuals",IF(CK$4="Actuals","",CK355),CJ363)</f>
        <v>-1252038.19939179</v>
      </c>
      <c r="CK405" s="13" t="n">
        <f aca="false">IF(CK$4="Actuals",IF(CL$4="Actuals","",CL355),CK363)</f>
        <v>-1689239.0895198</v>
      </c>
      <c r="CL405" s="13" t="n">
        <f aca="false">IF(CL$4="Actuals",IF(CM$4="Actuals","",CM355),CL363)</f>
        <v>-2126439.97964781</v>
      </c>
      <c r="CM405" s="13" t="n">
        <f aca="false">IF(CM$4="Actuals",IF(CN$4="Actuals","",CN355),CM363)</f>
        <v>-2563640.86977582</v>
      </c>
      <c r="CN405" s="13" t="n">
        <f aca="false">IF(CN$4="Actuals",IF(CO$4="Actuals","",CO355),CN363)</f>
        <v>-3000841.75990382</v>
      </c>
      <c r="CO405" s="13" t="n">
        <f aca="false">IF(CO$4="Actuals",IF(CP$4="Actuals","",CP355),CO363)</f>
        <v>-3438042.65003183</v>
      </c>
      <c r="CP405" s="13" t="n">
        <f aca="false">IF(CP$4="Actuals",IF(CQ$4="Actuals","",CQ355),CP363)</f>
        <v>-3875243.54015984</v>
      </c>
      <c r="CQ405" s="13" t="n">
        <f aca="false">IF(CQ$4="Actuals",IF(CR$4="Actuals","",CR355),CQ363)</f>
        <v>-4312444.43028784</v>
      </c>
      <c r="CR405" s="13" t="n">
        <f aca="false">IF(CR$4="Actuals",IF(CS$4="Actuals","",CS355),CR363)</f>
        <v>-4749645.32041585</v>
      </c>
      <c r="CS405" s="13" t="n">
        <f aca="false">IF(CS$4="Actuals",IF(CT$4="Actuals","",CT355),CS363)</f>
        <v>-5186846.21054386</v>
      </c>
      <c r="CT405" s="13" t="n">
        <f aca="false">IF(CT$4="Actuals",IF(CU$4="Actuals","",CU355),CT363)</f>
        <v>-5572266.94106042</v>
      </c>
      <c r="CU405" s="13" t="n">
        <f aca="false">IF(CU$4="Actuals",IF(CV$4="Actuals","",CV355),CU363)</f>
        <v>-5957687.67157698</v>
      </c>
      <c r="CV405" s="13" t="n">
        <f aca="false">IF(CV$4="Actuals",IF(CW$4="Actuals","",CW355),CV363)</f>
        <v>-6343108.40209353</v>
      </c>
      <c r="CW405" s="13" t="n">
        <f aca="false">IF(CW$4="Actuals",IF(CX$4="Actuals","",CX355),CW363)</f>
        <v>-6736237.54722042</v>
      </c>
      <c r="CX405" s="13" t="n">
        <f aca="false">IF(CX$4="Actuals",IF(CY$4="Actuals","",CY355),CX363)</f>
        <v>-7129366.69234731</v>
      </c>
      <c r="CY405" s="13" t="n">
        <f aca="false">IF(CY$4="Actuals",IF(CZ$4="Actuals","",CZ355),CY363)</f>
        <v>-7522495.8374742</v>
      </c>
      <c r="CZ405" s="13" t="n">
        <f aca="false">IF(CZ$4="Actuals",IF(DA$4="Actuals","",DA355),CZ363)</f>
        <v>-7915624.98260109</v>
      </c>
      <c r="DA405" s="13" t="n">
        <f aca="false">IF(DA$4="Actuals",IF(DB$4="Actuals","",DB355),DA363)</f>
        <v>-8308754.12772798</v>
      </c>
      <c r="DB405" s="13" t="n">
        <f aca="false">IF(DB$4="Actuals",IF(DC$4="Actuals","",DC355),DB363)</f>
        <v>-8701883.27285487</v>
      </c>
      <c r="DC405" s="13" t="n">
        <f aca="false">IF(DC$4="Actuals",IF(DD$4="Actuals","",DD355),DC363)</f>
        <v>-9095012.41798176</v>
      </c>
      <c r="DD405" s="13" t="n">
        <f aca="false">IF(DD$4="Actuals",IF(DE$4="Actuals","",DE355),DD363)</f>
        <v>-9488141.56310865</v>
      </c>
      <c r="DE405" s="13" t="n">
        <f aca="false">IF(DE$4="Actuals",IF(DF$4="Actuals","",DF355),DE363)</f>
        <v>-9881270.70823554</v>
      </c>
    </row>
    <row r="406" customFormat="false" ht="15" hidden="false" customHeight="true" outlineLevel="0" collapsed="false">
      <c r="A406" s="22" t="s">
        <v>224</v>
      </c>
      <c r="B406" s="13" t="str">
        <f aca="false">IF(OR(B404="",B405=""),"",B405-B404)</f>
        <v/>
      </c>
      <c r="C406" s="13" t="str">
        <f aca="false">IF(OR(C404="",C405=""),"",C405-C404)</f>
        <v/>
      </c>
      <c r="D406" s="13" t="str">
        <f aca="false">IF(OR(D404="",D405=""),"",D405-D404)</f>
        <v/>
      </c>
      <c r="E406" s="13" t="str">
        <f aca="false">IF(OR(E404="",E405=""),"",E405-E404)</f>
        <v/>
      </c>
      <c r="F406" s="13" t="str">
        <f aca="false">IF(OR(F404="",F405=""),"",F405-F404)</f>
        <v/>
      </c>
      <c r="G406" s="13" t="str">
        <f aca="false">IF(OR(G404="",G405=""),"",G405-G404)</f>
        <v/>
      </c>
      <c r="H406" s="13" t="str">
        <f aca="false">IF(OR(H404="",H405=""),"",H405-H404)</f>
        <v/>
      </c>
      <c r="I406" s="13" t="n">
        <f aca="false">IF(OR(I404="",I405=""),"",I405-I404)</f>
        <v>0</v>
      </c>
      <c r="J406" s="13" t="str">
        <f aca="false">IF(OR(J404="",J405=""),"",J405-J404)</f>
        <v/>
      </c>
      <c r="K406" s="13" t="str">
        <f aca="false">IF(OR(K404="",K405=""),"",K405-K404)</f>
        <v/>
      </c>
      <c r="L406" s="13" t="str">
        <f aca="false">IF(OR(L404="",L405=""),"",L405-L404)</f>
        <v/>
      </c>
      <c r="M406" s="13" t="str">
        <f aca="false">IF(OR(M404="",M405=""),"",M405-M404)</f>
        <v/>
      </c>
      <c r="N406" s="13" t="str">
        <f aca="false">IF(OR(N404="",N405=""),"",N405-N404)</f>
        <v/>
      </c>
      <c r="O406" s="13" t="str">
        <f aca="false">IF(OR(O404="",O405=""),"",O405-O404)</f>
        <v/>
      </c>
      <c r="P406" s="13" t="str">
        <f aca="false">IF(OR(P404="",P405=""),"",P405-P404)</f>
        <v/>
      </c>
      <c r="Q406" s="13" t="str">
        <f aca="false">IF(OR(Q404="",Q405=""),"",Q405-Q404)</f>
        <v/>
      </c>
      <c r="R406" s="13" t="str">
        <f aca="false">IF(OR(R404="",R405=""),"",R405-R404)</f>
        <v/>
      </c>
      <c r="S406" s="13" t="str">
        <f aca="false">IF(OR(S404="",S405=""),"",S405-S404)</f>
        <v/>
      </c>
      <c r="T406" s="13" t="str">
        <f aca="false">IF(OR(T404="",T405=""),"",T405-T404)</f>
        <v/>
      </c>
      <c r="U406" s="13" t="str">
        <f aca="false">IF(OR(U404="",U405=""),"",U405-U404)</f>
        <v/>
      </c>
      <c r="V406" s="13" t="str">
        <f aca="false">IF(OR(V404="",V405=""),"",V405-V404)</f>
        <v/>
      </c>
      <c r="W406" s="13" t="str">
        <f aca="false">IF(OR(W404="",W405=""),"",W405-W404)</f>
        <v/>
      </c>
      <c r="X406" s="13" t="str">
        <f aca="false">IF(OR(X404="",X405=""),"",X405-X404)</f>
        <v/>
      </c>
      <c r="Y406" s="13" t="str">
        <f aca="false">IF(OR(Y404="",Y405=""),"",Y405-Y404)</f>
        <v/>
      </c>
      <c r="Z406" s="13" t="str">
        <f aca="false">IF(OR(Z404="",Z405=""),"",Z405-Z404)</f>
        <v/>
      </c>
      <c r="AA406" s="13" t="str">
        <f aca="false">IF(OR(AA404="",AA405=""),"",AA405-AA404)</f>
        <v/>
      </c>
      <c r="AB406" s="13" t="str">
        <f aca="false">IF(OR(AB404="",AB405=""),"",AB405-AB404)</f>
        <v/>
      </c>
      <c r="AC406" s="13" t="str">
        <f aca="false">IF(OR(AC404="",AC405=""),"",AC405-AC404)</f>
        <v/>
      </c>
      <c r="AD406" s="13" t="str">
        <f aca="false">IF(OR(AD404="",AD405=""),"",AD405-AD404)</f>
        <v/>
      </c>
      <c r="AE406" s="13" t="str">
        <f aca="false">IF(OR(AE404="",AE405=""),"",AE405-AE404)</f>
        <v/>
      </c>
      <c r="AF406" s="13" t="str">
        <f aca="false">IF(OR(AF404="",AF405=""),"",AF405-AF404)</f>
        <v/>
      </c>
      <c r="AG406" s="13" t="str">
        <f aca="false">IF(OR(AG404="",AG405=""),"",AG405-AG404)</f>
        <v/>
      </c>
      <c r="AH406" s="13" t="str">
        <f aca="false">IF(OR(AH404="",AH405=""),"",AH405-AH404)</f>
        <v/>
      </c>
      <c r="AI406" s="13" t="str">
        <f aca="false">IF(OR(AI404="",AI405=""),"",AI405-AI404)</f>
        <v/>
      </c>
      <c r="AJ406" s="13" t="str">
        <f aca="false">IF(OR(AJ404="",AJ405=""),"",AJ405-AJ404)</f>
        <v/>
      </c>
      <c r="AK406" s="13" t="str">
        <f aca="false">IF(OR(AK404="",AK405=""),"",AK405-AK404)</f>
        <v/>
      </c>
      <c r="AL406" s="13" t="str">
        <f aca="false">IF(OR(AL404="",AL405=""),"",AL405-AL404)</f>
        <v/>
      </c>
      <c r="AM406" s="13" t="str">
        <f aca="false">IF(OR(AM404="",AM405=""),"",AM405-AM404)</f>
        <v/>
      </c>
      <c r="AN406" s="13" t="str">
        <f aca="false">IF(OR(AN404="",AN405=""),"",AN405-AN404)</f>
        <v/>
      </c>
      <c r="AO406" s="13" t="str">
        <f aca="false">IF(OR(AO404="",AO405=""),"",AO405-AO404)</f>
        <v/>
      </c>
      <c r="AP406" s="13" t="str">
        <f aca="false">IF(OR(AP404="",AP405=""),"",AP405-AP404)</f>
        <v/>
      </c>
      <c r="AQ406" s="13" t="str">
        <f aca="false">IF(OR(AQ404="",AQ405=""),"",AQ405-AQ404)</f>
        <v/>
      </c>
      <c r="AR406" s="13" t="str">
        <f aca="false">IF(OR(AR404="",AR405=""),"",AR405-AR404)</f>
        <v/>
      </c>
      <c r="AS406" s="13" t="str">
        <f aca="false">IF(OR(AS404="",AS405=""),"",AS405-AS404)</f>
        <v/>
      </c>
      <c r="AT406" s="13" t="str">
        <f aca="false">IF(OR(AT404="",AT405=""),"",AT405-AT404)</f>
        <v/>
      </c>
      <c r="AU406" s="13" t="str">
        <f aca="false">IF(OR(AU404="",AU405=""),"",AU405-AU404)</f>
        <v/>
      </c>
      <c r="AV406" s="13" t="str">
        <f aca="false">IF(OR(AV404="",AV405=""),"",AV405-AV404)</f>
        <v/>
      </c>
      <c r="AW406" s="13" t="str">
        <f aca="false">IF(OR(AW404="",AW405=""),"",AW405-AW404)</f>
        <v/>
      </c>
      <c r="AX406" s="13" t="str">
        <f aca="false">IF(OR(AX404="",AX405=""),"",AX405-AX404)</f>
        <v/>
      </c>
      <c r="AY406" s="13" t="str">
        <f aca="false">IF(OR(AY404="",AY405=""),"",AY405-AY404)</f>
        <v/>
      </c>
      <c r="AZ406" s="13" t="str">
        <f aca="false">IF(OR(AZ404="",AZ405=""),"",AZ405-AZ404)</f>
        <v/>
      </c>
      <c r="BA406" s="13" t="str">
        <f aca="false">IF(OR(BA404="",BA405=""),"",BA405-BA404)</f>
        <v/>
      </c>
      <c r="BB406" s="13" t="str">
        <f aca="false">IF(OR(BB404="",BB405=""),"",BB405-BB404)</f>
        <v/>
      </c>
      <c r="BC406" s="13" t="str">
        <f aca="false">IF(OR(BC404="",BC405=""),"",BC405-BC404)</f>
        <v/>
      </c>
      <c r="BD406" s="13" t="str">
        <f aca="false">IF(OR(BD404="",BD405=""),"",BD405-BD404)</f>
        <v/>
      </c>
      <c r="BE406" s="13" t="str">
        <f aca="false">IF(OR(BE404="",BE405=""),"",BE405-BE404)</f>
        <v/>
      </c>
      <c r="BF406" s="13" t="str">
        <f aca="false">IF(OR(BF404="",BF405=""),"",BF405-BF404)</f>
        <v/>
      </c>
      <c r="BG406" s="13" t="str">
        <f aca="false">IF(OR(BG404="",BG405=""),"",BG405-BG404)</f>
        <v/>
      </c>
      <c r="BH406" s="13" t="str">
        <f aca="false">IF(OR(BH404="",BH405=""),"",BH405-BH404)</f>
        <v/>
      </c>
      <c r="BI406" s="13" t="str">
        <f aca="false">IF(OR(BI404="",BI405=""),"",BI405-BI404)</f>
        <v/>
      </c>
      <c r="BJ406" s="13" t="str">
        <f aca="false">IF(OR(BJ404="",BJ405=""),"",BJ405-BJ404)</f>
        <v/>
      </c>
      <c r="BK406" s="13" t="str">
        <f aca="false">IF(OR(BK404="",BK405=""),"",BK405-BK404)</f>
        <v/>
      </c>
      <c r="BL406" s="13" t="str">
        <f aca="false">IF(OR(BL404="",BL405=""),"",BL405-BL404)</f>
        <v/>
      </c>
      <c r="BM406" s="13" t="str">
        <f aca="false">IF(OR(BM404="",BM405=""),"",BM405-BM404)</f>
        <v/>
      </c>
      <c r="BN406" s="13" t="str">
        <f aca="false">IF(OR(BN404="",BN405=""),"",BN405-BN404)</f>
        <v/>
      </c>
      <c r="BO406" s="13" t="str">
        <f aca="false">IF(OR(BO404="",BO405=""),"",BO405-BO404)</f>
        <v/>
      </c>
      <c r="BP406" s="13" t="str">
        <f aca="false">IF(OR(BP404="",BP405=""),"",BP405-BP404)</f>
        <v/>
      </c>
      <c r="BQ406" s="13" t="str">
        <f aca="false">IF(OR(BQ404="",BQ405=""),"",BQ405-BQ404)</f>
        <v/>
      </c>
      <c r="BR406" s="13" t="str">
        <f aca="false">IF(OR(BR404="",BR405=""),"",BR405-BR404)</f>
        <v/>
      </c>
      <c r="BS406" s="13" t="str">
        <f aca="false">IF(OR(BS404="",BS405=""),"",BS405-BS404)</f>
        <v/>
      </c>
      <c r="BT406" s="13" t="str">
        <f aca="false">IF(OR(BT404="",BT405=""),"",BT405-BT404)</f>
        <v/>
      </c>
      <c r="BU406" s="13" t="str">
        <f aca="false">IF(OR(BU404="",BU405=""),"",BU405-BU404)</f>
        <v/>
      </c>
      <c r="BV406" s="13" t="str">
        <f aca="false">IF(OR(BV404="",BV405=""),"",BV405-BV404)</f>
        <v/>
      </c>
      <c r="BW406" s="13" t="str">
        <f aca="false">IF(OR(BW404="",BW405=""),"",BW405-BW404)</f>
        <v/>
      </c>
      <c r="BX406" s="13" t="str">
        <f aca="false">IF(OR(BX404="",BX405=""),"",BX405-BX404)</f>
        <v/>
      </c>
      <c r="BY406" s="13" t="str">
        <f aca="false">IF(OR(BY404="",BY405=""),"",BY405-BY404)</f>
        <v/>
      </c>
      <c r="BZ406" s="13" t="str">
        <f aca="false">IF(OR(BZ404="",BZ405=""),"",BZ405-BZ404)</f>
        <v/>
      </c>
      <c r="CA406" s="13" t="str">
        <f aca="false">IF(OR(CA404="",CA405=""),"",CA405-CA404)</f>
        <v/>
      </c>
      <c r="CB406" s="13" t="str">
        <f aca="false">IF(OR(CB404="",CB405=""),"",CB405-CB404)</f>
        <v/>
      </c>
      <c r="CC406" s="13" t="str">
        <f aca="false">IF(OR(CC404="",CC405=""),"",CC405-CC404)</f>
        <v/>
      </c>
      <c r="CD406" s="13" t="str">
        <f aca="false">IF(OR(CD404="",CD405=""),"",CD405-CD404)</f>
        <v/>
      </c>
      <c r="CE406" s="13" t="str">
        <f aca="false">IF(OR(CE404="",CE405=""),"",CE405-CE404)</f>
        <v/>
      </c>
      <c r="CF406" s="13" t="str">
        <f aca="false">IF(OR(CF404="",CF405=""),"",CF405-CF404)</f>
        <v/>
      </c>
      <c r="CG406" s="13" t="str">
        <f aca="false">IF(OR(CG404="",CG405=""),"",CG405-CG404)</f>
        <v/>
      </c>
      <c r="CH406" s="13" t="str">
        <f aca="false">IF(OR(CH404="",CH405=""),"",CH405-CH404)</f>
        <v/>
      </c>
      <c r="CI406" s="13" t="str">
        <f aca="false">IF(OR(CI404="",CI405=""),"",CI405-CI404)</f>
        <v/>
      </c>
      <c r="CJ406" s="13" t="str">
        <f aca="false">IF(OR(CJ404="",CJ405=""),"",CJ405-CJ404)</f>
        <v/>
      </c>
      <c r="CK406" s="13" t="str">
        <f aca="false">IF(OR(CK404="",CK405=""),"",CK405-CK404)</f>
        <v/>
      </c>
      <c r="CL406" s="13" t="str">
        <f aca="false">IF(OR(CL404="",CL405=""),"",CL405-CL404)</f>
        <v/>
      </c>
      <c r="CM406" s="13" t="str">
        <f aca="false">IF(OR(CM404="",CM405=""),"",CM405-CM404)</f>
        <v/>
      </c>
      <c r="CN406" s="13" t="str">
        <f aca="false">IF(OR(CN404="",CN405=""),"",CN405-CN404)</f>
        <v/>
      </c>
      <c r="CO406" s="13" t="str">
        <f aca="false">IF(OR(CO404="",CO405=""),"",CO405-CO404)</f>
        <v/>
      </c>
      <c r="CP406" s="13" t="str">
        <f aca="false">IF(OR(CP404="",CP405=""),"",CP405-CP404)</f>
        <v/>
      </c>
      <c r="CQ406" s="13" t="str">
        <f aca="false">IF(OR(CQ404="",CQ405=""),"",CQ405-CQ404)</f>
        <v/>
      </c>
      <c r="CR406" s="13" t="str">
        <f aca="false">IF(OR(CR404="",CR405=""),"",CR405-CR404)</f>
        <v/>
      </c>
      <c r="CS406" s="13" t="str">
        <f aca="false">IF(OR(CS404="",CS405=""),"",CS405-CS404)</f>
        <v/>
      </c>
      <c r="CT406" s="13" t="str">
        <f aca="false">IF(OR(CT404="",CT405=""),"",CT405-CT404)</f>
        <v/>
      </c>
      <c r="CU406" s="13" t="str">
        <f aca="false">IF(OR(CU404="",CU405=""),"",CU405-CU404)</f>
        <v/>
      </c>
      <c r="CV406" s="13" t="str">
        <f aca="false">IF(OR(CV404="",CV405=""),"",CV405-CV404)</f>
        <v/>
      </c>
      <c r="CW406" s="13" t="str">
        <f aca="false">IF(OR(CW404="",CW405=""),"",CW405-CW404)</f>
        <v/>
      </c>
      <c r="CX406" s="13" t="str">
        <f aca="false">IF(OR(CX404="",CX405=""),"",CX405-CX404)</f>
        <v/>
      </c>
      <c r="CY406" s="13" t="str">
        <f aca="false">IF(OR(CY404="",CY405=""),"",CY405-CY404)</f>
        <v/>
      </c>
      <c r="CZ406" s="13" t="str">
        <f aca="false">IF(OR(CZ404="",CZ405=""),"",CZ405-CZ404)</f>
        <v/>
      </c>
      <c r="DA406" s="13" t="str">
        <f aca="false">IF(OR(DA404="",DA405=""),"",DA405-DA404)</f>
        <v/>
      </c>
      <c r="DB406" s="13" t="str">
        <f aca="false">IF(OR(DB404="",DB405=""),"",DB405-DB404)</f>
        <v/>
      </c>
      <c r="DC406" s="13" t="str">
        <f aca="false">IF(OR(DC404="",DC405=""),"",DC405-DC404)</f>
        <v/>
      </c>
      <c r="DD406" s="13" t="str">
        <f aca="false">IF(OR(DD404="",DD405=""),"",DD405-DD404)</f>
        <v/>
      </c>
      <c r="DE406" s="13" t="str">
        <f aca="false">IF(OR(DE404="",DE405=""),"",DE405-DE404)</f>
        <v/>
      </c>
    </row>
    <row r="407" customFormat="false" ht="15" hidden="false" customHeight="true" outlineLevel="0" collapsed="false">
      <c r="A407" s="22" t="s">
        <v>225</v>
      </c>
      <c r="B407" s="21" t="str">
        <f aca="false">IF(B406="","",IF(ABS(B406)&lt;1,"OK","CHECK"))</f>
        <v/>
      </c>
      <c r="C407" s="21" t="str">
        <f aca="false">IF(C406="","",IF(ABS(C406)&lt;1,"OK","CHECK"))</f>
        <v/>
      </c>
      <c r="D407" s="21" t="str">
        <f aca="false">IF(D406="","",IF(ABS(D406)&lt;1,"OK","CHECK"))</f>
        <v/>
      </c>
      <c r="E407" s="21" t="str">
        <f aca="false">IF(E406="","",IF(ABS(E406)&lt;1,"OK","CHECK"))</f>
        <v/>
      </c>
      <c r="F407" s="21" t="str">
        <f aca="false">IF(F406="","",IF(ABS(F406)&lt;1,"OK","CHECK"))</f>
        <v/>
      </c>
      <c r="G407" s="21" t="str">
        <f aca="false">IF(G406="","",IF(ABS(G406)&lt;1,"OK","CHECK"))</f>
        <v/>
      </c>
      <c r="H407" s="21" t="str">
        <f aca="false">IF(H406="","",IF(ABS(H406)&lt;1,"OK","CHECK"))</f>
        <v/>
      </c>
      <c r="I407" s="21" t="str">
        <f aca="false">IF(I406="","",IF(ABS(I406)&lt;1,"OK","CHECK"))</f>
        <v>OK</v>
      </c>
      <c r="J407" s="21" t="str">
        <f aca="false">IF(J406="","",IF(ABS(J406)&lt;1,"OK","CHECK"))</f>
        <v/>
      </c>
      <c r="K407" s="21" t="str">
        <f aca="false">IF(K406="","",IF(ABS(K406)&lt;1,"OK","CHECK"))</f>
        <v/>
      </c>
      <c r="L407" s="21" t="str">
        <f aca="false">IF(L406="","",IF(ABS(L406)&lt;1,"OK","CHECK"))</f>
        <v/>
      </c>
      <c r="M407" s="21" t="str">
        <f aca="false">IF(M406="","",IF(ABS(M406)&lt;1,"OK","CHECK"))</f>
        <v/>
      </c>
      <c r="N407" s="21" t="str">
        <f aca="false">IF(N406="","",IF(ABS(N406)&lt;1,"OK","CHECK"))</f>
        <v/>
      </c>
      <c r="O407" s="21" t="str">
        <f aca="false">IF(O406="","",IF(ABS(O406)&lt;1,"OK","CHECK"))</f>
        <v/>
      </c>
      <c r="P407" s="21" t="str">
        <f aca="false">IF(P406="","",IF(ABS(P406)&lt;1,"OK","CHECK"))</f>
        <v/>
      </c>
      <c r="Q407" s="21" t="str">
        <f aca="false">IF(Q406="","",IF(ABS(Q406)&lt;1,"OK","CHECK"))</f>
        <v/>
      </c>
      <c r="R407" s="21" t="str">
        <f aca="false">IF(R406="","",IF(ABS(R406)&lt;1,"OK","CHECK"))</f>
        <v/>
      </c>
      <c r="S407" s="21" t="str">
        <f aca="false">IF(S406="","",IF(ABS(S406)&lt;1,"OK","CHECK"))</f>
        <v/>
      </c>
      <c r="T407" s="21" t="str">
        <f aca="false">IF(T406="","",IF(ABS(T406)&lt;1,"OK","CHECK"))</f>
        <v/>
      </c>
      <c r="U407" s="21" t="str">
        <f aca="false">IF(U406="","",IF(ABS(U406)&lt;1,"OK","CHECK"))</f>
        <v/>
      </c>
      <c r="V407" s="21" t="str">
        <f aca="false">IF(V406="","",IF(ABS(V406)&lt;1,"OK","CHECK"))</f>
        <v/>
      </c>
      <c r="W407" s="21" t="str">
        <f aca="false">IF(W406="","",IF(ABS(W406)&lt;1,"OK","CHECK"))</f>
        <v/>
      </c>
      <c r="X407" s="21" t="str">
        <f aca="false">IF(X406="","",IF(ABS(X406)&lt;1,"OK","CHECK"))</f>
        <v/>
      </c>
      <c r="Y407" s="21" t="str">
        <f aca="false">IF(Y406="","",IF(ABS(Y406)&lt;1,"OK","CHECK"))</f>
        <v/>
      </c>
      <c r="Z407" s="21" t="str">
        <f aca="false">IF(Z406="","",IF(ABS(Z406)&lt;1,"OK","CHECK"))</f>
        <v/>
      </c>
      <c r="AA407" s="21" t="str">
        <f aca="false">IF(AA406="","",IF(ABS(AA406)&lt;1,"OK","CHECK"))</f>
        <v/>
      </c>
      <c r="AB407" s="21" t="str">
        <f aca="false">IF(AB406="","",IF(ABS(AB406)&lt;1,"OK","CHECK"))</f>
        <v/>
      </c>
      <c r="AC407" s="21" t="str">
        <f aca="false">IF(AC406="","",IF(ABS(AC406)&lt;1,"OK","CHECK"))</f>
        <v/>
      </c>
      <c r="AD407" s="21" t="str">
        <f aca="false">IF(AD406="","",IF(ABS(AD406)&lt;1,"OK","CHECK"))</f>
        <v/>
      </c>
      <c r="AE407" s="21" t="str">
        <f aca="false">IF(AE406="","",IF(ABS(AE406)&lt;1,"OK","CHECK"))</f>
        <v/>
      </c>
      <c r="AF407" s="21" t="str">
        <f aca="false">IF(AF406="","",IF(ABS(AF406)&lt;1,"OK","CHECK"))</f>
        <v/>
      </c>
      <c r="AG407" s="21" t="str">
        <f aca="false">IF(AG406="","",IF(ABS(AG406)&lt;1,"OK","CHECK"))</f>
        <v/>
      </c>
      <c r="AH407" s="21" t="str">
        <f aca="false">IF(AH406="","",IF(ABS(AH406)&lt;1,"OK","CHECK"))</f>
        <v/>
      </c>
      <c r="AI407" s="21" t="str">
        <f aca="false">IF(AI406="","",IF(ABS(AI406)&lt;1,"OK","CHECK"))</f>
        <v/>
      </c>
      <c r="AJ407" s="21" t="str">
        <f aca="false">IF(AJ406="","",IF(ABS(AJ406)&lt;1,"OK","CHECK"))</f>
        <v/>
      </c>
      <c r="AK407" s="21" t="str">
        <f aca="false">IF(AK406="","",IF(ABS(AK406)&lt;1,"OK","CHECK"))</f>
        <v/>
      </c>
      <c r="AL407" s="21" t="str">
        <f aca="false">IF(AL406="","",IF(ABS(AL406)&lt;1,"OK","CHECK"))</f>
        <v/>
      </c>
      <c r="AM407" s="21" t="str">
        <f aca="false">IF(AM406="","",IF(ABS(AM406)&lt;1,"OK","CHECK"))</f>
        <v/>
      </c>
      <c r="AN407" s="21" t="str">
        <f aca="false">IF(AN406="","",IF(ABS(AN406)&lt;1,"OK","CHECK"))</f>
        <v/>
      </c>
      <c r="AO407" s="21" t="str">
        <f aca="false">IF(AO406="","",IF(ABS(AO406)&lt;1,"OK","CHECK"))</f>
        <v/>
      </c>
      <c r="AP407" s="21" t="str">
        <f aca="false">IF(AP406="","",IF(ABS(AP406)&lt;1,"OK","CHECK"))</f>
        <v/>
      </c>
      <c r="AQ407" s="21" t="str">
        <f aca="false">IF(AQ406="","",IF(ABS(AQ406)&lt;1,"OK","CHECK"))</f>
        <v/>
      </c>
      <c r="AR407" s="21" t="str">
        <f aca="false">IF(AR406="","",IF(ABS(AR406)&lt;1,"OK","CHECK"))</f>
        <v/>
      </c>
      <c r="AS407" s="21" t="str">
        <f aca="false">IF(AS406="","",IF(ABS(AS406)&lt;1,"OK","CHECK"))</f>
        <v/>
      </c>
      <c r="AT407" s="21" t="str">
        <f aca="false">IF(AT406="","",IF(ABS(AT406)&lt;1,"OK","CHECK"))</f>
        <v/>
      </c>
      <c r="AU407" s="21" t="str">
        <f aca="false">IF(AU406="","",IF(ABS(AU406)&lt;1,"OK","CHECK"))</f>
        <v/>
      </c>
      <c r="AV407" s="21" t="str">
        <f aca="false">IF(AV406="","",IF(ABS(AV406)&lt;1,"OK","CHECK"))</f>
        <v/>
      </c>
      <c r="AW407" s="21" t="str">
        <f aca="false">IF(AW406="","",IF(ABS(AW406)&lt;1,"OK","CHECK"))</f>
        <v/>
      </c>
      <c r="AX407" s="21" t="str">
        <f aca="false">IF(AX406="","",IF(ABS(AX406)&lt;1,"OK","CHECK"))</f>
        <v/>
      </c>
      <c r="AY407" s="21" t="str">
        <f aca="false">IF(AY406="","",IF(ABS(AY406)&lt;1,"OK","CHECK"))</f>
        <v/>
      </c>
      <c r="AZ407" s="21" t="str">
        <f aca="false">IF(AZ406="","",IF(ABS(AZ406)&lt;1,"OK","CHECK"))</f>
        <v/>
      </c>
      <c r="BA407" s="21" t="str">
        <f aca="false">IF(BA406="","",IF(ABS(BA406)&lt;1,"OK","CHECK"))</f>
        <v/>
      </c>
      <c r="BB407" s="21" t="str">
        <f aca="false">IF(BB406="","",IF(ABS(BB406)&lt;1,"OK","CHECK"))</f>
        <v/>
      </c>
      <c r="BC407" s="21" t="str">
        <f aca="false">IF(BC406="","",IF(ABS(BC406)&lt;1,"OK","CHECK"))</f>
        <v/>
      </c>
      <c r="BD407" s="21" t="str">
        <f aca="false">IF(BD406="","",IF(ABS(BD406)&lt;1,"OK","CHECK"))</f>
        <v/>
      </c>
      <c r="BE407" s="21" t="str">
        <f aca="false">IF(BE406="","",IF(ABS(BE406)&lt;1,"OK","CHECK"))</f>
        <v/>
      </c>
      <c r="BF407" s="21" t="str">
        <f aca="false">IF(BF406="","",IF(ABS(BF406)&lt;1,"OK","CHECK"))</f>
        <v/>
      </c>
      <c r="BG407" s="21" t="str">
        <f aca="false">IF(BG406="","",IF(ABS(BG406)&lt;1,"OK","CHECK"))</f>
        <v/>
      </c>
      <c r="BH407" s="21" t="str">
        <f aca="false">IF(BH406="","",IF(ABS(BH406)&lt;1,"OK","CHECK"))</f>
        <v/>
      </c>
      <c r="BI407" s="21" t="str">
        <f aca="false">IF(BI406="","",IF(ABS(BI406)&lt;1,"OK","CHECK"))</f>
        <v/>
      </c>
      <c r="BJ407" s="21" t="str">
        <f aca="false">IF(BJ406="","",IF(ABS(BJ406)&lt;1,"OK","CHECK"))</f>
        <v/>
      </c>
      <c r="BK407" s="21" t="str">
        <f aca="false">IF(BK406="","",IF(ABS(BK406)&lt;1,"OK","CHECK"))</f>
        <v/>
      </c>
      <c r="BL407" s="21" t="str">
        <f aca="false">IF(BL406="","",IF(ABS(BL406)&lt;1,"OK","CHECK"))</f>
        <v/>
      </c>
      <c r="BM407" s="21" t="str">
        <f aca="false">IF(BM406="","",IF(ABS(BM406)&lt;1,"OK","CHECK"))</f>
        <v/>
      </c>
      <c r="BN407" s="21" t="str">
        <f aca="false">IF(BN406="","",IF(ABS(BN406)&lt;1,"OK","CHECK"))</f>
        <v/>
      </c>
      <c r="BO407" s="21" t="str">
        <f aca="false">IF(BO406="","",IF(ABS(BO406)&lt;1,"OK","CHECK"))</f>
        <v/>
      </c>
      <c r="BP407" s="21" t="str">
        <f aca="false">IF(BP406="","",IF(ABS(BP406)&lt;1,"OK","CHECK"))</f>
        <v/>
      </c>
      <c r="BQ407" s="21" t="str">
        <f aca="false">IF(BQ406="","",IF(ABS(BQ406)&lt;1,"OK","CHECK"))</f>
        <v/>
      </c>
      <c r="BR407" s="21" t="str">
        <f aca="false">IF(BR406="","",IF(ABS(BR406)&lt;1,"OK","CHECK"))</f>
        <v/>
      </c>
      <c r="BS407" s="21" t="str">
        <f aca="false">IF(BS406="","",IF(ABS(BS406)&lt;1,"OK","CHECK"))</f>
        <v/>
      </c>
      <c r="BT407" s="21" t="str">
        <f aca="false">IF(BT406="","",IF(ABS(BT406)&lt;1,"OK","CHECK"))</f>
        <v/>
      </c>
      <c r="BU407" s="21" t="str">
        <f aca="false">IF(BU406="","",IF(ABS(BU406)&lt;1,"OK","CHECK"))</f>
        <v/>
      </c>
      <c r="BV407" s="21" t="str">
        <f aca="false">IF(BV406="","",IF(ABS(BV406)&lt;1,"OK","CHECK"))</f>
        <v/>
      </c>
      <c r="BW407" s="21" t="str">
        <f aca="false">IF(BW406="","",IF(ABS(BW406)&lt;1,"OK","CHECK"))</f>
        <v/>
      </c>
      <c r="BX407" s="21" t="str">
        <f aca="false">IF(BX406="","",IF(ABS(BX406)&lt;1,"OK","CHECK"))</f>
        <v/>
      </c>
      <c r="BY407" s="21" t="str">
        <f aca="false">IF(BY406="","",IF(ABS(BY406)&lt;1,"OK","CHECK"))</f>
        <v/>
      </c>
      <c r="BZ407" s="21" t="str">
        <f aca="false">IF(BZ406="","",IF(ABS(BZ406)&lt;1,"OK","CHECK"))</f>
        <v/>
      </c>
      <c r="CA407" s="21" t="str">
        <f aca="false">IF(CA406="","",IF(ABS(CA406)&lt;1,"OK","CHECK"))</f>
        <v/>
      </c>
      <c r="CB407" s="21" t="str">
        <f aca="false">IF(CB406="","",IF(ABS(CB406)&lt;1,"OK","CHECK"))</f>
        <v/>
      </c>
      <c r="CC407" s="21" t="str">
        <f aca="false">IF(CC406="","",IF(ABS(CC406)&lt;1,"OK","CHECK"))</f>
        <v/>
      </c>
      <c r="CD407" s="21" t="str">
        <f aca="false">IF(CD406="","",IF(ABS(CD406)&lt;1,"OK","CHECK"))</f>
        <v/>
      </c>
      <c r="CE407" s="21" t="str">
        <f aca="false">IF(CE406="","",IF(ABS(CE406)&lt;1,"OK","CHECK"))</f>
        <v/>
      </c>
      <c r="CF407" s="21" t="str">
        <f aca="false">IF(CF406="","",IF(ABS(CF406)&lt;1,"OK","CHECK"))</f>
        <v/>
      </c>
      <c r="CG407" s="21" t="str">
        <f aca="false">IF(CG406="","",IF(ABS(CG406)&lt;1,"OK","CHECK"))</f>
        <v/>
      </c>
      <c r="CH407" s="21" t="str">
        <f aca="false">IF(CH406="","",IF(ABS(CH406)&lt;1,"OK","CHECK"))</f>
        <v/>
      </c>
      <c r="CI407" s="21" t="str">
        <f aca="false">IF(CI406="","",IF(ABS(CI406)&lt;1,"OK","CHECK"))</f>
        <v/>
      </c>
      <c r="CJ407" s="21" t="str">
        <f aca="false">IF(CJ406="","",IF(ABS(CJ406)&lt;1,"OK","CHECK"))</f>
        <v/>
      </c>
      <c r="CK407" s="21" t="str">
        <f aca="false">IF(CK406="","",IF(ABS(CK406)&lt;1,"OK","CHECK"))</f>
        <v/>
      </c>
      <c r="CL407" s="21" t="str">
        <f aca="false">IF(CL406="","",IF(ABS(CL406)&lt;1,"OK","CHECK"))</f>
        <v/>
      </c>
      <c r="CM407" s="21" t="str">
        <f aca="false">IF(CM406="","",IF(ABS(CM406)&lt;1,"OK","CHECK"))</f>
        <v/>
      </c>
      <c r="CN407" s="21" t="str">
        <f aca="false">IF(CN406="","",IF(ABS(CN406)&lt;1,"OK","CHECK"))</f>
        <v/>
      </c>
      <c r="CO407" s="21" t="str">
        <f aca="false">IF(CO406="","",IF(ABS(CO406)&lt;1,"OK","CHECK"))</f>
        <v/>
      </c>
      <c r="CP407" s="21" t="str">
        <f aca="false">IF(CP406="","",IF(ABS(CP406)&lt;1,"OK","CHECK"))</f>
        <v/>
      </c>
      <c r="CQ407" s="21" t="str">
        <f aca="false">IF(CQ406="","",IF(ABS(CQ406)&lt;1,"OK","CHECK"))</f>
        <v/>
      </c>
      <c r="CR407" s="21" t="str">
        <f aca="false">IF(CR406="","",IF(ABS(CR406)&lt;1,"OK","CHECK"))</f>
        <v/>
      </c>
      <c r="CS407" s="21" t="str">
        <f aca="false">IF(CS406="","",IF(ABS(CS406)&lt;1,"OK","CHECK"))</f>
        <v/>
      </c>
      <c r="CT407" s="21" t="str">
        <f aca="false">IF(CT406="","",IF(ABS(CT406)&lt;1,"OK","CHECK"))</f>
        <v/>
      </c>
      <c r="CU407" s="21" t="str">
        <f aca="false">IF(CU406="","",IF(ABS(CU406)&lt;1,"OK","CHECK"))</f>
        <v/>
      </c>
      <c r="CV407" s="21" t="str">
        <f aca="false">IF(CV406="","",IF(ABS(CV406)&lt;1,"OK","CHECK"))</f>
        <v/>
      </c>
      <c r="CW407" s="21" t="str">
        <f aca="false">IF(CW406="","",IF(ABS(CW406)&lt;1,"OK","CHECK"))</f>
        <v/>
      </c>
      <c r="CX407" s="21" t="str">
        <f aca="false">IF(CX406="","",IF(ABS(CX406)&lt;1,"OK","CHECK"))</f>
        <v/>
      </c>
      <c r="CY407" s="21" t="str">
        <f aca="false">IF(CY406="","",IF(ABS(CY406)&lt;1,"OK","CHECK"))</f>
        <v/>
      </c>
      <c r="CZ407" s="21" t="str">
        <f aca="false">IF(CZ406="","",IF(ABS(CZ406)&lt;1,"OK","CHECK"))</f>
        <v/>
      </c>
      <c r="DA407" s="21" t="str">
        <f aca="false">IF(DA406="","",IF(ABS(DA406)&lt;1,"OK","CHECK"))</f>
        <v/>
      </c>
      <c r="DB407" s="21" t="str">
        <f aca="false">IF(DB406="","",IF(ABS(DB406)&lt;1,"OK","CHECK"))</f>
        <v/>
      </c>
      <c r="DC407" s="21" t="str">
        <f aca="false">IF(DC406="","",IF(ABS(DC406)&lt;1,"OK","CHECK"))</f>
        <v/>
      </c>
      <c r="DD407" s="21" t="str">
        <f aca="false">IF(DD406="","",IF(ABS(DD406)&lt;1,"OK","CHECK"))</f>
        <v/>
      </c>
      <c r="DE407" s="21" t="str">
        <f aca="false">IF(DE406="","",IF(ABS(DE406)&lt;1,"OK","CHECK"))</f>
        <v/>
      </c>
    </row>
    <row r="408" customFormat="false" ht="15" hidden="false" customHeight="true" outlineLevel="0" collapsed="false">
      <c r="A408" s="22" t="s">
        <v>226</v>
      </c>
      <c r="B408" s="13"/>
      <c r="C408" s="13"/>
      <c r="D408" s="13"/>
      <c r="E408" s="13"/>
      <c r="F408" s="13"/>
      <c r="G408" s="13"/>
      <c r="H408" s="73" t="n">
        <v>778701</v>
      </c>
      <c r="I408" s="73" t="n">
        <v>2671750</v>
      </c>
      <c r="J408" s="13" t="n">
        <v>1113428</v>
      </c>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5" hidden="false" customHeight="true" outlineLevel="0" collapsed="false">
      <c r="A409" s="22" t="s">
        <v>227</v>
      </c>
      <c r="B409" s="13" t="str">
        <f aca="false">IF(OR(B404="",B408=""),"",B408-B404)</f>
        <v/>
      </c>
      <c r="C409" s="13" t="str">
        <f aca="false">IF(OR(C404="",C408=""),"",C408-C404)</f>
        <v/>
      </c>
      <c r="D409" s="13" t="str">
        <f aca="false">IF(OR(D404="",D408=""),"",D408-D404)</f>
        <v/>
      </c>
      <c r="E409" s="13" t="str">
        <f aca="false">IF(OR(E404="",E408=""),"",E408-E404)</f>
        <v/>
      </c>
      <c r="F409" s="13" t="str">
        <f aca="false">IF(OR(F404="",F408=""),"",F408-F404)</f>
        <v/>
      </c>
      <c r="G409" s="13" t="str">
        <f aca="false">IF(OR(G404="",G408=""),"",G408-G404)</f>
        <v/>
      </c>
      <c r="H409" s="13" t="n">
        <f aca="false">IF(OR(H404="",H408=""),"",H408-H404)</f>
        <v>495361</v>
      </c>
      <c r="I409" s="13" t="n">
        <f aca="false">IF(OR(I404="",I408=""),"",I408-I404)</f>
        <v>1384644</v>
      </c>
      <c r="J409" s="13" t="str">
        <f aca="false">IF(OR(J404="",J408=""),"",J408-J404)</f>
        <v/>
      </c>
      <c r="K409" s="13" t="str">
        <f aca="false">IF(OR(K404="",K408=""),"",K408-K404)</f>
        <v/>
      </c>
      <c r="L409" s="13" t="str">
        <f aca="false">IF(OR(L404="",L408=""),"",L408-L404)</f>
        <v/>
      </c>
      <c r="M409" s="13" t="str">
        <f aca="false">IF(OR(M404="",M408=""),"",M408-M404)</f>
        <v/>
      </c>
      <c r="N409" s="13" t="str">
        <f aca="false">IF(OR(N404="",N408=""),"",N408-N404)</f>
        <v/>
      </c>
      <c r="O409" s="13" t="str">
        <f aca="false">IF(OR(O404="",O408=""),"",O408-O404)</f>
        <v/>
      </c>
      <c r="P409" s="13" t="str">
        <f aca="false">IF(OR(P404="",P408=""),"",P408-P404)</f>
        <v/>
      </c>
      <c r="Q409" s="13" t="str">
        <f aca="false">IF(OR(Q404="",Q408=""),"",Q408-Q404)</f>
        <v/>
      </c>
      <c r="R409" s="13" t="str">
        <f aca="false">IF(OR(R404="",R408=""),"",R408-R404)</f>
        <v/>
      </c>
      <c r="S409" s="13" t="str">
        <f aca="false">IF(OR(S404="",S408=""),"",S408-S404)</f>
        <v/>
      </c>
      <c r="T409" s="13" t="str">
        <f aca="false">IF(OR(T404="",T408=""),"",T408-T404)</f>
        <v/>
      </c>
      <c r="U409" s="13" t="str">
        <f aca="false">IF(OR(U404="",U408=""),"",U408-U404)</f>
        <v/>
      </c>
      <c r="V409" s="13" t="str">
        <f aca="false">IF(OR(V404="",V408=""),"",V408-V404)</f>
        <v/>
      </c>
      <c r="W409" s="13" t="str">
        <f aca="false">IF(OR(W404="",W408=""),"",W408-W404)</f>
        <v/>
      </c>
      <c r="X409" s="13" t="str">
        <f aca="false">IF(OR(X404="",X408=""),"",X408-X404)</f>
        <v/>
      </c>
      <c r="Y409" s="13" t="str">
        <f aca="false">IF(OR(Y404="",Y408=""),"",Y408-Y404)</f>
        <v/>
      </c>
      <c r="Z409" s="13" t="str">
        <f aca="false">IF(OR(Z404="",Z408=""),"",Z408-Z404)</f>
        <v/>
      </c>
      <c r="AA409" s="13" t="str">
        <f aca="false">IF(OR(AA404="",AA408=""),"",AA408-AA404)</f>
        <v/>
      </c>
      <c r="AB409" s="13" t="str">
        <f aca="false">IF(OR(AB404="",AB408=""),"",AB408-AB404)</f>
        <v/>
      </c>
      <c r="AC409" s="13" t="str">
        <f aca="false">IF(OR(AC404="",AC408=""),"",AC408-AC404)</f>
        <v/>
      </c>
      <c r="AD409" s="13" t="str">
        <f aca="false">IF(OR(AD404="",AD408=""),"",AD408-AD404)</f>
        <v/>
      </c>
      <c r="AE409" s="13" t="str">
        <f aca="false">IF(OR(AE404="",AE408=""),"",AE408-AE404)</f>
        <v/>
      </c>
      <c r="AF409" s="13" t="str">
        <f aca="false">IF(OR(AF404="",AF408=""),"",AF408-AF404)</f>
        <v/>
      </c>
      <c r="AG409" s="13" t="str">
        <f aca="false">IF(OR(AG404="",AG408=""),"",AG408-AG404)</f>
        <v/>
      </c>
      <c r="AH409" s="13" t="str">
        <f aca="false">IF(OR(AH404="",AH408=""),"",AH408-AH404)</f>
        <v/>
      </c>
      <c r="AI409" s="13" t="str">
        <f aca="false">IF(OR(AI404="",AI408=""),"",AI408-AI404)</f>
        <v/>
      </c>
      <c r="AJ409" s="13" t="str">
        <f aca="false">IF(OR(AJ404="",AJ408=""),"",AJ408-AJ404)</f>
        <v/>
      </c>
      <c r="AK409" s="13" t="str">
        <f aca="false">IF(OR(AK404="",AK408=""),"",AK408-AK404)</f>
        <v/>
      </c>
      <c r="AL409" s="13" t="str">
        <f aca="false">IF(OR(AL404="",AL408=""),"",AL408-AL404)</f>
        <v/>
      </c>
      <c r="AM409" s="13" t="str">
        <f aca="false">IF(OR(AM404="",AM408=""),"",AM408-AM404)</f>
        <v/>
      </c>
      <c r="AN409" s="13" t="str">
        <f aca="false">IF(OR(AN404="",AN408=""),"",AN408-AN404)</f>
        <v/>
      </c>
      <c r="AO409" s="13" t="str">
        <f aca="false">IF(OR(AO404="",AO408=""),"",AO408-AO404)</f>
        <v/>
      </c>
      <c r="AP409" s="13" t="str">
        <f aca="false">IF(OR(AP404="",AP408=""),"",AP408-AP404)</f>
        <v/>
      </c>
      <c r="AQ409" s="13" t="str">
        <f aca="false">IF(OR(AQ404="",AQ408=""),"",AQ408-AQ404)</f>
        <v/>
      </c>
      <c r="AR409" s="13" t="str">
        <f aca="false">IF(OR(AR404="",AR408=""),"",AR408-AR404)</f>
        <v/>
      </c>
      <c r="AS409" s="13" t="str">
        <f aca="false">IF(OR(AS404="",AS408=""),"",AS408-AS404)</f>
        <v/>
      </c>
      <c r="AT409" s="13" t="str">
        <f aca="false">IF(OR(AT404="",AT408=""),"",AT408-AT404)</f>
        <v/>
      </c>
      <c r="AU409" s="13" t="str">
        <f aca="false">IF(OR(AU404="",AU408=""),"",AU408-AU404)</f>
        <v/>
      </c>
      <c r="AV409" s="13" t="str">
        <f aca="false">IF(OR(AV404="",AV408=""),"",AV408-AV404)</f>
        <v/>
      </c>
      <c r="AW409" s="13" t="str">
        <f aca="false">IF(OR(AW404="",AW408=""),"",AW408-AW404)</f>
        <v/>
      </c>
      <c r="AX409" s="13" t="str">
        <f aca="false">IF(OR(AX404="",AX408=""),"",AX408-AX404)</f>
        <v/>
      </c>
      <c r="AY409" s="13" t="str">
        <f aca="false">IF(OR(AY404="",AY408=""),"",AY408-AY404)</f>
        <v/>
      </c>
      <c r="AZ409" s="13" t="str">
        <f aca="false">IF(OR(AZ404="",AZ408=""),"",AZ408-AZ404)</f>
        <v/>
      </c>
      <c r="BA409" s="13" t="str">
        <f aca="false">IF(OR(BA404="",BA408=""),"",BA408-BA404)</f>
        <v/>
      </c>
      <c r="BB409" s="13" t="str">
        <f aca="false">IF(OR(BB404="",BB408=""),"",BB408-BB404)</f>
        <v/>
      </c>
      <c r="BC409" s="13" t="str">
        <f aca="false">IF(OR(BC404="",BC408=""),"",BC408-BC404)</f>
        <v/>
      </c>
      <c r="BD409" s="13" t="str">
        <f aca="false">IF(OR(BD404="",BD408=""),"",BD408-BD404)</f>
        <v/>
      </c>
      <c r="BE409" s="13" t="str">
        <f aca="false">IF(OR(BE404="",BE408=""),"",BE408-BE404)</f>
        <v/>
      </c>
      <c r="BF409" s="13" t="str">
        <f aca="false">IF(OR(BF404="",BF408=""),"",BF408-BF404)</f>
        <v/>
      </c>
      <c r="BG409" s="13" t="str">
        <f aca="false">IF(OR(BG404="",BG408=""),"",BG408-BG404)</f>
        <v/>
      </c>
      <c r="BH409" s="13" t="str">
        <f aca="false">IF(OR(BH404="",BH408=""),"",BH408-BH404)</f>
        <v/>
      </c>
      <c r="BI409" s="13" t="str">
        <f aca="false">IF(OR(BI404="",BI408=""),"",BI408-BI404)</f>
        <v/>
      </c>
      <c r="BJ409" s="13" t="str">
        <f aca="false">IF(OR(BJ404="",BJ408=""),"",BJ408-BJ404)</f>
        <v/>
      </c>
      <c r="BK409" s="13" t="str">
        <f aca="false">IF(OR(BK404="",BK408=""),"",BK408-BK404)</f>
        <v/>
      </c>
      <c r="BL409" s="13" t="str">
        <f aca="false">IF(OR(BL404="",BL408=""),"",BL408-BL404)</f>
        <v/>
      </c>
      <c r="BM409" s="13" t="str">
        <f aca="false">IF(OR(BM404="",BM408=""),"",BM408-BM404)</f>
        <v/>
      </c>
      <c r="BN409" s="13" t="str">
        <f aca="false">IF(OR(BN404="",BN408=""),"",BN408-BN404)</f>
        <v/>
      </c>
      <c r="BO409" s="13" t="str">
        <f aca="false">IF(OR(BO404="",BO408=""),"",BO408-BO404)</f>
        <v/>
      </c>
      <c r="BP409" s="13" t="str">
        <f aca="false">IF(OR(BP404="",BP408=""),"",BP408-BP404)</f>
        <v/>
      </c>
      <c r="BQ409" s="13" t="str">
        <f aca="false">IF(OR(BQ404="",BQ408=""),"",BQ408-BQ404)</f>
        <v/>
      </c>
      <c r="BR409" s="13" t="str">
        <f aca="false">IF(OR(BR404="",BR408=""),"",BR408-BR404)</f>
        <v/>
      </c>
      <c r="BS409" s="13" t="str">
        <f aca="false">IF(OR(BS404="",BS408=""),"",BS408-BS404)</f>
        <v/>
      </c>
      <c r="BT409" s="13" t="str">
        <f aca="false">IF(OR(BT404="",BT408=""),"",BT408-BT404)</f>
        <v/>
      </c>
      <c r="BU409" s="13" t="str">
        <f aca="false">IF(OR(BU404="",BU408=""),"",BU408-BU404)</f>
        <v/>
      </c>
      <c r="BV409" s="13" t="str">
        <f aca="false">IF(OR(BV404="",BV408=""),"",BV408-BV404)</f>
        <v/>
      </c>
      <c r="BW409" s="13" t="str">
        <f aca="false">IF(OR(BW404="",BW408=""),"",BW408-BW404)</f>
        <v/>
      </c>
      <c r="BX409" s="13" t="str">
        <f aca="false">IF(OR(BX404="",BX408=""),"",BX408-BX404)</f>
        <v/>
      </c>
      <c r="BY409" s="13" t="str">
        <f aca="false">IF(OR(BY404="",BY408=""),"",BY408-BY404)</f>
        <v/>
      </c>
      <c r="BZ409" s="13" t="str">
        <f aca="false">IF(OR(BZ404="",BZ408=""),"",BZ408-BZ404)</f>
        <v/>
      </c>
      <c r="CA409" s="13" t="str">
        <f aca="false">IF(OR(CA404="",CA408=""),"",CA408-CA404)</f>
        <v/>
      </c>
      <c r="CB409" s="13" t="str">
        <f aca="false">IF(OR(CB404="",CB408=""),"",CB408-CB404)</f>
        <v/>
      </c>
      <c r="CC409" s="13" t="str">
        <f aca="false">IF(OR(CC404="",CC408=""),"",CC408-CC404)</f>
        <v/>
      </c>
      <c r="CD409" s="13" t="str">
        <f aca="false">IF(OR(CD404="",CD408=""),"",CD408-CD404)</f>
        <v/>
      </c>
      <c r="CE409" s="13" t="str">
        <f aca="false">IF(OR(CE404="",CE408=""),"",CE408-CE404)</f>
        <v/>
      </c>
      <c r="CF409" s="13" t="str">
        <f aca="false">IF(OR(CF404="",CF408=""),"",CF408-CF404)</f>
        <v/>
      </c>
      <c r="CG409" s="13" t="str">
        <f aca="false">IF(OR(CG404="",CG408=""),"",CG408-CG404)</f>
        <v/>
      </c>
      <c r="CH409" s="13" t="str">
        <f aca="false">IF(OR(CH404="",CH408=""),"",CH408-CH404)</f>
        <v/>
      </c>
      <c r="CI409" s="13" t="str">
        <f aca="false">IF(OR(CI404="",CI408=""),"",CI408-CI404)</f>
        <v/>
      </c>
      <c r="CJ409" s="13" t="str">
        <f aca="false">IF(OR(CJ404="",CJ408=""),"",CJ408-CJ404)</f>
        <v/>
      </c>
      <c r="CK409" s="13" t="str">
        <f aca="false">IF(OR(CK404="",CK408=""),"",CK408-CK404)</f>
        <v/>
      </c>
      <c r="CL409" s="13" t="str">
        <f aca="false">IF(OR(CL404="",CL408=""),"",CL408-CL404)</f>
        <v/>
      </c>
      <c r="CM409" s="13" t="str">
        <f aca="false">IF(OR(CM404="",CM408=""),"",CM408-CM404)</f>
        <v/>
      </c>
      <c r="CN409" s="13" t="str">
        <f aca="false">IF(OR(CN404="",CN408=""),"",CN408-CN404)</f>
        <v/>
      </c>
      <c r="CO409" s="13" t="str">
        <f aca="false">IF(OR(CO404="",CO408=""),"",CO408-CO404)</f>
        <v/>
      </c>
      <c r="CP409" s="13" t="str">
        <f aca="false">IF(OR(CP404="",CP408=""),"",CP408-CP404)</f>
        <v/>
      </c>
      <c r="CQ409" s="13" t="str">
        <f aca="false">IF(OR(CQ404="",CQ408=""),"",CQ408-CQ404)</f>
        <v/>
      </c>
      <c r="CR409" s="13" t="str">
        <f aca="false">IF(OR(CR404="",CR408=""),"",CR408-CR404)</f>
        <v/>
      </c>
      <c r="CS409" s="13" t="str">
        <f aca="false">IF(OR(CS404="",CS408=""),"",CS408-CS404)</f>
        <v/>
      </c>
      <c r="CT409" s="13" t="str">
        <f aca="false">IF(OR(CT404="",CT408=""),"",CT408-CT404)</f>
        <v/>
      </c>
      <c r="CU409" s="13" t="str">
        <f aca="false">IF(OR(CU404="",CU408=""),"",CU408-CU404)</f>
        <v/>
      </c>
      <c r="CV409" s="13" t="str">
        <f aca="false">IF(OR(CV404="",CV408=""),"",CV408-CV404)</f>
        <v/>
      </c>
      <c r="CW409" s="13" t="str">
        <f aca="false">IF(OR(CW404="",CW408=""),"",CW408-CW404)</f>
        <v/>
      </c>
      <c r="CX409" s="13" t="str">
        <f aca="false">IF(OR(CX404="",CX408=""),"",CX408-CX404)</f>
        <v/>
      </c>
      <c r="CY409" s="13" t="str">
        <f aca="false">IF(OR(CY404="",CY408=""),"",CY408-CY404)</f>
        <v/>
      </c>
      <c r="CZ409" s="13" t="str">
        <f aca="false">IF(OR(CZ404="",CZ408=""),"",CZ408-CZ404)</f>
        <v/>
      </c>
      <c r="DA409" s="13" t="str">
        <f aca="false">IF(OR(DA404="",DA408=""),"",DA408-DA404)</f>
        <v/>
      </c>
      <c r="DB409" s="13" t="str">
        <f aca="false">IF(OR(DB404="",DB408=""),"",DB408-DB404)</f>
        <v/>
      </c>
      <c r="DC409" s="13" t="str">
        <f aca="false">IF(OR(DC404="",DC408=""),"",DC408-DC404)</f>
        <v/>
      </c>
      <c r="DD409" s="13" t="str">
        <f aca="false">IF(OR(DD404="",DD408=""),"",DD408-DD404)</f>
        <v/>
      </c>
      <c r="DE409" s="13" t="str">
        <f aca="false">IF(OR(DE404="",DE408=""),"",DE408-DE404)</f>
        <v/>
      </c>
    </row>
    <row r="411" customFormat="false" ht="15" hidden="false" customHeight="true" outlineLevel="0" collapsed="false">
      <c r="A411" s="23" t="s">
        <v>228</v>
      </c>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row>
    <row r="412" customFormat="false" ht="15" hidden="false" customHeight="true" outlineLevel="0" collapsed="false">
      <c r="A412" s="22" t="s">
        <v>222</v>
      </c>
      <c r="B412" s="13" t="n">
        <f aca="false">IF(B396="","",B396)</f>
        <v>378187</v>
      </c>
      <c r="C412" s="13" t="n">
        <f aca="false">IF(C396="","",C396)</f>
        <v>110882</v>
      </c>
      <c r="D412" s="13" t="n">
        <f aca="false">IF(D396="","",D396)</f>
        <v>171148</v>
      </c>
      <c r="E412" s="13" t="n">
        <f aca="false">IF(E396="","",E396)</f>
        <v>368691</v>
      </c>
      <c r="F412" s="13" t="n">
        <f aca="false">IF(F396="","",F396)</f>
        <v>343251</v>
      </c>
      <c r="G412" s="13" t="n">
        <f aca="false">IF(G396="","",G396)</f>
        <v>665368</v>
      </c>
      <c r="H412" s="13" t="n">
        <f aca="false">IF(H396="","",H396)</f>
        <v>122223</v>
      </c>
      <c r="I412" s="13" t="n">
        <f aca="false">IF(I396="","",I396)</f>
        <v>658190</v>
      </c>
      <c r="J412" s="13" t="str">
        <f aca="false">IF(J396="","",J396)</f>
        <v/>
      </c>
      <c r="K412" s="13" t="str">
        <f aca="false">IF(K396="","",K396)</f>
        <v/>
      </c>
      <c r="L412" s="13" t="str">
        <f aca="false">IF(L396="","",L396)</f>
        <v/>
      </c>
      <c r="M412" s="13" t="str">
        <f aca="false">IF(M396="","",M396)</f>
        <v/>
      </c>
      <c r="N412" s="13" t="str">
        <f aca="false">IF(N396="","",N396)</f>
        <v/>
      </c>
      <c r="O412" s="13" t="str">
        <f aca="false">IF(O396="","",O396)</f>
        <v/>
      </c>
      <c r="P412" s="13" t="str">
        <f aca="false">IF(P396="","",P396)</f>
        <v/>
      </c>
      <c r="Q412" s="13" t="str">
        <f aca="false">IF(Q396="","",Q396)</f>
        <v/>
      </c>
      <c r="R412" s="13" t="str">
        <f aca="false">IF(R396="","",R396)</f>
        <v/>
      </c>
      <c r="S412" s="13" t="str">
        <f aca="false">IF(S396="","",S396)</f>
        <v/>
      </c>
      <c r="T412" s="13" t="str">
        <f aca="false">IF(T396="","",T396)</f>
        <v/>
      </c>
      <c r="U412" s="13" t="str">
        <f aca="false">IF(U396="","",U396)</f>
        <v/>
      </c>
      <c r="V412" s="13" t="str">
        <f aca="false">IF(V396="","",V396)</f>
        <v/>
      </c>
      <c r="W412" s="13" t="str">
        <f aca="false">IF(W396="","",W396)</f>
        <v/>
      </c>
      <c r="X412" s="13" t="str">
        <f aca="false">IF(X396="","",X396)</f>
        <v/>
      </c>
      <c r="Y412" s="13" t="str">
        <f aca="false">IF(Y396="","",Y396)</f>
        <v/>
      </c>
      <c r="Z412" s="13" t="str">
        <f aca="false">IF(Z396="","",Z396)</f>
        <v/>
      </c>
      <c r="AA412" s="13" t="str">
        <f aca="false">IF(AA396="","",AA396)</f>
        <v/>
      </c>
      <c r="AB412" s="13" t="str">
        <f aca="false">IF(AB396="","",AB396)</f>
        <v/>
      </c>
      <c r="AC412" s="13" t="str">
        <f aca="false">IF(AC396="","",AC396)</f>
        <v/>
      </c>
      <c r="AD412" s="13" t="str">
        <f aca="false">IF(AD396="","",AD396)</f>
        <v/>
      </c>
      <c r="AE412" s="13" t="str">
        <f aca="false">IF(AE396="","",AE396)</f>
        <v/>
      </c>
      <c r="AF412" s="13" t="str">
        <f aca="false">IF(AF396="","",AF396)</f>
        <v/>
      </c>
      <c r="AG412" s="13" t="str">
        <f aca="false">IF(AG396="","",AG396)</f>
        <v/>
      </c>
      <c r="AH412" s="13" t="str">
        <f aca="false">IF(AH396="","",AH396)</f>
        <v/>
      </c>
      <c r="AI412" s="13" t="str">
        <f aca="false">IF(AI396="","",AI396)</f>
        <v/>
      </c>
      <c r="AJ412" s="13" t="str">
        <f aca="false">IF(AJ396="","",AJ396)</f>
        <v/>
      </c>
      <c r="AK412" s="13" t="str">
        <f aca="false">IF(AK396="","",AK396)</f>
        <v/>
      </c>
      <c r="AL412" s="13" t="str">
        <f aca="false">IF(AL396="","",AL396)</f>
        <v/>
      </c>
      <c r="AM412" s="13" t="str">
        <f aca="false">IF(AM396="","",AM396)</f>
        <v/>
      </c>
      <c r="AN412" s="13" t="str">
        <f aca="false">IF(AN396="","",AN396)</f>
        <v/>
      </c>
      <c r="AO412" s="13" t="str">
        <f aca="false">IF(AO396="","",AO396)</f>
        <v/>
      </c>
      <c r="AP412" s="13" t="str">
        <f aca="false">IF(AP396="","",AP396)</f>
        <v/>
      </c>
      <c r="AQ412" s="13" t="str">
        <f aca="false">IF(AQ396="","",AQ396)</f>
        <v/>
      </c>
      <c r="AR412" s="13" t="str">
        <f aca="false">IF(AR396="","",AR396)</f>
        <v/>
      </c>
      <c r="AS412" s="13" t="str">
        <f aca="false">IF(AS396="","",AS396)</f>
        <v/>
      </c>
      <c r="AT412" s="13" t="str">
        <f aca="false">IF(AT396="","",AT396)</f>
        <v/>
      </c>
      <c r="AU412" s="13" t="str">
        <f aca="false">IF(AU396="","",AU396)</f>
        <v/>
      </c>
      <c r="AV412" s="13" t="str">
        <f aca="false">IF(AV396="","",AV396)</f>
        <v/>
      </c>
      <c r="AW412" s="13" t="str">
        <f aca="false">IF(AW396="","",AW396)</f>
        <v/>
      </c>
      <c r="AX412" s="13" t="str">
        <f aca="false">IF(AX396="","",AX396)</f>
        <v/>
      </c>
      <c r="AY412" s="13" t="str">
        <f aca="false">IF(AY396="","",AY396)</f>
        <v/>
      </c>
      <c r="AZ412" s="13" t="str">
        <f aca="false">IF(AZ396="","",AZ396)</f>
        <v/>
      </c>
      <c r="BA412" s="13" t="str">
        <f aca="false">IF(BA396="","",BA396)</f>
        <v/>
      </c>
      <c r="BB412" s="13" t="str">
        <f aca="false">IF(BB396="","",BB396)</f>
        <v/>
      </c>
      <c r="BC412" s="13" t="str">
        <f aca="false">IF(BC396="","",BC396)</f>
        <v/>
      </c>
      <c r="BD412" s="13" t="str">
        <f aca="false">IF(BD396="","",BD396)</f>
        <v/>
      </c>
      <c r="BE412" s="13" t="str">
        <f aca="false">IF(BE396="","",BE396)</f>
        <v/>
      </c>
      <c r="BF412" s="13" t="str">
        <f aca="false">IF(BF396="","",BF396)</f>
        <v/>
      </c>
      <c r="BG412" s="13" t="str">
        <f aca="false">IF(BG396="","",BG396)</f>
        <v/>
      </c>
      <c r="BH412" s="13" t="str">
        <f aca="false">IF(BH396="","",BH396)</f>
        <v/>
      </c>
      <c r="BI412" s="13" t="str">
        <f aca="false">IF(BI396="","",BI396)</f>
        <v/>
      </c>
      <c r="BJ412" s="13" t="str">
        <f aca="false">IF(BJ396="","",BJ396)</f>
        <v/>
      </c>
      <c r="BK412" s="13" t="str">
        <f aca="false">IF(BK396="","",BK396)</f>
        <v/>
      </c>
      <c r="BL412" s="13" t="str">
        <f aca="false">IF(BL396="","",BL396)</f>
        <v/>
      </c>
      <c r="BM412" s="13" t="str">
        <f aca="false">IF(BM396="","",BM396)</f>
        <v/>
      </c>
      <c r="BN412" s="13" t="str">
        <f aca="false">IF(BN396="","",BN396)</f>
        <v/>
      </c>
      <c r="BO412" s="13" t="str">
        <f aca="false">IF(BO396="","",BO396)</f>
        <v/>
      </c>
      <c r="BP412" s="13" t="str">
        <f aca="false">IF(BP396="","",BP396)</f>
        <v/>
      </c>
      <c r="BQ412" s="13" t="str">
        <f aca="false">IF(BQ396="","",BQ396)</f>
        <v/>
      </c>
      <c r="BR412" s="13" t="str">
        <f aca="false">IF(BR396="","",BR396)</f>
        <v/>
      </c>
      <c r="BS412" s="13" t="str">
        <f aca="false">IF(BS396="","",BS396)</f>
        <v/>
      </c>
      <c r="BT412" s="13" t="str">
        <f aca="false">IF(BT396="","",BT396)</f>
        <v/>
      </c>
      <c r="BU412" s="13" t="str">
        <f aca="false">IF(BU396="","",BU396)</f>
        <v/>
      </c>
      <c r="BV412" s="13" t="str">
        <f aca="false">IF(BV396="","",BV396)</f>
        <v/>
      </c>
      <c r="BW412" s="13" t="str">
        <f aca="false">IF(BW396="","",BW396)</f>
        <v/>
      </c>
      <c r="BX412" s="13" t="str">
        <f aca="false">IF(BX396="","",BX396)</f>
        <v/>
      </c>
      <c r="BY412" s="13" t="str">
        <f aca="false">IF(BY396="","",BY396)</f>
        <v/>
      </c>
      <c r="BZ412" s="13" t="str">
        <f aca="false">IF(BZ396="","",BZ396)</f>
        <v/>
      </c>
      <c r="CA412" s="13" t="str">
        <f aca="false">IF(CA396="","",CA396)</f>
        <v/>
      </c>
      <c r="CB412" s="13" t="str">
        <f aca="false">IF(CB396="","",CB396)</f>
        <v/>
      </c>
      <c r="CC412" s="13" t="str">
        <f aca="false">IF(CC396="","",CC396)</f>
        <v/>
      </c>
      <c r="CD412" s="13" t="str">
        <f aca="false">IF(CD396="","",CD396)</f>
        <v/>
      </c>
      <c r="CE412" s="13" t="str">
        <f aca="false">IF(CE396="","",CE396)</f>
        <v/>
      </c>
      <c r="CF412" s="13" t="str">
        <f aca="false">IF(CF396="","",CF396)</f>
        <v/>
      </c>
      <c r="CG412" s="13" t="str">
        <f aca="false">IF(CG396="","",CG396)</f>
        <v/>
      </c>
      <c r="CH412" s="13" t="str">
        <f aca="false">IF(CH396="","",CH396)</f>
        <v/>
      </c>
      <c r="CI412" s="13" t="str">
        <f aca="false">IF(CI396="","",CI396)</f>
        <v/>
      </c>
      <c r="CJ412" s="13" t="str">
        <f aca="false">IF(CJ396="","",CJ396)</f>
        <v/>
      </c>
      <c r="CK412" s="13" t="str">
        <f aca="false">IF(CK396="","",CK396)</f>
        <v/>
      </c>
      <c r="CL412" s="13" t="str">
        <f aca="false">IF(CL396="","",CL396)</f>
        <v/>
      </c>
      <c r="CM412" s="13" t="str">
        <f aca="false">IF(CM396="","",CM396)</f>
        <v/>
      </c>
      <c r="CN412" s="13" t="str">
        <f aca="false">IF(CN396="","",CN396)</f>
        <v/>
      </c>
      <c r="CO412" s="13" t="str">
        <f aca="false">IF(CO396="","",CO396)</f>
        <v/>
      </c>
      <c r="CP412" s="13" t="str">
        <f aca="false">IF(CP396="","",CP396)</f>
        <v/>
      </c>
      <c r="CQ412" s="13" t="str">
        <f aca="false">IF(CQ396="","",CQ396)</f>
        <v/>
      </c>
      <c r="CR412" s="13" t="str">
        <f aca="false">IF(CR396="","",CR396)</f>
        <v/>
      </c>
      <c r="CS412" s="13" t="str">
        <f aca="false">IF(CS396="","",CS396)</f>
        <v/>
      </c>
      <c r="CT412" s="13" t="str">
        <f aca="false">IF(CT396="","",CT396)</f>
        <v/>
      </c>
      <c r="CU412" s="13" t="str">
        <f aca="false">IF(CU396="","",CU396)</f>
        <v/>
      </c>
      <c r="CV412" s="13" t="str">
        <f aca="false">IF(CV396="","",CV396)</f>
        <v/>
      </c>
      <c r="CW412" s="13" t="str">
        <f aca="false">IF(CW396="","",CW396)</f>
        <v/>
      </c>
      <c r="CX412" s="13" t="str">
        <f aca="false">IF(CX396="","",CX396)</f>
        <v/>
      </c>
      <c r="CY412" s="13" t="str">
        <f aca="false">IF(CY396="","",CY396)</f>
        <v/>
      </c>
      <c r="CZ412" s="13" t="str">
        <f aca="false">IF(CZ396="","",CZ396)</f>
        <v/>
      </c>
      <c r="DA412" s="13" t="str">
        <f aca="false">IF(DA396="","",DA396)</f>
        <v/>
      </c>
      <c r="DB412" s="13" t="str">
        <f aca="false">IF(DB396="","",DB396)</f>
        <v/>
      </c>
      <c r="DC412" s="13" t="str">
        <f aca="false">IF(DC396="","",DC396)</f>
        <v/>
      </c>
      <c r="DD412" s="13" t="str">
        <f aca="false">IF(DD396="","",DD396)</f>
        <v/>
      </c>
      <c r="DE412" s="13" t="str">
        <f aca="false">IF(DE396="","",DE396)</f>
        <v/>
      </c>
    </row>
    <row r="413" customFormat="false" ht="15" hidden="false" customHeight="true" outlineLevel="0" collapsed="false">
      <c r="A413" s="22" t="s">
        <v>223</v>
      </c>
      <c r="B413" s="13" t="str">
        <f aca="false">IF(B$4="Actuals",IF(C$4="Actuals","",C366),B371)</f>
        <v/>
      </c>
      <c r="C413" s="13" t="str">
        <f aca="false">IF(C$4="Actuals",IF(D$4="Actuals","",D366),C371)</f>
        <v/>
      </c>
      <c r="D413" s="13" t="str">
        <f aca="false">IF(D$4="Actuals",IF(E$4="Actuals","",E366),D371)</f>
        <v/>
      </c>
      <c r="E413" s="13" t="str">
        <f aca="false">IF(E$4="Actuals",IF(F$4="Actuals","",F366),E371)</f>
        <v/>
      </c>
      <c r="F413" s="13" t="str">
        <f aca="false">IF(F$4="Actuals",IF(G$4="Actuals","",G366),F371)</f>
        <v/>
      </c>
      <c r="G413" s="13" t="str">
        <f aca="false">IF(G$4="Actuals",IF(H$4="Actuals","",H366),G371)</f>
        <v/>
      </c>
      <c r="H413" s="13" t="str">
        <f aca="false">IF(H$4="Actuals",IF(I$4="Actuals","",I366),H371)</f>
        <v/>
      </c>
      <c r="I413" s="13" t="n">
        <f aca="false">IF(I$4="Actuals",IF(J$4="Actuals","",J366),I371)</f>
        <v>658190</v>
      </c>
      <c r="J413" s="13" t="n">
        <f aca="false">IF(J$4="Actuals",IF(K$4="Actuals","",K366),J371)</f>
        <v>512855.116666667</v>
      </c>
      <c r="K413" s="13" t="n">
        <f aca="false">IF(K$4="Actuals",IF(L$4="Actuals","",L366),K371)</f>
        <v>367520.233333333</v>
      </c>
      <c r="L413" s="13" t="n">
        <f aca="false">IF(L$4="Actuals",IF(M$4="Actuals","",M366),L371)</f>
        <v>212810.35</v>
      </c>
      <c r="M413" s="13" t="n">
        <f aca="false">IF(M$4="Actuals",IF(N$4="Actuals","",N366),M371)</f>
        <v>61600.4666666667</v>
      </c>
      <c r="N413" s="13" t="n">
        <f aca="false">IF(N$4="Actuals",IF(O$4="Actuals","",O366),N371)</f>
        <v>-186092.864786967</v>
      </c>
      <c r="O413" s="13" t="n">
        <f aca="false">IF(O$4="Actuals",IF(P$4="Actuals","",P366),O371)</f>
        <v>-435771.158646616</v>
      </c>
      <c r="P413" s="13" t="n">
        <f aca="false">IF(P$4="Actuals",IF(Q$4="Actuals","",Q366),P371)</f>
        <v>-684949.452506266</v>
      </c>
      <c r="Q413" s="13" t="n">
        <f aca="false">IF(Q$4="Actuals",IF(R$4="Actuals","",R366),Q371)</f>
        <v>-914587.838632581</v>
      </c>
      <c r="R413" s="13" t="n">
        <f aca="false">IF(R$4="Actuals",IF(S$4="Actuals","",S366),R371)</f>
        <v>-1150476.4247589</v>
      </c>
      <c r="S413" s="13" t="n">
        <f aca="false">IF(S$4="Actuals",IF(T$4="Actuals","",T366),S371)</f>
        <v>-1386365.01088521</v>
      </c>
      <c r="T413" s="13" t="n">
        <f aca="false">IF(T$4="Actuals",IF(U$4="Actuals","",U366),T371)</f>
        <v>-1647759.84701153</v>
      </c>
      <c r="U413" s="13" t="n">
        <f aca="false">IF(U$4="Actuals",IF(V$4="Actuals","",V366),U371)</f>
        <v>-1912054.68313784</v>
      </c>
      <c r="V413" s="13" t="n">
        <f aca="false">IF(V$4="Actuals",IF(W$4="Actuals","",W366),V371)</f>
        <v>-2176349.51926416</v>
      </c>
      <c r="W413" s="13" t="n">
        <f aca="false">IF(W$4="Actuals",IF(X$4="Actuals","",X366),W371)</f>
        <v>-2424072.09299048</v>
      </c>
      <c r="X413" s="13" t="n">
        <f aca="false">IF(X$4="Actuals",IF(Y$4="Actuals","",Y366),X371)</f>
        <v>-2655761.20431679</v>
      </c>
      <c r="Y413" s="13" t="n">
        <f aca="false">IF(Y$4="Actuals",IF(Z$4="Actuals","",Z366),Y371)</f>
        <v>-2813503.05324311</v>
      </c>
      <c r="Z413" s="13" t="n">
        <f aca="false">IF(Z$4="Actuals",IF(AA$4="Actuals","",AA366),Z371)</f>
        <v>-3025669.92576942</v>
      </c>
      <c r="AA413" s="13" t="n">
        <f aca="false">IF(AA$4="Actuals",IF(AB$4="Actuals","",AB366),AA371)</f>
        <v>-3472300.29629574</v>
      </c>
      <c r="AB413" s="13" t="n">
        <f aca="false">IF(AB$4="Actuals",IF(AC$4="Actuals","",AC366),AB371)</f>
        <v>-3596019.17682206</v>
      </c>
      <c r="AC413" s="13" t="n">
        <f aca="false">IF(AC$4="Actuals",IF(AD$4="Actuals","",AD366),AC371)</f>
        <v>-3765240.73646837</v>
      </c>
      <c r="AD413" s="13" t="n">
        <f aca="false">IF(AD$4="Actuals",IF(AE$4="Actuals","",AE366),AD371)</f>
        <v>-3918925.80011469</v>
      </c>
      <c r="AE413" s="13" t="n">
        <f aca="false">IF(AE$4="Actuals",IF(AF$4="Actuals","",AF366),AE371)</f>
        <v>-3979680.7920396</v>
      </c>
      <c r="AF413" s="13" t="n">
        <f aca="false">IF(AF$4="Actuals",IF(AG$4="Actuals","",AG366),AF371)</f>
        <v>-4003038.26068592</v>
      </c>
      <c r="AG413" s="13" t="n">
        <f aca="false">IF(AG$4="Actuals",IF(AH$4="Actuals","",AH366),AG371)</f>
        <v>-4015311.83056908</v>
      </c>
      <c r="AH413" s="13" t="n">
        <f aca="false">IF(AH$4="Actuals",IF(AI$4="Actuals","",AI366),AH371)</f>
        <v>-3997453.17018908</v>
      </c>
      <c r="AI413" s="13" t="n">
        <f aca="false">IF(AI$4="Actuals",IF(AJ$4="Actuals","",AJ366),AI371)</f>
        <v>-4038219.73980908</v>
      </c>
      <c r="AJ413" s="13" t="n">
        <f aca="false">IF(AJ$4="Actuals",IF(AK$4="Actuals","",AK366),AJ371)</f>
        <v>-4078556.14342908</v>
      </c>
      <c r="AK413" s="13" t="n">
        <f aca="false">IF(AK$4="Actuals",IF(AL$4="Actuals","",AL366),AK371)</f>
        <v>-4118462.39204908</v>
      </c>
      <c r="AL413" s="13" t="n">
        <f aca="false">IF(AL$4="Actuals",IF(AM$4="Actuals","",AM366),AL371)</f>
        <v>-4157938.48016908</v>
      </c>
      <c r="AM413" s="13" t="n">
        <f aca="false">IF(AM$4="Actuals",IF(AN$4="Actuals","",AN366),AM371)</f>
        <v>-4446984.41328908</v>
      </c>
      <c r="AN413" s="13" t="n">
        <f aca="false">IF(AN$4="Actuals",IF(AO$4="Actuals","",AO366),AN371)</f>
        <v>-4471358.39790908</v>
      </c>
      <c r="AO413" s="13" t="n">
        <f aca="false">IF(AO$4="Actuals",IF(AP$4="Actuals","",AP366),AO371)</f>
        <v>-4513281.45703148</v>
      </c>
      <c r="AP413" s="13" t="n">
        <f aca="false">IF(AP$4="Actuals",IF(AQ$4="Actuals","",AQ366),AP371)</f>
        <v>-4569016.14365388</v>
      </c>
      <c r="AQ413" s="13" t="n">
        <f aca="false">IF(AQ$4="Actuals",IF(AR$4="Actuals","",AR366),AQ371)</f>
        <v>-4638562.45777628</v>
      </c>
      <c r="AR413" s="13" t="n">
        <f aca="false">IF(AR$4="Actuals",IF(AS$4="Actuals","",AS366),AR371)</f>
        <v>-4721920.40489868</v>
      </c>
      <c r="AS413" s="13" t="n">
        <f aca="false">IF(AS$4="Actuals",IF(AT$4="Actuals","",AT366),AS371)</f>
        <v>-4826902.74752108</v>
      </c>
      <c r="AT413" s="13" t="n">
        <f aca="false">IF(AT$4="Actuals",IF(AU$4="Actuals","",AU366),AT371)</f>
        <v>-4944441.11514348</v>
      </c>
      <c r="AU413" s="13" t="n">
        <f aca="false">IF(AU$4="Actuals",IF(AV$4="Actuals","",AV366),AU371)</f>
        <v>-5074535.51276588</v>
      </c>
      <c r="AV413" s="13" t="n">
        <f aca="false">IF(AV$4="Actuals",IF(AW$4="Actuals","",AW366),AV371)</f>
        <v>-5217185.93038828</v>
      </c>
      <c r="AW413" s="13" t="n">
        <f aca="false">IF(AW$4="Actuals",IF(AX$4="Actuals","",AX366),AW371)</f>
        <v>-5372876.95951068</v>
      </c>
      <c r="AX413" s="13" t="n">
        <f aca="false">IF(AX$4="Actuals",IF(AY$4="Actuals","",AY366),AX371)</f>
        <v>-5487689.98713308</v>
      </c>
      <c r="AY413" s="13" t="n">
        <f aca="false">IF(AY$4="Actuals",IF(AZ$4="Actuals","",AZ366),AY371)</f>
        <v>-5615450.08975548</v>
      </c>
      <c r="AZ413" s="13" t="n">
        <f aca="false">IF(AZ$4="Actuals",IF(BA$4="Actuals","",BA366),AZ371)</f>
        <v>-5769003.55487788</v>
      </c>
      <c r="BA413" s="13" t="n">
        <f aca="false">IF(BA$4="Actuals",IF(BB$4="Actuals","",BB366),BA371)</f>
        <v>-5926799.38205272</v>
      </c>
      <c r="BB413" s="13" t="n">
        <f aca="false">IF(BB$4="Actuals",IF(BC$4="Actuals","",BC366),BB371)</f>
        <v>-6085025.37522757</v>
      </c>
      <c r="BC413" s="13" t="n">
        <f aca="false">IF(BC$4="Actuals",IF(BD$4="Actuals","",BD366),BC371)</f>
        <v>-6243681.52340242</v>
      </c>
      <c r="BD413" s="13" t="n">
        <f aca="false">IF(BD$4="Actuals",IF(BE$4="Actuals","",BE366),BD371)</f>
        <v>-6402767.83207727</v>
      </c>
      <c r="BE413" s="13" t="n">
        <f aca="false">IF(BE$4="Actuals",IF(BF$4="Actuals","",BF366),BE371)</f>
        <v>-6562284.30125212</v>
      </c>
      <c r="BF413" s="13" t="n">
        <f aca="false">IF(BF$4="Actuals",IF(BG$4="Actuals","",BG366),BF371)</f>
        <v>-6722230.93092697</v>
      </c>
      <c r="BG413" s="13" t="n">
        <f aca="false">IF(BG$4="Actuals",IF(BH$4="Actuals","",BH366),BG371)</f>
        <v>-6882607.72110181</v>
      </c>
      <c r="BH413" s="13" t="n">
        <f aca="false">IF(BH$4="Actuals",IF(BI$4="Actuals","",BI366),BH371)</f>
        <v>-7043414.67177666</v>
      </c>
      <c r="BI413" s="13" t="n">
        <f aca="false">IF(BI$4="Actuals",IF(BJ$4="Actuals","",BJ366),BI371)</f>
        <v>-7204651.78295151</v>
      </c>
      <c r="BJ413" s="13" t="n">
        <f aca="false">IF(BJ$4="Actuals",IF(BK$4="Actuals","",BK366),BJ371)</f>
        <v>-7366319.05462636</v>
      </c>
      <c r="BK413" s="13" t="n">
        <f aca="false">IF(BK$4="Actuals",IF(BL$4="Actuals","",BL366),BK371)</f>
        <v>-7528416.48680121</v>
      </c>
      <c r="BL413" s="13" t="n">
        <f aca="false">IF(BL$4="Actuals",IF(BM$4="Actuals","",BM366),BL371)</f>
        <v>-7690944.07397605</v>
      </c>
      <c r="BM413" s="13" t="n">
        <f aca="false">IF(BM$4="Actuals",IF(BN$4="Actuals","",BN366),BM371)</f>
        <v>-7834289.7727344</v>
      </c>
      <c r="BN413" s="13" t="n">
        <f aca="false">IF(BN$4="Actuals",IF(BO$4="Actuals","",BO366),BN371)</f>
        <v>-7978065.63199274</v>
      </c>
      <c r="BO413" s="13" t="n">
        <f aca="false">IF(BO$4="Actuals",IF(BP$4="Actuals","",BP366),BO371)</f>
        <v>-8068445.36175109</v>
      </c>
      <c r="BP413" s="13" t="n">
        <f aca="false">IF(BP$4="Actuals",IF(BQ$4="Actuals","",BQ366),BP371)</f>
        <v>-8271756.08650943</v>
      </c>
      <c r="BQ413" s="13" t="n">
        <f aca="false">IF(BQ$4="Actuals",IF(BR$4="Actuals","",BR366),BQ371)</f>
        <v>-8475066.81126778</v>
      </c>
      <c r="BR413" s="13" t="n">
        <f aca="false">IF(BR$4="Actuals",IF(BS$4="Actuals","",BS366),BR371)</f>
        <v>-8625127.18602612</v>
      </c>
      <c r="BS413" s="13" t="n">
        <f aca="false">IF(BS$4="Actuals",IF(BT$4="Actuals","",BT366),BS371)</f>
        <v>-8828437.91078447</v>
      </c>
      <c r="BT413" s="13" t="n">
        <f aca="false">IF(BT$4="Actuals",IF(BU$4="Actuals","",BU366),BT371)</f>
        <v>-9031748.63554281</v>
      </c>
      <c r="BU413" s="13" t="n">
        <f aca="false">IF(BU$4="Actuals",IF(BV$4="Actuals","",BV366),BU371)</f>
        <v>-9167297.36030116</v>
      </c>
      <c r="BV413" s="13" t="n">
        <f aca="false">IF(BV$4="Actuals",IF(BW$4="Actuals","",BW366),BV371)</f>
        <v>-9370608.08505951</v>
      </c>
      <c r="BW413" s="13" t="n">
        <f aca="false">IF(BW$4="Actuals",IF(BX$4="Actuals","",BX366),BW371)</f>
        <v>-9573918.80981785</v>
      </c>
      <c r="BX413" s="13" t="n">
        <f aca="false">IF(BX$4="Actuals",IF(BY$4="Actuals","",BY366),BX371)</f>
        <v>-9709467.5345762</v>
      </c>
      <c r="BY413" s="13" t="n">
        <f aca="false">IF(BY$4="Actuals",IF(BZ$4="Actuals","",BZ366),BY371)</f>
        <v>-9916744.47382971</v>
      </c>
      <c r="BZ413" s="13" t="n">
        <f aca="false">IF(BZ$4="Actuals",IF(CA$4="Actuals","",CA366),BZ371)</f>
        <v>-10124021.4130832</v>
      </c>
      <c r="CA413" s="13" t="n">
        <f aca="false">IF(CA$4="Actuals",IF(CB$4="Actuals","",CB366),CA371)</f>
        <v>-10263536.3523367</v>
      </c>
      <c r="CB413" s="13" t="n">
        <f aca="false">IF(CB$4="Actuals",IF(CC$4="Actuals","",CC366),CB371)</f>
        <v>-10470813.2915902</v>
      </c>
      <c r="CC413" s="13" t="n">
        <f aca="false">IF(CC$4="Actuals",IF(CD$4="Actuals","",CD366),CC371)</f>
        <v>-10678090.2308438</v>
      </c>
      <c r="CD413" s="13" t="n">
        <f aca="false">IF(CD$4="Actuals",IF(CE$4="Actuals","",CE366),CD371)</f>
        <v>-10808868.1700973</v>
      </c>
      <c r="CE413" s="13" t="n">
        <f aca="false">IF(CE$4="Actuals",IF(CF$4="Actuals","",CF366),CE371)</f>
        <v>-11016145.1093508</v>
      </c>
      <c r="CF413" s="13" t="n">
        <f aca="false">IF(CF$4="Actuals",IF(CG$4="Actuals","",CG366),CF371)</f>
        <v>-11223422.0486043</v>
      </c>
      <c r="CG413" s="13" t="n">
        <f aca="false">IF(CG$4="Actuals",IF(CH$4="Actuals","",CH366),CG371)</f>
        <v>-11354199.9878578</v>
      </c>
      <c r="CH413" s="13" t="n">
        <f aca="false">IF(CH$4="Actuals",IF(CI$4="Actuals","",CI366),CH371)</f>
        <v>-11561476.9271113</v>
      </c>
      <c r="CI413" s="13" t="n">
        <f aca="false">IF(CI$4="Actuals",IF(CJ$4="Actuals","",CJ366),CI371)</f>
        <v>-11768753.8663648</v>
      </c>
      <c r="CJ413" s="13" t="n">
        <f aca="false">IF(CJ$4="Actuals",IF(CK$4="Actuals","",CK366),CJ371)</f>
        <v>-11892923.7790119</v>
      </c>
      <c r="CK413" s="13" t="n">
        <f aca="false">IF(CK$4="Actuals",IF(CL$4="Actuals","",CL366),CK371)</f>
        <v>-11946385.2570505</v>
      </c>
      <c r="CL413" s="13" t="n">
        <f aca="false">IF(CL$4="Actuals",IF(CM$4="Actuals","",CM366),CL371)</f>
        <v>-11999846.735089</v>
      </c>
      <c r="CM413" s="13" t="n">
        <f aca="false">IF(CM$4="Actuals",IF(CN$4="Actuals","",CN366),CM371)</f>
        <v>-12053308.2131276</v>
      </c>
      <c r="CN413" s="13" t="n">
        <f aca="false">IF(CN$4="Actuals",IF(CO$4="Actuals","",CO366),CN371)</f>
        <v>-12106769.6911662</v>
      </c>
      <c r="CO413" s="13" t="n">
        <f aca="false">IF(CO$4="Actuals",IF(CP$4="Actuals","",CP366),CO371)</f>
        <v>-12160231.1692048</v>
      </c>
      <c r="CP413" s="13" t="n">
        <f aca="false">IF(CP$4="Actuals",IF(CQ$4="Actuals","",CQ366),CP371)</f>
        <v>-12213692.6472434</v>
      </c>
      <c r="CQ413" s="13" t="n">
        <f aca="false">IF(CQ$4="Actuals",IF(CR$4="Actuals","",CR366),CQ371)</f>
        <v>-12267154.125282</v>
      </c>
      <c r="CR413" s="13" t="n">
        <f aca="false">IF(CR$4="Actuals",IF(CS$4="Actuals","",CS366),CR371)</f>
        <v>-12320615.6033205</v>
      </c>
      <c r="CS413" s="13" t="n">
        <f aca="false">IF(CS$4="Actuals",IF(CT$4="Actuals","",CT366),CS371)</f>
        <v>-12374077.0813591</v>
      </c>
      <c r="CT413" s="13" t="n">
        <f aca="false">IF(CT$4="Actuals",IF(CU$4="Actuals","",CU366),CT371)</f>
        <v>-12418516.5907164</v>
      </c>
      <c r="CU413" s="13" t="n">
        <f aca="false">IF(CU$4="Actuals",IF(CV$4="Actuals","",CV366),CU371)</f>
        <v>-12462956.1000736</v>
      </c>
      <c r="CV413" s="13" t="n">
        <f aca="false">IF(CV$4="Actuals",IF(CW$4="Actuals","",CW366),CV371)</f>
        <v>-12507395.6094309</v>
      </c>
      <c r="CW413" s="13" t="n">
        <f aca="false">IF(CW$4="Actuals",IF(CX$4="Actuals","",CX366),CW371)</f>
        <v>-12500072.9779117</v>
      </c>
      <c r="CX413" s="13" t="n">
        <f aca="false">IF(CX$4="Actuals",IF(CY$4="Actuals","",CY366),CX371)</f>
        <v>-12475303.4974561</v>
      </c>
      <c r="CY413" s="13" t="n">
        <f aca="false">IF(CY$4="Actuals",IF(CZ$4="Actuals","",CZ366),CY371)</f>
        <v>-12450534.0170005</v>
      </c>
      <c r="CZ413" s="13" t="n">
        <f aca="false">IF(CZ$4="Actuals",IF(DA$4="Actuals","",DA366),CZ371)</f>
        <v>-12425764.5365449</v>
      </c>
      <c r="DA413" s="13" t="n">
        <f aca="false">IF(DA$4="Actuals",IF(DB$4="Actuals","",DB366),DA371)</f>
        <v>-12400995.0560893</v>
      </c>
      <c r="DB413" s="13" t="n">
        <f aca="false">IF(DB$4="Actuals",IF(DC$4="Actuals","",DC366),DB371)</f>
        <v>-12376225.5756337</v>
      </c>
      <c r="DC413" s="13" t="n">
        <f aca="false">IF(DC$4="Actuals",IF(DD$4="Actuals","",DD366),DC371)</f>
        <v>-12351456.0951781</v>
      </c>
      <c r="DD413" s="13" t="n">
        <f aca="false">IF(DD$4="Actuals",IF(DE$4="Actuals","",DE366),DD371)</f>
        <v>-12326686.6147225</v>
      </c>
      <c r="DE413" s="13" t="n">
        <f aca="false">IF(DE$4="Actuals",IF(DF$4="Actuals","",DF366),DE371)</f>
        <v>-12301917.1342669</v>
      </c>
    </row>
    <row r="414" customFormat="false" ht="15" hidden="false" customHeight="true" outlineLevel="0" collapsed="false">
      <c r="A414" s="22" t="s">
        <v>224</v>
      </c>
      <c r="B414" s="13" t="str">
        <f aca="false">IF(OR(B412="",B413=""),"",B413-B412)</f>
        <v/>
      </c>
      <c r="C414" s="13" t="str">
        <f aca="false">IF(OR(C412="",C413=""),"",C413-C412)</f>
        <v/>
      </c>
      <c r="D414" s="13" t="str">
        <f aca="false">IF(OR(D412="",D413=""),"",D413-D412)</f>
        <v/>
      </c>
      <c r="E414" s="13" t="str">
        <f aca="false">IF(OR(E412="",E413=""),"",E413-E412)</f>
        <v/>
      </c>
      <c r="F414" s="13" t="str">
        <f aca="false">IF(OR(F412="",F413=""),"",F413-F412)</f>
        <v/>
      </c>
      <c r="G414" s="13" t="str">
        <f aca="false">IF(OR(G412="",G413=""),"",G413-G412)</f>
        <v/>
      </c>
      <c r="H414" s="13" t="str">
        <f aca="false">IF(OR(H412="",H413=""),"",H413-H412)</f>
        <v/>
      </c>
      <c r="I414" s="13" t="n">
        <f aca="false">IF(OR(I412="",I413=""),"",I413-I412)</f>
        <v>0</v>
      </c>
      <c r="J414" s="13" t="str">
        <f aca="false">IF(OR(J412="",J413=""),"",J413-J412)</f>
        <v/>
      </c>
      <c r="K414" s="13" t="str">
        <f aca="false">IF(OR(K412="",K413=""),"",K413-K412)</f>
        <v/>
      </c>
      <c r="L414" s="13" t="str">
        <f aca="false">IF(OR(L412="",L413=""),"",L413-L412)</f>
        <v/>
      </c>
      <c r="M414" s="13" t="str">
        <f aca="false">IF(OR(M412="",M413=""),"",M413-M412)</f>
        <v/>
      </c>
      <c r="N414" s="13" t="str">
        <f aca="false">IF(OR(N412="",N413=""),"",N413-N412)</f>
        <v/>
      </c>
      <c r="O414" s="13" t="str">
        <f aca="false">IF(OR(O412="",O413=""),"",O413-O412)</f>
        <v/>
      </c>
      <c r="P414" s="13" t="str">
        <f aca="false">IF(OR(P412="",P413=""),"",P413-P412)</f>
        <v/>
      </c>
      <c r="Q414" s="13" t="str">
        <f aca="false">IF(OR(Q412="",Q413=""),"",Q413-Q412)</f>
        <v/>
      </c>
      <c r="R414" s="13" t="str">
        <f aca="false">IF(OR(R412="",R413=""),"",R413-R412)</f>
        <v/>
      </c>
      <c r="S414" s="13" t="str">
        <f aca="false">IF(OR(S412="",S413=""),"",S413-S412)</f>
        <v/>
      </c>
      <c r="T414" s="13" t="str">
        <f aca="false">IF(OR(T412="",T413=""),"",T413-T412)</f>
        <v/>
      </c>
      <c r="U414" s="13" t="str">
        <f aca="false">IF(OR(U412="",U413=""),"",U413-U412)</f>
        <v/>
      </c>
      <c r="V414" s="13" t="str">
        <f aca="false">IF(OR(V412="",V413=""),"",V413-V412)</f>
        <v/>
      </c>
      <c r="W414" s="13" t="str">
        <f aca="false">IF(OR(W412="",W413=""),"",W413-W412)</f>
        <v/>
      </c>
      <c r="X414" s="13" t="str">
        <f aca="false">IF(OR(X412="",X413=""),"",X413-X412)</f>
        <v/>
      </c>
      <c r="Y414" s="13" t="str">
        <f aca="false">IF(OR(Y412="",Y413=""),"",Y413-Y412)</f>
        <v/>
      </c>
      <c r="Z414" s="13" t="str">
        <f aca="false">IF(OR(Z412="",Z413=""),"",Z413-Z412)</f>
        <v/>
      </c>
      <c r="AA414" s="13" t="str">
        <f aca="false">IF(OR(AA412="",AA413=""),"",AA413-AA412)</f>
        <v/>
      </c>
      <c r="AB414" s="13" t="str">
        <f aca="false">IF(OR(AB412="",AB413=""),"",AB413-AB412)</f>
        <v/>
      </c>
      <c r="AC414" s="13" t="str">
        <f aca="false">IF(OR(AC412="",AC413=""),"",AC413-AC412)</f>
        <v/>
      </c>
      <c r="AD414" s="13" t="str">
        <f aca="false">IF(OR(AD412="",AD413=""),"",AD413-AD412)</f>
        <v/>
      </c>
      <c r="AE414" s="13" t="str">
        <f aca="false">IF(OR(AE412="",AE413=""),"",AE413-AE412)</f>
        <v/>
      </c>
      <c r="AF414" s="13" t="str">
        <f aca="false">IF(OR(AF412="",AF413=""),"",AF413-AF412)</f>
        <v/>
      </c>
      <c r="AG414" s="13" t="str">
        <f aca="false">IF(OR(AG412="",AG413=""),"",AG413-AG412)</f>
        <v/>
      </c>
      <c r="AH414" s="13" t="str">
        <f aca="false">IF(OR(AH412="",AH413=""),"",AH413-AH412)</f>
        <v/>
      </c>
      <c r="AI414" s="13" t="str">
        <f aca="false">IF(OR(AI412="",AI413=""),"",AI413-AI412)</f>
        <v/>
      </c>
      <c r="AJ414" s="13" t="str">
        <f aca="false">IF(OR(AJ412="",AJ413=""),"",AJ413-AJ412)</f>
        <v/>
      </c>
      <c r="AK414" s="13" t="str">
        <f aca="false">IF(OR(AK412="",AK413=""),"",AK413-AK412)</f>
        <v/>
      </c>
      <c r="AL414" s="13" t="str">
        <f aca="false">IF(OR(AL412="",AL413=""),"",AL413-AL412)</f>
        <v/>
      </c>
      <c r="AM414" s="13" t="str">
        <f aca="false">IF(OR(AM412="",AM413=""),"",AM413-AM412)</f>
        <v/>
      </c>
      <c r="AN414" s="13" t="str">
        <f aca="false">IF(OR(AN412="",AN413=""),"",AN413-AN412)</f>
        <v/>
      </c>
      <c r="AO414" s="13" t="str">
        <f aca="false">IF(OR(AO412="",AO413=""),"",AO413-AO412)</f>
        <v/>
      </c>
      <c r="AP414" s="13" t="str">
        <f aca="false">IF(OR(AP412="",AP413=""),"",AP413-AP412)</f>
        <v/>
      </c>
      <c r="AQ414" s="13" t="str">
        <f aca="false">IF(OR(AQ412="",AQ413=""),"",AQ413-AQ412)</f>
        <v/>
      </c>
      <c r="AR414" s="13" t="str">
        <f aca="false">IF(OR(AR412="",AR413=""),"",AR413-AR412)</f>
        <v/>
      </c>
      <c r="AS414" s="13" t="str">
        <f aca="false">IF(OR(AS412="",AS413=""),"",AS413-AS412)</f>
        <v/>
      </c>
      <c r="AT414" s="13" t="str">
        <f aca="false">IF(OR(AT412="",AT413=""),"",AT413-AT412)</f>
        <v/>
      </c>
      <c r="AU414" s="13" t="str">
        <f aca="false">IF(OR(AU412="",AU413=""),"",AU413-AU412)</f>
        <v/>
      </c>
      <c r="AV414" s="13" t="str">
        <f aca="false">IF(OR(AV412="",AV413=""),"",AV413-AV412)</f>
        <v/>
      </c>
      <c r="AW414" s="13" t="str">
        <f aca="false">IF(OR(AW412="",AW413=""),"",AW413-AW412)</f>
        <v/>
      </c>
      <c r="AX414" s="13" t="str">
        <f aca="false">IF(OR(AX412="",AX413=""),"",AX413-AX412)</f>
        <v/>
      </c>
      <c r="AY414" s="13" t="str">
        <f aca="false">IF(OR(AY412="",AY413=""),"",AY413-AY412)</f>
        <v/>
      </c>
      <c r="AZ414" s="13" t="str">
        <f aca="false">IF(OR(AZ412="",AZ413=""),"",AZ413-AZ412)</f>
        <v/>
      </c>
      <c r="BA414" s="13" t="str">
        <f aca="false">IF(OR(BA412="",BA413=""),"",BA413-BA412)</f>
        <v/>
      </c>
      <c r="BB414" s="13" t="str">
        <f aca="false">IF(OR(BB412="",BB413=""),"",BB413-BB412)</f>
        <v/>
      </c>
      <c r="BC414" s="13" t="str">
        <f aca="false">IF(OR(BC412="",BC413=""),"",BC413-BC412)</f>
        <v/>
      </c>
      <c r="BD414" s="13" t="str">
        <f aca="false">IF(OR(BD412="",BD413=""),"",BD413-BD412)</f>
        <v/>
      </c>
      <c r="BE414" s="13" t="str">
        <f aca="false">IF(OR(BE412="",BE413=""),"",BE413-BE412)</f>
        <v/>
      </c>
      <c r="BF414" s="13" t="str">
        <f aca="false">IF(OR(BF412="",BF413=""),"",BF413-BF412)</f>
        <v/>
      </c>
      <c r="BG414" s="13" t="str">
        <f aca="false">IF(OR(BG412="",BG413=""),"",BG413-BG412)</f>
        <v/>
      </c>
      <c r="BH414" s="13" t="str">
        <f aca="false">IF(OR(BH412="",BH413=""),"",BH413-BH412)</f>
        <v/>
      </c>
      <c r="BI414" s="13" t="str">
        <f aca="false">IF(OR(BI412="",BI413=""),"",BI413-BI412)</f>
        <v/>
      </c>
      <c r="BJ414" s="13" t="str">
        <f aca="false">IF(OR(BJ412="",BJ413=""),"",BJ413-BJ412)</f>
        <v/>
      </c>
      <c r="BK414" s="13" t="str">
        <f aca="false">IF(OR(BK412="",BK413=""),"",BK413-BK412)</f>
        <v/>
      </c>
      <c r="BL414" s="13" t="str">
        <f aca="false">IF(OR(BL412="",BL413=""),"",BL413-BL412)</f>
        <v/>
      </c>
      <c r="BM414" s="13" t="str">
        <f aca="false">IF(OR(BM412="",BM413=""),"",BM413-BM412)</f>
        <v/>
      </c>
      <c r="BN414" s="13" t="str">
        <f aca="false">IF(OR(BN412="",BN413=""),"",BN413-BN412)</f>
        <v/>
      </c>
      <c r="BO414" s="13" t="str">
        <f aca="false">IF(OR(BO412="",BO413=""),"",BO413-BO412)</f>
        <v/>
      </c>
      <c r="BP414" s="13" t="str">
        <f aca="false">IF(OR(BP412="",BP413=""),"",BP413-BP412)</f>
        <v/>
      </c>
      <c r="BQ414" s="13" t="str">
        <f aca="false">IF(OR(BQ412="",BQ413=""),"",BQ413-BQ412)</f>
        <v/>
      </c>
      <c r="BR414" s="13" t="str">
        <f aca="false">IF(OR(BR412="",BR413=""),"",BR413-BR412)</f>
        <v/>
      </c>
      <c r="BS414" s="13" t="str">
        <f aca="false">IF(OR(BS412="",BS413=""),"",BS413-BS412)</f>
        <v/>
      </c>
      <c r="BT414" s="13" t="str">
        <f aca="false">IF(OR(BT412="",BT413=""),"",BT413-BT412)</f>
        <v/>
      </c>
      <c r="BU414" s="13" t="str">
        <f aca="false">IF(OR(BU412="",BU413=""),"",BU413-BU412)</f>
        <v/>
      </c>
      <c r="BV414" s="13" t="str">
        <f aca="false">IF(OR(BV412="",BV413=""),"",BV413-BV412)</f>
        <v/>
      </c>
      <c r="BW414" s="13" t="str">
        <f aca="false">IF(OR(BW412="",BW413=""),"",BW413-BW412)</f>
        <v/>
      </c>
      <c r="BX414" s="13" t="str">
        <f aca="false">IF(OR(BX412="",BX413=""),"",BX413-BX412)</f>
        <v/>
      </c>
      <c r="BY414" s="13" t="str">
        <f aca="false">IF(OR(BY412="",BY413=""),"",BY413-BY412)</f>
        <v/>
      </c>
      <c r="BZ414" s="13" t="str">
        <f aca="false">IF(OR(BZ412="",BZ413=""),"",BZ413-BZ412)</f>
        <v/>
      </c>
      <c r="CA414" s="13" t="str">
        <f aca="false">IF(OR(CA412="",CA413=""),"",CA413-CA412)</f>
        <v/>
      </c>
      <c r="CB414" s="13" t="str">
        <f aca="false">IF(OR(CB412="",CB413=""),"",CB413-CB412)</f>
        <v/>
      </c>
      <c r="CC414" s="13" t="str">
        <f aca="false">IF(OR(CC412="",CC413=""),"",CC413-CC412)</f>
        <v/>
      </c>
      <c r="CD414" s="13" t="str">
        <f aca="false">IF(OR(CD412="",CD413=""),"",CD413-CD412)</f>
        <v/>
      </c>
      <c r="CE414" s="13" t="str">
        <f aca="false">IF(OR(CE412="",CE413=""),"",CE413-CE412)</f>
        <v/>
      </c>
      <c r="CF414" s="13" t="str">
        <f aca="false">IF(OR(CF412="",CF413=""),"",CF413-CF412)</f>
        <v/>
      </c>
      <c r="CG414" s="13" t="str">
        <f aca="false">IF(OR(CG412="",CG413=""),"",CG413-CG412)</f>
        <v/>
      </c>
      <c r="CH414" s="13" t="str">
        <f aca="false">IF(OR(CH412="",CH413=""),"",CH413-CH412)</f>
        <v/>
      </c>
      <c r="CI414" s="13" t="str">
        <f aca="false">IF(OR(CI412="",CI413=""),"",CI413-CI412)</f>
        <v/>
      </c>
      <c r="CJ414" s="13" t="str">
        <f aca="false">IF(OR(CJ412="",CJ413=""),"",CJ413-CJ412)</f>
        <v/>
      </c>
      <c r="CK414" s="13" t="str">
        <f aca="false">IF(OR(CK412="",CK413=""),"",CK413-CK412)</f>
        <v/>
      </c>
      <c r="CL414" s="13" t="str">
        <f aca="false">IF(OR(CL412="",CL413=""),"",CL413-CL412)</f>
        <v/>
      </c>
      <c r="CM414" s="13" t="str">
        <f aca="false">IF(OR(CM412="",CM413=""),"",CM413-CM412)</f>
        <v/>
      </c>
      <c r="CN414" s="13" t="str">
        <f aca="false">IF(OR(CN412="",CN413=""),"",CN413-CN412)</f>
        <v/>
      </c>
      <c r="CO414" s="13" t="str">
        <f aca="false">IF(OR(CO412="",CO413=""),"",CO413-CO412)</f>
        <v/>
      </c>
      <c r="CP414" s="13" t="str">
        <f aca="false">IF(OR(CP412="",CP413=""),"",CP413-CP412)</f>
        <v/>
      </c>
      <c r="CQ414" s="13" t="str">
        <f aca="false">IF(OR(CQ412="",CQ413=""),"",CQ413-CQ412)</f>
        <v/>
      </c>
      <c r="CR414" s="13" t="str">
        <f aca="false">IF(OR(CR412="",CR413=""),"",CR413-CR412)</f>
        <v/>
      </c>
      <c r="CS414" s="13" t="str">
        <f aca="false">IF(OR(CS412="",CS413=""),"",CS413-CS412)</f>
        <v/>
      </c>
      <c r="CT414" s="13" t="str">
        <f aca="false">IF(OR(CT412="",CT413=""),"",CT413-CT412)</f>
        <v/>
      </c>
      <c r="CU414" s="13" t="str">
        <f aca="false">IF(OR(CU412="",CU413=""),"",CU413-CU412)</f>
        <v/>
      </c>
      <c r="CV414" s="13" t="str">
        <f aca="false">IF(OR(CV412="",CV413=""),"",CV413-CV412)</f>
        <v/>
      </c>
      <c r="CW414" s="13" t="str">
        <f aca="false">IF(OR(CW412="",CW413=""),"",CW413-CW412)</f>
        <v/>
      </c>
      <c r="CX414" s="13" t="str">
        <f aca="false">IF(OR(CX412="",CX413=""),"",CX413-CX412)</f>
        <v/>
      </c>
      <c r="CY414" s="13" t="str">
        <f aca="false">IF(OR(CY412="",CY413=""),"",CY413-CY412)</f>
        <v/>
      </c>
      <c r="CZ414" s="13" t="str">
        <f aca="false">IF(OR(CZ412="",CZ413=""),"",CZ413-CZ412)</f>
        <v/>
      </c>
      <c r="DA414" s="13" t="str">
        <f aca="false">IF(OR(DA412="",DA413=""),"",DA413-DA412)</f>
        <v/>
      </c>
      <c r="DB414" s="13" t="str">
        <f aca="false">IF(OR(DB412="",DB413=""),"",DB413-DB412)</f>
        <v/>
      </c>
      <c r="DC414" s="13" t="str">
        <f aca="false">IF(OR(DC412="",DC413=""),"",DC413-DC412)</f>
        <v/>
      </c>
      <c r="DD414" s="13" t="str">
        <f aca="false">IF(OR(DD412="",DD413=""),"",DD413-DD412)</f>
        <v/>
      </c>
      <c r="DE414" s="13" t="str">
        <f aca="false">IF(OR(DE412="",DE413=""),"",DE413-DE412)</f>
        <v/>
      </c>
    </row>
    <row r="415" customFormat="false" ht="15" hidden="false" customHeight="true" outlineLevel="0" collapsed="false">
      <c r="A415" s="22" t="s">
        <v>225</v>
      </c>
      <c r="B415" s="21" t="str">
        <f aca="false">IF(B414="","",IF(ABS(B414)&lt;1,"OK","CHECK"))</f>
        <v/>
      </c>
      <c r="C415" s="21" t="str">
        <f aca="false">IF(C414="","",IF(ABS(C414)&lt;1,"OK","CHECK"))</f>
        <v/>
      </c>
      <c r="D415" s="21" t="str">
        <f aca="false">IF(D414="","",IF(ABS(D414)&lt;1,"OK","CHECK"))</f>
        <v/>
      </c>
      <c r="E415" s="21" t="str">
        <f aca="false">IF(E414="","",IF(ABS(E414)&lt;1,"OK","CHECK"))</f>
        <v/>
      </c>
      <c r="F415" s="21" t="str">
        <f aca="false">IF(F414="","",IF(ABS(F414)&lt;1,"OK","CHECK"))</f>
        <v/>
      </c>
      <c r="G415" s="21" t="str">
        <f aca="false">IF(G414="","",IF(ABS(G414)&lt;1,"OK","CHECK"))</f>
        <v/>
      </c>
      <c r="H415" s="21" t="str">
        <f aca="false">IF(H414="","",IF(ABS(H414)&lt;1,"OK","CHECK"))</f>
        <v/>
      </c>
      <c r="I415" s="21" t="str">
        <f aca="false">IF(I414="","",IF(ABS(I414)&lt;1,"OK","CHECK"))</f>
        <v>OK</v>
      </c>
      <c r="J415" s="21" t="str">
        <f aca="false">IF(J414="","",IF(ABS(J414)&lt;1,"OK","CHECK"))</f>
        <v/>
      </c>
      <c r="K415" s="21" t="str">
        <f aca="false">IF(K414="","",IF(ABS(K414)&lt;1,"OK","CHECK"))</f>
        <v/>
      </c>
      <c r="L415" s="21" t="str">
        <f aca="false">IF(L414="","",IF(ABS(L414)&lt;1,"OK","CHECK"))</f>
        <v/>
      </c>
      <c r="M415" s="21" t="str">
        <f aca="false">IF(M414="","",IF(ABS(M414)&lt;1,"OK","CHECK"))</f>
        <v/>
      </c>
      <c r="N415" s="21" t="str">
        <f aca="false">IF(N414="","",IF(ABS(N414)&lt;1,"OK","CHECK"))</f>
        <v/>
      </c>
      <c r="O415" s="21" t="str">
        <f aca="false">IF(O414="","",IF(ABS(O414)&lt;1,"OK","CHECK"))</f>
        <v/>
      </c>
      <c r="P415" s="21" t="str">
        <f aca="false">IF(P414="","",IF(ABS(P414)&lt;1,"OK","CHECK"))</f>
        <v/>
      </c>
      <c r="Q415" s="21" t="str">
        <f aca="false">IF(Q414="","",IF(ABS(Q414)&lt;1,"OK","CHECK"))</f>
        <v/>
      </c>
      <c r="R415" s="21" t="str">
        <f aca="false">IF(R414="","",IF(ABS(R414)&lt;1,"OK","CHECK"))</f>
        <v/>
      </c>
      <c r="S415" s="21" t="str">
        <f aca="false">IF(S414="","",IF(ABS(S414)&lt;1,"OK","CHECK"))</f>
        <v/>
      </c>
      <c r="T415" s="21" t="str">
        <f aca="false">IF(T414="","",IF(ABS(T414)&lt;1,"OK","CHECK"))</f>
        <v/>
      </c>
      <c r="U415" s="21" t="str">
        <f aca="false">IF(U414="","",IF(ABS(U414)&lt;1,"OK","CHECK"))</f>
        <v/>
      </c>
      <c r="V415" s="21" t="str">
        <f aca="false">IF(V414="","",IF(ABS(V414)&lt;1,"OK","CHECK"))</f>
        <v/>
      </c>
      <c r="W415" s="21" t="str">
        <f aca="false">IF(W414="","",IF(ABS(W414)&lt;1,"OK","CHECK"))</f>
        <v/>
      </c>
      <c r="X415" s="21" t="str">
        <f aca="false">IF(X414="","",IF(ABS(X414)&lt;1,"OK","CHECK"))</f>
        <v/>
      </c>
      <c r="Y415" s="21" t="str">
        <f aca="false">IF(Y414="","",IF(ABS(Y414)&lt;1,"OK","CHECK"))</f>
        <v/>
      </c>
      <c r="Z415" s="21" t="str">
        <f aca="false">IF(Z414="","",IF(ABS(Z414)&lt;1,"OK","CHECK"))</f>
        <v/>
      </c>
      <c r="AA415" s="21" t="str">
        <f aca="false">IF(AA414="","",IF(ABS(AA414)&lt;1,"OK","CHECK"))</f>
        <v/>
      </c>
      <c r="AB415" s="21" t="str">
        <f aca="false">IF(AB414="","",IF(ABS(AB414)&lt;1,"OK","CHECK"))</f>
        <v/>
      </c>
      <c r="AC415" s="21" t="str">
        <f aca="false">IF(AC414="","",IF(ABS(AC414)&lt;1,"OK","CHECK"))</f>
        <v/>
      </c>
      <c r="AD415" s="21" t="str">
        <f aca="false">IF(AD414="","",IF(ABS(AD414)&lt;1,"OK","CHECK"))</f>
        <v/>
      </c>
      <c r="AE415" s="21" t="str">
        <f aca="false">IF(AE414="","",IF(ABS(AE414)&lt;1,"OK","CHECK"))</f>
        <v/>
      </c>
      <c r="AF415" s="21" t="str">
        <f aca="false">IF(AF414="","",IF(ABS(AF414)&lt;1,"OK","CHECK"))</f>
        <v/>
      </c>
      <c r="AG415" s="21" t="str">
        <f aca="false">IF(AG414="","",IF(ABS(AG414)&lt;1,"OK","CHECK"))</f>
        <v/>
      </c>
      <c r="AH415" s="21" t="str">
        <f aca="false">IF(AH414="","",IF(ABS(AH414)&lt;1,"OK","CHECK"))</f>
        <v/>
      </c>
      <c r="AI415" s="21" t="str">
        <f aca="false">IF(AI414="","",IF(ABS(AI414)&lt;1,"OK","CHECK"))</f>
        <v/>
      </c>
      <c r="AJ415" s="21" t="str">
        <f aca="false">IF(AJ414="","",IF(ABS(AJ414)&lt;1,"OK","CHECK"))</f>
        <v/>
      </c>
      <c r="AK415" s="21" t="str">
        <f aca="false">IF(AK414="","",IF(ABS(AK414)&lt;1,"OK","CHECK"))</f>
        <v/>
      </c>
      <c r="AL415" s="21" t="str">
        <f aca="false">IF(AL414="","",IF(ABS(AL414)&lt;1,"OK","CHECK"))</f>
        <v/>
      </c>
      <c r="AM415" s="21" t="str">
        <f aca="false">IF(AM414="","",IF(ABS(AM414)&lt;1,"OK","CHECK"))</f>
        <v/>
      </c>
      <c r="AN415" s="21" t="str">
        <f aca="false">IF(AN414="","",IF(ABS(AN414)&lt;1,"OK","CHECK"))</f>
        <v/>
      </c>
      <c r="AO415" s="21" t="str">
        <f aca="false">IF(AO414="","",IF(ABS(AO414)&lt;1,"OK","CHECK"))</f>
        <v/>
      </c>
      <c r="AP415" s="21" t="str">
        <f aca="false">IF(AP414="","",IF(ABS(AP414)&lt;1,"OK","CHECK"))</f>
        <v/>
      </c>
      <c r="AQ415" s="21" t="str">
        <f aca="false">IF(AQ414="","",IF(ABS(AQ414)&lt;1,"OK","CHECK"))</f>
        <v/>
      </c>
      <c r="AR415" s="21" t="str">
        <f aca="false">IF(AR414="","",IF(ABS(AR414)&lt;1,"OK","CHECK"))</f>
        <v/>
      </c>
      <c r="AS415" s="21" t="str">
        <f aca="false">IF(AS414="","",IF(ABS(AS414)&lt;1,"OK","CHECK"))</f>
        <v/>
      </c>
      <c r="AT415" s="21" t="str">
        <f aca="false">IF(AT414="","",IF(ABS(AT414)&lt;1,"OK","CHECK"))</f>
        <v/>
      </c>
      <c r="AU415" s="21" t="str">
        <f aca="false">IF(AU414="","",IF(ABS(AU414)&lt;1,"OK","CHECK"))</f>
        <v/>
      </c>
      <c r="AV415" s="21" t="str">
        <f aca="false">IF(AV414="","",IF(ABS(AV414)&lt;1,"OK","CHECK"))</f>
        <v/>
      </c>
      <c r="AW415" s="21" t="str">
        <f aca="false">IF(AW414="","",IF(ABS(AW414)&lt;1,"OK","CHECK"))</f>
        <v/>
      </c>
      <c r="AX415" s="21" t="str">
        <f aca="false">IF(AX414="","",IF(ABS(AX414)&lt;1,"OK","CHECK"))</f>
        <v/>
      </c>
      <c r="AY415" s="21" t="str">
        <f aca="false">IF(AY414="","",IF(ABS(AY414)&lt;1,"OK","CHECK"))</f>
        <v/>
      </c>
      <c r="AZ415" s="21" t="str">
        <f aca="false">IF(AZ414="","",IF(ABS(AZ414)&lt;1,"OK","CHECK"))</f>
        <v/>
      </c>
      <c r="BA415" s="21" t="str">
        <f aca="false">IF(BA414="","",IF(ABS(BA414)&lt;1,"OK","CHECK"))</f>
        <v/>
      </c>
      <c r="BB415" s="21" t="str">
        <f aca="false">IF(BB414="","",IF(ABS(BB414)&lt;1,"OK","CHECK"))</f>
        <v/>
      </c>
      <c r="BC415" s="21" t="str">
        <f aca="false">IF(BC414="","",IF(ABS(BC414)&lt;1,"OK","CHECK"))</f>
        <v/>
      </c>
      <c r="BD415" s="21" t="str">
        <f aca="false">IF(BD414="","",IF(ABS(BD414)&lt;1,"OK","CHECK"))</f>
        <v/>
      </c>
      <c r="BE415" s="21" t="str">
        <f aca="false">IF(BE414="","",IF(ABS(BE414)&lt;1,"OK","CHECK"))</f>
        <v/>
      </c>
      <c r="BF415" s="21" t="str">
        <f aca="false">IF(BF414="","",IF(ABS(BF414)&lt;1,"OK","CHECK"))</f>
        <v/>
      </c>
      <c r="BG415" s="21" t="str">
        <f aca="false">IF(BG414="","",IF(ABS(BG414)&lt;1,"OK","CHECK"))</f>
        <v/>
      </c>
      <c r="BH415" s="21" t="str">
        <f aca="false">IF(BH414="","",IF(ABS(BH414)&lt;1,"OK","CHECK"))</f>
        <v/>
      </c>
      <c r="BI415" s="21" t="str">
        <f aca="false">IF(BI414="","",IF(ABS(BI414)&lt;1,"OK","CHECK"))</f>
        <v/>
      </c>
      <c r="BJ415" s="21" t="str">
        <f aca="false">IF(BJ414="","",IF(ABS(BJ414)&lt;1,"OK","CHECK"))</f>
        <v/>
      </c>
      <c r="BK415" s="21" t="str">
        <f aca="false">IF(BK414="","",IF(ABS(BK414)&lt;1,"OK","CHECK"))</f>
        <v/>
      </c>
      <c r="BL415" s="21" t="str">
        <f aca="false">IF(BL414="","",IF(ABS(BL414)&lt;1,"OK","CHECK"))</f>
        <v/>
      </c>
      <c r="BM415" s="21" t="str">
        <f aca="false">IF(BM414="","",IF(ABS(BM414)&lt;1,"OK","CHECK"))</f>
        <v/>
      </c>
      <c r="BN415" s="21" t="str">
        <f aca="false">IF(BN414="","",IF(ABS(BN414)&lt;1,"OK","CHECK"))</f>
        <v/>
      </c>
      <c r="BO415" s="21" t="str">
        <f aca="false">IF(BO414="","",IF(ABS(BO414)&lt;1,"OK","CHECK"))</f>
        <v/>
      </c>
      <c r="BP415" s="21" t="str">
        <f aca="false">IF(BP414="","",IF(ABS(BP414)&lt;1,"OK","CHECK"))</f>
        <v/>
      </c>
      <c r="BQ415" s="21" t="str">
        <f aca="false">IF(BQ414="","",IF(ABS(BQ414)&lt;1,"OK","CHECK"))</f>
        <v/>
      </c>
      <c r="BR415" s="21" t="str">
        <f aca="false">IF(BR414="","",IF(ABS(BR414)&lt;1,"OK","CHECK"))</f>
        <v/>
      </c>
      <c r="BS415" s="21" t="str">
        <f aca="false">IF(BS414="","",IF(ABS(BS414)&lt;1,"OK","CHECK"))</f>
        <v/>
      </c>
      <c r="BT415" s="21" t="str">
        <f aca="false">IF(BT414="","",IF(ABS(BT414)&lt;1,"OK","CHECK"))</f>
        <v/>
      </c>
      <c r="BU415" s="21" t="str">
        <f aca="false">IF(BU414="","",IF(ABS(BU414)&lt;1,"OK","CHECK"))</f>
        <v/>
      </c>
      <c r="BV415" s="21" t="str">
        <f aca="false">IF(BV414="","",IF(ABS(BV414)&lt;1,"OK","CHECK"))</f>
        <v/>
      </c>
      <c r="BW415" s="21" t="str">
        <f aca="false">IF(BW414="","",IF(ABS(BW414)&lt;1,"OK","CHECK"))</f>
        <v/>
      </c>
      <c r="BX415" s="21" t="str">
        <f aca="false">IF(BX414="","",IF(ABS(BX414)&lt;1,"OK","CHECK"))</f>
        <v/>
      </c>
      <c r="BY415" s="21" t="str">
        <f aca="false">IF(BY414="","",IF(ABS(BY414)&lt;1,"OK","CHECK"))</f>
        <v/>
      </c>
      <c r="BZ415" s="21" t="str">
        <f aca="false">IF(BZ414="","",IF(ABS(BZ414)&lt;1,"OK","CHECK"))</f>
        <v/>
      </c>
      <c r="CA415" s="21" t="str">
        <f aca="false">IF(CA414="","",IF(ABS(CA414)&lt;1,"OK","CHECK"))</f>
        <v/>
      </c>
      <c r="CB415" s="21" t="str">
        <f aca="false">IF(CB414="","",IF(ABS(CB414)&lt;1,"OK","CHECK"))</f>
        <v/>
      </c>
      <c r="CC415" s="21" t="str">
        <f aca="false">IF(CC414="","",IF(ABS(CC414)&lt;1,"OK","CHECK"))</f>
        <v/>
      </c>
      <c r="CD415" s="21" t="str">
        <f aca="false">IF(CD414="","",IF(ABS(CD414)&lt;1,"OK","CHECK"))</f>
        <v/>
      </c>
      <c r="CE415" s="21" t="str">
        <f aca="false">IF(CE414="","",IF(ABS(CE414)&lt;1,"OK","CHECK"))</f>
        <v/>
      </c>
      <c r="CF415" s="21" t="str">
        <f aca="false">IF(CF414="","",IF(ABS(CF414)&lt;1,"OK","CHECK"))</f>
        <v/>
      </c>
      <c r="CG415" s="21" t="str">
        <f aca="false">IF(CG414="","",IF(ABS(CG414)&lt;1,"OK","CHECK"))</f>
        <v/>
      </c>
      <c r="CH415" s="21" t="str">
        <f aca="false">IF(CH414="","",IF(ABS(CH414)&lt;1,"OK","CHECK"))</f>
        <v/>
      </c>
      <c r="CI415" s="21" t="str">
        <f aca="false">IF(CI414="","",IF(ABS(CI414)&lt;1,"OK","CHECK"))</f>
        <v/>
      </c>
      <c r="CJ415" s="21" t="str">
        <f aca="false">IF(CJ414="","",IF(ABS(CJ414)&lt;1,"OK","CHECK"))</f>
        <v/>
      </c>
      <c r="CK415" s="21" t="str">
        <f aca="false">IF(CK414="","",IF(ABS(CK414)&lt;1,"OK","CHECK"))</f>
        <v/>
      </c>
      <c r="CL415" s="21" t="str">
        <f aca="false">IF(CL414="","",IF(ABS(CL414)&lt;1,"OK","CHECK"))</f>
        <v/>
      </c>
      <c r="CM415" s="21" t="str">
        <f aca="false">IF(CM414="","",IF(ABS(CM414)&lt;1,"OK","CHECK"))</f>
        <v/>
      </c>
      <c r="CN415" s="21" t="str">
        <f aca="false">IF(CN414="","",IF(ABS(CN414)&lt;1,"OK","CHECK"))</f>
        <v/>
      </c>
      <c r="CO415" s="21" t="str">
        <f aca="false">IF(CO414="","",IF(ABS(CO414)&lt;1,"OK","CHECK"))</f>
        <v/>
      </c>
      <c r="CP415" s="21" t="str">
        <f aca="false">IF(CP414="","",IF(ABS(CP414)&lt;1,"OK","CHECK"))</f>
        <v/>
      </c>
      <c r="CQ415" s="21" t="str">
        <f aca="false">IF(CQ414="","",IF(ABS(CQ414)&lt;1,"OK","CHECK"))</f>
        <v/>
      </c>
      <c r="CR415" s="21" t="str">
        <f aca="false">IF(CR414="","",IF(ABS(CR414)&lt;1,"OK","CHECK"))</f>
        <v/>
      </c>
      <c r="CS415" s="21" t="str">
        <f aca="false">IF(CS414="","",IF(ABS(CS414)&lt;1,"OK","CHECK"))</f>
        <v/>
      </c>
      <c r="CT415" s="21" t="str">
        <f aca="false">IF(CT414="","",IF(ABS(CT414)&lt;1,"OK","CHECK"))</f>
        <v/>
      </c>
      <c r="CU415" s="21" t="str">
        <f aca="false">IF(CU414="","",IF(ABS(CU414)&lt;1,"OK","CHECK"))</f>
        <v/>
      </c>
      <c r="CV415" s="21" t="str">
        <f aca="false">IF(CV414="","",IF(ABS(CV414)&lt;1,"OK","CHECK"))</f>
        <v/>
      </c>
      <c r="CW415" s="21" t="str">
        <f aca="false">IF(CW414="","",IF(ABS(CW414)&lt;1,"OK","CHECK"))</f>
        <v/>
      </c>
      <c r="CX415" s="21" t="str">
        <f aca="false">IF(CX414="","",IF(ABS(CX414)&lt;1,"OK","CHECK"))</f>
        <v/>
      </c>
      <c r="CY415" s="21" t="str">
        <f aca="false">IF(CY414="","",IF(ABS(CY414)&lt;1,"OK","CHECK"))</f>
        <v/>
      </c>
      <c r="CZ415" s="21" t="str">
        <f aca="false">IF(CZ414="","",IF(ABS(CZ414)&lt;1,"OK","CHECK"))</f>
        <v/>
      </c>
      <c r="DA415" s="21" t="str">
        <f aca="false">IF(DA414="","",IF(ABS(DA414)&lt;1,"OK","CHECK"))</f>
        <v/>
      </c>
      <c r="DB415" s="21" t="str">
        <f aca="false">IF(DB414="","",IF(ABS(DB414)&lt;1,"OK","CHECK"))</f>
        <v/>
      </c>
      <c r="DC415" s="21" t="str">
        <f aca="false">IF(DC414="","",IF(ABS(DC414)&lt;1,"OK","CHECK"))</f>
        <v/>
      </c>
      <c r="DD415" s="21" t="str">
        <f aca="false">IF(DD414="","",IF(ABS(DD414)&lt;1,"OK","CHECK"))</f>
        <v/>
      </c>
      <c r="DE415" s="21" t="str">
        <f aca="false">IF(DE414="","",IF(ABS(DE414)&lt;1,"OK","CHECK"))</f>
        <v/>
      </c>
    </row>
    <row r="416" customFormat="false" ht="15" hidden="false" customHeight="true" outlineLevel="0" collapsed="false">
      <c r="A416" s="22" t="s">
        <v>226</v>
      </c>
      <c r="B416" s="13"/>
      <c r="C416" s="13"/>
      <c r="D416" s="13"/>
      <c r="E416" s="13"/>
      <c r="F416" s="13"/>
      <c r="G416" s="13"/>
      <c r="H416" s="73" t="n">
        <v>133317</v>
      </c>
      <c r="I416" s="73" t="n">
        <v>-22279</v>
      </c>
      <c r="J416" s="13" t="n">
        <v>512855</v>
      </c>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row>
    <row r="417" customFormat="false" ht="15" hidden="false" customHeight="true" outlineLevel="0" collapsed="false">
      <c r="A417" s="22" t="s">
        <v>227</v>
      </c>
      <c r="B417" s="13" t="str">
        <f aca="false">IF(OR(B412="",B416=""),"",B416-B412)</f>
        <v/>
      </c>
      <c r="C417" s="13" t="str">
        <f aca="false">IF(OR(C412="",C416=""),"",C416-C412)</f>
        <v/>
      </c>
      <c r="D417" s="13" t="str">
        <f aca="false">IF(OR(D412="",D416=""),"",D416-D412)</f>
        <v/>
      </c>
      <c r="E417" s="13" t="str">
        <f aca="false">IF(OR(E412="",E416=""),"",E416-E412)</f>
        <v/>
      </c>
      <c r="F417" s="13" t="str">
        <f aca="false">IF(OR(F412="",F416=""),"",F416-F412)</f>
        <v/>
      </c>
      <c r="G417" s="13" t="str">
        <f aca="false">IF(OR(G412="",G416=""),"",G416-G412)</f>
        <v/>
      </c>
      <c r="H417" s="13" t="n">
        <f aca="false">IF(OR(H412="",H416=""),"",H416-H412)</f>
        <v>11094</v>
      </c>
      <c r="I417" s="13" t="n">
        <f aca="false">IF(OR(I412="",I416=""),"",I416-I412)</f>
        <v>-680469</v>
      </c>
      <c r="J417" s="13" t="str">
        <f aca="false">IF(OR(J412="",J416=""),"",J416-J412)</f>
        <v/>
      </c>
      <c r="K417" s="13" t="str">
        <f aca="false">IF(OR(K412="",K416=""),"",K416-K412)</f>
        <v/>
      </c>
      <c r="L417" s="13" t="str">
        <f aca="false">IF(OR(L412="",L416=""),"",L416-L412)</f>
        <v/>
      </c>
      <c r="M417" s="13" t="str">
        <f aca="false">IF(OR(M412="",M416=""),"",M416-M412)</f>
        <v/>
      </c>
      <c r="N417" s="13" t="str">
        <f aca="false">IF(OR(N412="",N416=""),"",N416-N412)</f>
        <v/>
      </c>
      <c r="O417" s="13" t="str">
        <f aca="false">IF(OR(O412="",O416=""),"",O416-O412)</f>
        <v/>
      </c>
      <c r="P417" s="13" t="str">
        <f aca="false">IF(OR(P412="",P416=""),"",P416-P412)</f>
        <v/>
      </c>
      <c r="Q417" s="13" t="str">
        <f aca="false">IF(OR(Q412="",Q416=""),"",Q416-Q412)</f>
        <v/>
      </c>
      <c r="R417" s="13" t="str">
        <f aca="false">IF(OR(R412="",R416=""),"",R416-R412)</f>
        <v/>
      </c>
      <c r="S417" s="13" t="str">
        <f aca="false">IF(OR(S412="",S416=""),"",S416-S412)</f>
        <v/>
      </c>
      <c r="T417" s="13" t="str">
        <f aca="false">IF(OR(T412="",T416=""),"",T416-T412)</f>
        <v/>
      </c>
      <c r="U417" s="13" t="str">
        <f aca="false">IF(OR(U412="",U416=""),"",U416-U412)</f>
        <v/>
      </c>
      <c r="V417" s="13" t="str">
        <f aca="false">IF(OR(V412="",V416=""),"",V416-V412)</f>
        <v/>
      </c>
      <c r="W417" s="13" t="str">
        <f aca="false">IF(OR(W412="",W416=""),"",W416-W412)</f>
        <v/>
      </c>
      <c r="X417" s="13" t="str">
        <f aca="false">IF(OR(X412="",X416=""),"",X416-X412)</f>
        <v/>
      </c>
      <c r="Y417" s="13" t="str">
        <f aca="false">IF(OR(Y412="",Y416=""),"",Y416-Y412)</f>
        <v/>
      </c>
      <c r="Z417" s="13" t="str">
        <f aca="false">IF(OR(Z412="",Z416=""),"",Z416-Z412)</f>
        <v/>
      </c>
      <c r="AA417" s="13" t="str">
        <f aca="false">IF(OR(AA412="",AA416=""),"",AA416-AA412)</f>
        <v/>
      </c>
      <c r="AB417" s="13" t="str">
        <f aca="false">IF(OR(AB412="",AB416=""),"",AB416-AB412)</f>
        <v/>
      </c>
      <c r="AC417" s="13" t="str">
        <f aca="false">IF(OR(AC412="",AC416=""),"",AC416-AC412)</f>
        <v/>
      </c>
      <c r="AD417" s="13" t="str">
        <f aca="false">IF(OR(AD412="",AD416=""),"",AD416-AD412)</f>
        <v/>
      </c>
      <c r="AE417" s="13" t="str">
        <f aca="false">IF(OR(AE412="",AE416=""),"",AE416-AE412)</f>
        <v/>
      </c>
      <c r="AF417" s="13" t="str">
        <f aca="false">IF(OR(AF412="",AF416=""),"",AF416-AF412)</f>
        <v/>
      </c>
      <c r="AG417" s="13" t="str">
        <f aca="false">IF(OR(AG412="",AG416=""),"",AG416-AG412)</f>
        <v/>
      </c>
      <c r="AH417" s="13" t="str">
        <f aca="false">IF(OR(AH412="",AH416=""),"",AH416-AH412)</f>
        <v/>
      </c>
      <c r="AI417" s="13" t="str">
        <f aca="false">IF(OR(AI412="",AI416=""),"",AI416-AI412)</f>
        <v/>
      </c>
      <c r="AJ417" s="13" t="str">
        <f aca="false">IF(OR(AJ412="",AJ416=""),"",AJ416-AJ412)</f>
        <v/>
      </c>
      <c r="AK417" s="13" t="str">
        <f aca="false">IF(OR(AK412="",AK416=""),"",AK416-AK412)</f>
        <v/>
      </c>
      <c r="AL417" s="13" t="str">
        <f aca="false">IF(OR(AL412="",AL416=""),"",AL416-AL412)</f>
        <v/>
      </c>
      <c r="AM417" s="13" t="str">
        <f aca="false">IF(OR(AM412="",AM416=""),"",AM416-AM412)</f>
        <v/>
      </c>
      <c r="AN417" s="13" t="str">
        <f aca="false">IF(OR(AN412="",AN416=""),"",AN416-AN412)</f>
        <v/>
      </c>
      <c r="AO417" s="13" t="str">
        <f aca="false">IF(OR(AO412="",AO416=""),"",AO416-AO412)</f>
        <v/>
      </c>
      <c r="AP417" s="13" t="str">
        <f aca="false">IF(OR(AP412="",AP416=""),"",AP416-AP412)</f>
        <v/>
      </c>
      <c r="AQ417" s="13" t="str">
        <f aca="false">IF(OR(AQ412="",AQ416=""),"",AQ416-AQ412)</f>
        <v/>
      </c>
      <c r="AR417" s="13" t="str">
        <f aca="false">IF(OR(AR412="",AR416=""),"",AR416-AR412)</f>
        <v/>
      </c>
      <c r="AS417" s="13" t="str">
        <f aca="false">IF(OR(AS412="",AS416=""),"",AS416-AS412)</f>
        <v/>
      </c>
      <c r="AT417" s="13" t="str">
        <f aca="false">IF(OR(AT412="",AT416=""),"",AT416-AT412)</f>
        <v/>
      </c>
      <c r="AU417" s="13" t="str">
        <f aca="false">IF(OR(AU412="",AU416=""),"",AU416-AU412)</f>
        <v/>
      </c>
      <c r="AV417" s="13" t="str">
        <f aca="false">IF(OR(AV412="",AV416=""),"",AV416-AV412)</f>
        <v/>
      </c>
      <c r="AW417" s="13" t="str">
        <f aca="false">IF(OR(AW412="",AW416=""),"",AW416-AW412)</f>
        <v/>
      </c>
      <c r="AX417" s="13" t="str">
        <f aca="false">IF(OR(AX412="",AX416=""),"",AX416-AX412)</f>
        <v/>
      </c>
      <c r="AY417" s="13" t="str">
        <f aca="false">IF(OR(AY412="",AY416=""),"",AY416-AY412)</f>
        <v/>
      </c>
      <c r="AZ417" s="13" t="str">
        <f aca="false">IF(OR(AZ412="",AZ416=""),"",AZ416-AZ412)</f>
        <v/>
      </c>
      <c r="BA417" s="13" t="str">
        <f aca="false">IF(OR(BA412="",BA416=""),"",BA416-BA412)</f>
        <v/>
      </c>
      <c r="BB417" s="13" t="str">
        <f aca="false">IF(OR(BB412="",BB416=""),"",BB416-BB412)</f>
        <v/>
      </c>
      <c r="BC417" s="13" t="str">
        <f aca="false">IF(OR(BC412="",BC416=""),"",BC416-BC412)</f>
        <v/>
      </c>
      <c r="BD417" s="13" t="str">
        <f aca="false">IF(OR(BD412="",BD416=""),"",BD416-BD412)</f>
        <v/>
      </c>
      <c r="BE417" s="13" t="str">
        <f aca="false">IF(OR(BE412="",BE416=""),"",BE416-BE412)</f>
        <v/>
      </c>
      <c r="BF417" s="13" t="str">
        <f aca="false">IF(OR(BF412="",BF416=""),"",BF416-BF412)</f>
        <v/>
      </c>
      <c r="BG417" s="13" t="str">
        <f aca="false">IF(OR(BG412="",BG416=""),"",BG416-BG412)</f>
        <v/>
      </c>
      <c r="BH417" s="13" t="str">
        <f aca="false">IF(OR(BH412="",BH416=""),"",BH416-BH412)</f>
        <v/>
      </c>
      <c r="BI417" s="13" t="str">
        <f aca="false">IF(OR(BI412="",BI416=""),"",BI416-BI412)</f>
        <v/>
      </c>
      <c r="BJ417" s="13" t="str">
        <f aca="false">IF(OR(BJ412="",BJ416=""),"",BJ416-BJ412)</f>
        <v/>
      </c>
      <c r="BK417" s="13" t="str">
        <f aca="false">IF(OR(BK412="",BK416=""),"",BK416-BK412)</f>
        <v/>
      </c>
      <c r="BL417" s="13" t="str">
        <f aca="false">IF(OR(BL412="",BL416=""),"",BL416-BL412)</f>
        <v/>
      </c>
      <c r="BM417" s="13" t="str">
        <f aca="false">IF(OR(BM412="",BM416=""),"",BM416-BM412)</f>
        <v/>
      </c>
      <c r="BN417" s="13" t="str">
        <f aca="false">IF(OR(BN412="",BN416=""),"",BN416-BN412)</f>
        <v/>
      </c>
      <c r="BO417" s="13" t="str">
        <f aca="false">IF(OR(BO412="",BO416=""),"",BO416-BO412)</f>
        <v/>
      </c>
      <c r="BP417" s="13" t="str">
        <f aca="false">IF(OR(BP412="",BP416=""),"",BP416-BP412)</f>
        <v/>
      </c>
      <c r="BQ417" s="13" t="str">
        <f aca="false">IF(OR(BQ412="",BQ416=""),"",BQ416-BQ412)</f>
        <v/>
      </c>
      <c r="BR417" s="13" t="str">
        <f aca="false">IF(OR(BR412="",BR416=""),"",BR416-BR412)</f>
        <v/>
      </c>
      <c r="BS417" s="13" t="str">
        <f aca="false">IF(OR(BS412="",BS416=""),"",BS416-BS412)</f>
        <v/>
      </c>
      <c r="BT417" s="13" t="str">
        <f aca="false">IF(OR(BT412="",BT416=""),"",BT416-BT412)</f>
        <v/>
      </c>
      <c r="BU417" s="13" t="str">
        <f aca="false">IF(OR(BU412="",BU416=""),"",BU416-BU412)</f>
        <v/>
      </c>
      <c r="BV417" s="13" t="str">
        <f aca="false">IF(OR(BV412="",BV416=""),"",BV416-BV412)</f>
        <v/>
      </c>
      <c r="BW417" s="13" t="str">
        <f aca="false">IF(OR(BW412="",BW416=""),"",BW416-BW412)</f>
        <v/>
      </c>
      <c r="BX417" s="13" t="str">
        <f aca="false">IF(OR(BX412="",BX416=""),"",BX416-BX412)</f>
        <v/>
      </c>
      <c r="BY417" s="13" t="str">
        <f aca="false">IF(OR(BY412="",BY416=""),"",BY416-BY412)</f>
        <v/>
      </c>
      <c r="BZ417" s="13" t="str">
        <f aca="false">IF(OR(BZ412="",BZ416=""),"",BZ416-BZ412)</f>
        <v/>
      </c>
      <c r="CA417" s="13" t="str">
        <f aca="false">IF(OR(CA412="",CA416=""),"",CA416-CA412)</f>
        <v/>
      </c>
      <c r="CB417" s="13" t="str">
        <f aca="false">IF(OR(CB412="",CB416=""),"",CB416-CB412)</f>
        <v/>
      </c>
      <c r="CC417" s="13" t="str">
        <f aca="false">IF(OR(CC412="",CC416=""),"",CC416-CC412)</f>
        <v/>
      </c>
      <c r="CD417" s="13" t="str">
        <f aca="false">IF(OR(CD412="",CD416=""),"",CD416-CD412)</f>
        <v/>
      </c>
      <c r="CE417" s="13" t="str">
        <f aca="false">IF(OR(CE412="",CE416=""),"",CE416-CE412)</f>
        <v/>
      </c>
      <c r="CF417" s="13" t="str">
        <f aca="false">IF(OR(CF412="",CF416=""),"",CF416-CF412)</f>
        <v/>
      </c>
      <c r="CG417" s="13" t="str">
        <f aca="false">IF(OR(CG412="",CG416=""),"",CG416-CG412)</f>
        <v/>
      </c>
      <c r="CH417" s="13" t="str">
        <f aca="false">IF(OR(CH412="",CH416=""),"",CH416-CH412)</f>
        <v/>
      </c>
      <c r="CI417" s="13" t="str">
        <f aca="false">IF(OR(CI412="",CI416=""),"",CI416-CI412)</f>
        <v/>
      </c>
      <c r="CJ417" s="13" t="str">
        <f aca="false">IF(OR(CJ412="",CJ416=""),"",CJ416-CJ412)</f>
        <v/>
      </c>
      <c r="CK417" s="13" t="str">
        <f aca="false">IF(OR(CK412="",CK416=""),"",CK416-CK412)</f>
        <v/>
      </c>
      <c r="CL417" s="13" t="str">
        <f aca="false">IF(OR(CL412="",CL416=""),"",CL416-CL412)</f>
        <v/>
      </c>
      <c r="CM417" s="13" t="str">
        <f aca="false">IF(OR(CM412="",CM416=""),"",CM416-CM412)</f>
        <v/>
      </c>
      <c r="CN417" s="13" t="str">
        <f aca="false">IF(OR(CN412="",CN416=""),"",CN416-CN412)</f>
        <v/>
      </c>
      <c r="CO417" s="13" t="str">
        <f aca="false">IF(OR(CO412="",CO416=""),"",CO416-CO412)</f>
        <v/>
      </c>
      <c r="CP417" s="13" t="str">
        <f aca="false">IF(OR(CP412="",CP416=""),"",CP416-CP412)</f>
        <v/>
      </c>
      <c r="CQ417" s="13" t="str">
        <f aca="false">IF(OR(CQ412="",CQ416=""),"",CQ416-CQ412)</f>
        <v/>
      </c>
      <c r="CR417" s="13" t="str">
        <f aca="false">IF(OR(CR412="",CR416=""),"",CR416-CR412)</f>
        <v/>
      </c>
      <c r="CS417" s="13" t="str">
        <f aca="false">IF(OR(CS412="",CS416=""),"",CS416-CS412)</f>
        <v/>
      </c>
      <c r="CT417" s="13" t="str">
        <f aca="false">IF(OR(CT412="",CT416=""),"",CT416-CT412)</f>
        <v/>
      </c>
      <c r="CU417" s="13" t="str">
        <f aca="false">IF(OR(CU412="",CU416=""),"",CU416-CU412)</f>
        <v/>
      </c>
      <c r="CV417" s="13" t="str">
        <f aca="false">IF(OR(CV412="",CV416=""),"",CV416-CV412)</f>
        <v/>
      </c>
      <c r="CW417" s="13" t="str">
        <f aca="false">IF(OR(CW412="",CW416=""),"",CW416-CW412)</f>
        <v/>
      </c>
      <c r="CX417" s="13" t="str">
        <f aca="false">IF(OR(CX412="",CX416=""),"",CX416-CX412)</f>
        <v/>
      </c>
      <c r="CY417" s="13" t="str">
        <f aca="false">IF(OR(CY412="",CY416=""),"",CY416-CY412)</f>
        <v/>
      </c>
      <c r="CZ417" s="13" t="str">
        <f aca="false">IF(OR(CZ412="",CZ416=""),"",CZ416-CZ412)</f>
        <v/>
      </c>
      <c r="DA417" s="13" t="str">
        <f aca="false">IF(OR(DA412="",DA416=""),"",DA416-DA412)</f>
        <v/>
      </c>
      <c r="DB417" s="13" t="str">
        <f aca="false">IF(OR(DB412="",DB416=""),"",DB416-DB412)</f>
        <v/>
      </c>
      <c r="DC417" s="13" t="str">
        <f aca="false">IF(OR(DC412="",DC416=""),"",DC416-DC412)</f>
        <v/>
      </c>
      <c r="DD417" s="13" t="str">
        <f aca="false">IF(OR(DD412="",DD416=""),"",DD416-DD412)</f>
        <v/>
      </c>
      <c r="DE417" s="13" t="str">
        <f aca="false">IF(OR(DE412="",DE416=""),"",DE416-DE412)</f>
        <v/>
      </c>
    </row>
    <row r="419" customFormat="false" ht="15" hidden="false" customHeight="true" outlineLevel="0" collapsed="false">
      <c r="A419" s="23" t="s">
        <v>229</v>
      </c>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row>
    <row r="420" customFormat="false" ht="15" hidden="false" customHeight="true" outlineLevel="0" collapsed="false">
      <c r="A420" s="22" t="s">
        <v>222</v>
      </c>
      <c r="B420" s="13" t="n">
        <f aca="false">IF(B401="","",B401)</f>
        <v>1058211</v>
      </c>
      <c r="C420" s="13" t="n">
        <f aca="false">IF(C401="","",C401)</f>
        <v>226730</v>
      </c>
      <c r="D420" s="13" t="n">
        <f aca="false">IF(D401="","",D401)</f>
        <v>804668</v>
      </c>
      <c r="E420" s="13" t="n">
        <f aca="false">IF(E401="","",E401)</f>
        <v>762695</v>
      </c>
      <c r="F420" s="13" t="n">
        <f aca="false">IF(F401="","",F401)</f>
        <v>845218</v>
      </c>
      <c r="G420" s="13" t="n">
        <f aca="false">IF(G401="","",G401)</f>
        <v>971507</v>
      </c>
      <c r="H420" s="13" t="n">
        <f aca="false">IF(H401="","",H401)</f>
        <v>405563</v>
      </c>
      <c r="I420" s="13" t="n">
        <f aca="false">IF(I401="","",I401)</f>
        <v>1945296</v>
      </c>
      <c r="J420" s="13" t="str">
        <f aca="false">IF(J401="","",J401)</f>
        <v/>
      </c>
      <c r="K420" s="13" t="str">
        <f aca="false">IF(K401="","",K401)</f>
        <v/>
      </c>
      <c r="L420" s="13" t="str">
        <f aca="false">IF(L401="","",L401)</f>
        <v/>
      </c>
      <c r="M420" s="13" t="str">
        <f aca="false">IF(M401="","",M401)</f>
        <v/>
      </c>
      <c r="N420" s="13" t="str">
        <f aca="false">IF(N401="","",N401)</f>
        <v/>
      </c>
      <c r="O420" s="13" t="str">
        <f aca="false">IF(O401="","",O401)</f>
        <v/>
      </c>
      <c r="P420" s="13" t="str">
        <f aca="false">IF(P401="","",P401)</f>
        <v/>
      </c>
      <c r="Q420" s="13" t="str">
        <f aca="false">IF(Q401="","",Q401)</f>
        <v/>
      </c>
      <c r="R420" s="13" t="str">
        <f aca="false">IF(R401="","",R401)</f>
        <v/>
      </c>
      <c r="S420" s="13" t="str">
        <f aca="false">IF(S401="","",S401)</f>
        <v/>
      </c>
      <c r="T420" s="13" t="str">
        <f aca="false">IF(T401="","",T401)</f>
        <v/>
      </c>
      <c r="U420" s="13" t="str">
        <f aca="false">IF(U401="","",U401)</f>
        <v/>
      </c>
      <c r="V420" s="13" t="str">
        <f aca="false">IF(V401="","",V401)</f>
        <v/>
      </c>
      <c r="W420" s="13" t="str">
        <f aca="false">IF(W401="","",W401)</f>
        <v/>
      </c>
      <c r="X420" s="13" t="str">
        <f aca="false">IF(X401="","",X401)</f>
        <v/>
      </c>
      <c r="Y420" s="13" t="str">
        <f aca="false">IF(Y401="","",Y401)</f>
        <v/>
      </c>
      <c r="Z420" s="13" t="str">
        <f aca="false">IF(Z401="","",Z401)</f>
        <v/>
      </c>
      <c r="AA420" s="13" t="str">
        <f aca="false">IF(AA401="","",AA401)</f>
        <v/>
      </c>
      <c r="AB420" s="13" t="str">
        <f aca="false">IF(AB401="","",AB401)</f>
        <v/>
      </c>
      <c r="AC420" s="13" t="str">
        <f aca="false">IF(AC401="","",AC401)</f>
        <v/>
      </c>
      <c r="AD420" s="13" t="str">
        <f aca="false">IF(AD401="","",AD401)</f>
        <v/>
      </c>
      <c r="AE420" s="13" t="str">
        <f aca="false">IF(AE401="","",AE401)</f>
        <v/>
      </c>
      <c r="AF420" s="13" t="str">
        <f aca="false">IF(AF401="","",AF401)</f>
        <v/>
      </c>
      <c r="AG420" s="13" t="str">
        <f aca="false">IF(AG401="","",AG401)</f>
        <v/>
      </c>
      <c r="AH420" s="13" t="str">
        <f aca="false">IF(AH401="","",AH401)</f>
        <v/>
      </c>
      <c r="AI420" s="13" t="str">
        <f aca="false">IF(AI401="","",AI401)</f>
        <v/>
      </c>
      <c r="AJ420" s="13" t="str">
        <f aca="false">IF(AJ401="","",AJ401)</f>
        <v/>
      </c>
      <c r="AK420" s="13" t="str">
        <f aca="false">IF(AK401="","",AK401)</f>
        <v/>
      </c>
      <c r="AL420" s="13" t="str">
        <f aca="false">IF(AL401="","",AL401)</f>
        <v/>
      </c>
      <c r="AM420" s="13" t="str">
        <f aca="false">IF(AM401="","",AM401)</f>
        <v/>
      </c>
      <c r="AN420" s="13" t="str">
        <f aca="false">IF(AN401="","",AN401)</f>
        <v/>
      </c>
      <c r="AO420" s="13" t="str">
        <f aca="false">IF(AO401="","",AO401)</f>
        <v/>
      </c>
      <c r="AP420" s="13" t="str">
        <f aca="false">IF(AP401="","",AP401)</f>
        <v/>
      </c>
      <c r="AQ420" s="13" t="str">
        <f aca="false">IF(AQ401="","",AQ401)</f>
        <v/>
      </c>
      <c r="AR420" s="13" t="str">
        <f aca="false">IF(AR401="","",AR401)</f>
        <v/>
      </c>
      <c r="AS420" s="13" t="str">
        <f aca="false">IF(AS401="","",AS401)</f>
        <v/>
      </c>
      <c r="AT420" s="13" t="str">
        <f aca="false">IF(AT401="","",AT401)</f>
        <v/>
      </c>
      <c r="AU420" s="13" t="str">
        <f aca="false">IF(AU401="","",AU401)</f>
        <v/>
      </c>
      <c r="AV420" s="13" t="str">
        <f aca="false">IF(AV401="","",AV401)</f>
        <v/>
      </c>
      <c r="AW420" s="13" t="str">
        <f aca="false">IF(AW401="","",AW401)</f>
        <v/>
      </c>
      <c r="AX420" s="13" t="str">
        <f aca="false">IF(AX401="","",AX401)</f>
        <v/>
      </c>
      <c r="AY420" s="13" t="str">
        <f aca="false">IF(AY401="","",AY401)</f>
        <v/>
      </c>
      <c r="AZ420" s="13" t="str">
        <f aca="false">IF(AZ401="","",AZ401)</f>
        <v/>
      </c>
      <c r="BA420" s="13" t="str">
        <f aca="false">IF(BA401="","",BA401)</f>
        <v/>
      </c>
      <c r="BB420" s="13" t="str">
        <f aca="false">IF(BB401="","",BB401)</f>
        <v/>
      </c>
      <c r="BC420" s="13" t="str">
        <f aca="false">IF(BC401="","",BC401)</f>
        <v/>
      </c>
      <c r="BD420" s="13" t="str">
        <f aca="false">IF(BD401="","",BD401)</f>
        <v/>
      </c>
      <c r="BE420" s="13" t="str">
        <f aca="false">IF(BE401="","",BE401)</f>
        <v/>
      </c>
      <c r="BF420" s="13" t="str">
        <f aca="false">IF(BF401="","",BF401)</f>
        <v/>
      </c>
      <c r="BG420" s="13" t="str">
        <f aca="false">IF(BG401="","",BG401)</f>
        <v/>
      </c>
      <c r="BH420" s="13" t="str">
        <f aca="false">IF(BH401="","",BH401)</f>
        <v/>
      </c>
      <c r="BI420" s="13" t="str">
        <f aca="false">IF(BI401="","",BI401)</f>
        <v/>
      </c>
      <c r="BJ420" s="13" t="str">
        <f aca="false">IF(BJ401="","",BJ401)</f>
        <v/>
      </c>
      <c r="BK420" s="13" t="str">
        <f aca="false">IF(BK401="","",BK401)</f>
        <v/>
      </c>
      <c r="BL420" s="13" t="str">
        <f aca="false">IF(BL401="","",BL401)</f>
        <v/>
      </c>
      <c r="BM420" s="13" t="str">
        <f aca="false">IF(BM401="","",BM401)</f>
        <v/>
      </c>
      <c r="BN420" s="13" t="str">
        <f aca="false">IF(BN401="","",BN401)</f>
        <v/>
      </c>
      <c r="BO420" s="13" t="str">
        <f aca="false">IF(BO401="","",BO401)</f>
        <v/>
      </c>
      <c r="BP420" s="13" t="str">
        <f aca="false">IF(BP401="","",BP401)</f>
        <v/>
      </c>
      <c r="BQ420" s="13" t="str">
        <f aca="false">IF(BQ401="","",BQ401)</f>
        <v/>
      </c>
      <c r="BR420" s="13" t="str">
        <f aca="false">IF(BR401="","",BR401)</f>
        <v/>
      </c>
      <c r="BS420" s="13" t="str">
        <f aca="false">IF(BS401="","",BS401)</f>
        <v/>
      </c>
      <c r="BT420" s="13" t="str">
        <f aca="false">IF(BT401="","",BT401)</f>
        <v/>
      </c>
      <c r="BU420" s="13" t="str">
        <f aca="false">IF(BU401="","",BU401)</f>
        <v/>
      </c>
      <c r="BV420" s="13" t="str">
        <f aca="false">IF(BV401="","",BV401)</f>
        <v/>
      </c>
      <c r="BW420" s="13" t="str">
        <f aca="false">IF(BW401="","",BW401)</f>
        <v/>
      </c>
      <c r="BX420" s="13" t="str">
        <f aca="false">IF(BX401="","",BX401)</f>
        <v/>
      </c>
      <c r="BY420" s="13" t="str">
        <f aca="false">IF(BY401="","",BY401)</f>
        <v/>
      </c>
      <c r="BZ420" s="13" t="str">
        <f aca="false">IF(BZ401="","",BZ401)</f>
        <v/>
      </c>
      <c r="CA420" s="13" t="str">
        <f aca="false">IF(CA401="","",CA401)</f>
        <v/>
      </c>
      <c r="CB420" s="13" t="str">
        <f aca="false">IF(CB401="","",CB401)</f>
        <v/>
      </c>
      <c r="CC420" s="13" t="str">
        <f aca="false">IF(CC401="","",CC401)</f>
        <v/>
      </c>
      <c r="CD420" s="13" t="str">
        <f aca="false">IF(CD401="","",CD401)</f>
        <v/>
      </c>
      <c r="CE420" s="13" t="str">
        <f aca="false">IF(CE401="","",CE401)</f>
        <v/>
      </c>
      <c r="CF420" s="13" t="str">
        <f aca="false">IF(CF401="","",CF401)</f>
        <v/>
      </c>
      <c r="CG420" s="13" t="str">
        <f aca="false">IF(CG401="","",CG401)</f>
        <v/>
      </c>
      <c r="CH420" s="13" t="str">
        <f aca="false">IF(CH401="","",CH401)</f>
        <v/>
      </c>
      <c r="CI420" s="13" t="str">
        <f aca="false">IF(CI401="","",CI401)</f>
        <v/>
      </c>
      <c r="CJ420" s="13" t="str">
        <f aca="false">IF(CJ401="","",CJ401)</f>
        <v/>
      </c>
      <c r="CK420" s="13" t="str">
        <f aca="false">IF(CK401="","",CK401)</f>
        <v/>
      </c>
      <c r="CL420" s="13" t="str">
        <f aca="false">IF(CL401="","",CL401)</f>
        <v/>
      </c>
      <c r="CM420" s="13" t="str">
        <f aca="false">IF(CM401="","",CM401)</f>
        <v/>
      </c>
      <c r="CN420" s="13" t="str">
        <f aca="false">IF(CN401="","",CN401)</f>
        <v/>
      </c>
      <c r="CO420" s="13" t="str">
        <f aca="false">IF(CO401="","",CO401)</f>
        <v/>
      </c>
      <c r="CP420" s="13" t="str">
        <f aca="false">IF(CP401="","",CP401)</f>
        <v/>
      </c>
      <c r="CQ420" s="13" t="str">
        <f aca="false">IF(CQ401="","",CQ401)</f>
        <v/>
      </c>
      <c r="CR420" s="13" t="str">
        <f aca="false">IF(CR401="","",CR401)</f>
        <v/>
      </c>
      <c r="CS420" s="13" t="str">
        <f aca="false">IF(CS401="","",CS401)</f>
        <v/>
      </c>
      <c r="CT420" s="13" t="str">
        <f aca="false">IF(CT401="","",CT401)</f>
        <v/>
      </c>
      <c r="CU420" s="13" t="str">
        <f aca="false">IF(CU401="","",CU401)</f>
        <v/>
      </c>
      <c r="CV420" s="13" t="str">
        <f aca="false">IF(CV401="","",CV401)</f>
        <v/>
      </c>
      <c r="CW420" s="13" t="str">
        <f aca="false">IF(CW401="","",CW401)</f>
        <v/>
      </c>
      <c r="CX420" s="13" t="str">
        <f aca="false">IF(CX401="","",CX401)</f>
        <v/>
      </c>
      <c r="CY420" s="13" t="str">
        <f aca="false">IF(CY401="","",CY401)</f>
        <v/>
      </c>
      <c r="CZ420" s="13" t="str">
        <f aca="false">IF(CZ401="","",CZ401)</f>
        <v/>
      </c>
      <c r="DA420" s="13" t="str">
        <f aca="false">IF(DA401="","",DA401)</f>
        <v/>
      </c>
      <c r="DB420" s="13" t="str">
        <f aca="false">IF(DB401="","",DB401)</f>
        <v/>
      </c>
      <c r="DC420" s="13" t="str">
        <f aca="false">IF(DC401="","",DC401)</f>
        <v/>
      </c>
      <c r="DD420" s="13" t="str">
        <f aca="false">IF(DD401="","",DD401)</f>
        <v/>
      </c>
      <c r="DE420" s="13" t="str">
        <f aca="false">IF(DE401="","",DE401)</f>
        <v/>
      </c>
    </row>
    <row r="421" customFormat="false" ht="15" hidden="false" customHeight="true" outlineLevel="0" collapsed="false">
      <c r="A421" s="22" t="s">
        <v>223</v>
      </c>
      <c r="B421" s="13" t="str">
        <f aca="false">IF(B$4="Actuals",IF(C$4="Actuals","",C374),B376)</f>
        <v/>
      </c>
      <c r="C421" s="13" t="str">
        <f aca="false">IF(C$4="Actuals",IF(D$4="Actuals","",D374),C376)</f>
        <v/>
      </c>
      <c r="D421" s="13" t="str">
        <f aca="false">IF(D$4="Actuals",IF(E$4="Actuals","",E374),D376)</f>
        <v/>
      </c>
      <c r="E421" s="13" t="str">
        <f aca="false">IF(E$4="Actuals",IF(F$4="Actuals","",F374),E376)</f>
        <v/>
      </c>
      <c r="F421" s="13" t="str">
        <f aca="false">IF(F$4="Actuals",IF(G$4="Actuals","",G374),F376)</f>
        <v/>
      </c>
      <c r="G421" s="13" t="str">
        <f aca="false">IF(G$4="Actuals",IF(H$4="Actuals","",H374),G376)</f>
        <v/>
      </c>
      <c r="H421" s="13" t="str">
        <f aca="false">IF(H$4="Actuals",IF(I$4="Actuals","",I374),H376)</f>
        <v/>
      </c>
      <c r="I421" s="13" t="n">
        <f aca="false">IF(I$4="Actuals",IF(J$4="Actuals","",J374),I376)</f>
        <v>1945296</v>
      </c>
      <c r="J421" s="13" t="n">
        <f aca="false">IF(J$4="Actuals",IF(K$4="Actuals","",K374),J376)</f>
        <v>1626283.60557404</v>
      </c>
      <c r="K421" s="13" t="n">
        <f aca="false">IF(K$4="Actuals",IF(L$4="Actuals","",L374),K376)</f>
        <v>1976456.74750204</v>
      </c>
      <c r="L421" s="13" t="n">
        <f aca="false">IF(L$4="Actuals",IF(M$4="Actuals","",M374),L376)</f>
        <v>2266472.27886452</v>
      </c>
      <c r="M421" s="13" t="n">
        <f aca="false">IF(M$4="Actuals",IF(N$4="Actuals","",N374),M376)</f>
        <v>2229655.31378602</v>
      </c>
      <c r="N421" s="13" t="n">
        <f aca="false">IF(N$4="Actuals",IF(O$4="Actuals","",O374),N376)</f>
        <v>957724.80874267</v>
      </c>
      <c r="O421" s="13" t="n">
        <f aca="false">IF(O$4="Actuals",IF(P$4="Actuals","",P374),O376)</f>
        <v>988607.003789134</v>
      </c>
      <c r="P421" s="13" t="n">
        <f aca="false">IF(P$4="Actuals",IF(Q$4="Actuals","",Q374),P376)</f>
        <v>848793.687459426</v>
      </c>
      <c r="Q421" s="13" t="n">
        <f aca="false">IF(Q$4="Actuals",IF(R$4="Actuals","",R374),Q376)</f>
        <v>1068578.8765911</v>
      </c>
      <c r="R421" s="13" t="n">
        <f aca="false">IF(R$4="Actuals",IF(S$4="Actuals","",S374),R376)</f>
        <v>347156.705978184</v>
      </c>
      <c r="S421" s="13" t="n">
        <f aca="false">IF(S$4="Actuals",IF(T$4="Actuals","",T374),S376)</f>
        <v>175207.739140788</v>
      </c>
      <c r="T421" s="13" t="n">
        <f aca="false">IF(T$4="Actuals",IF(U$4="Actuals","",U374),T376)</f>
        <v>15051.0159862521</v>
      </c>
      <c r="U421" s="13" t="n">
        <f aca="false">IF(U$4="Actuals",IF(V$4="Actuals","",V374),U376)</f>
        <v>41473.3108449746</v>
      </c>
      <c r="V421" s="13" t="n">
        <f aca="false">IF(V$4="Actuals",IF(W$4="Actuals","",W374),V376)</f>
        <v>405603.539750495</v>
      </c>
      <c r="W421" s="13" t="n">
        <f aca="false">IF(W$4="Actuals",IF(X$4="Actuals","",X374),W376)</f>
        <v>835358.014556017</v>
      </c>
      <c r="X421" s="13" t="n">
        <f aca="false">IF(X$4="Actuals",IF(Y$4="Actuals","",Y374),X376)</f>
        <v>1064880.23751859</v>
      </c>
      <c r="Y421" s="13" t="n">
        <f aca="false">IF(Y$4="Actuals",IF(Z$4="Actuals","",Z374),Y376)</f>
        <v>1601964.56229008</v>
      </c>
      <c r="Z421" s="13" t="n">
        <f aca="false">IF(Z$4="Actuals",IF(AA$4="Actuals","",AA374),Z376)</f>
        <v>1981661.80129619</v>
      </c>
      <c r="AA421" s="13" t="n">
        <f aca="false">IF(AA$4="Actuals",IF(AB$4="Actuals","",AB374),AA376)</f>
        <v>2347678.86674962</v>
      </c>
      <c r="AB421" s="13" t="n">
        <f aca="false">IF(AB$4="Actuals",IF(AC$4="Actuals","",AC374),AB376)</f>
        <v>1649456.34781803</v>
      </c>
      <c r="AC421" s="13" t="n">
        <f aca="false">IF(AC$4="Actuals",IF(AD$4="Actuals","",AD374),AC376)</f>
        <v>3486008.71472443</v>
      </c>
      <c r="AD421" s="13" t="n">
        <f aca="false">IF(AD$4="Actuals",IF(AE$4="Actuals","",AE374),AD376)</f>
        <v>3695322.45364507</v>
      </c>
      <c r="AE421" s="13" t="n">
        <f aca="false">IF(AE$4="Actuals",IF(AF$4="Actuals","",AF374),AE376)</f>
        <v>4035009.66866676</v>
      </c>
      <c r="AF421" s="13" t="n">
        <f aca="false">IF(AF$4="Actuals",IF(AG$4="Actuals","",AG374),AF376)</f>
        <v>3956184.45828891</v>
      </c>
      <c r="AG421" s="13" t="n">
        <f aca="false">IF(AG$4="Actuals",IF(AH$4="Actuals","",AH374),AG376)</f>
        <v>4716228.60169826</v>
      </c>
      <c r="AH421" s="13" t="n">
        <f aca="false">IF(AH$4="Actuals",IF(AI$4="Actuals","",AI374),AH376)</f>
        <v>5369262.59098174</v>
      </c>
      <c r="AI421" s="13" t="n">
        <f aca="false">IF(AI$4="Actuals",IF(AJ$4="Actuals","",AJ374),AI376)</f>
        <v>5839594.06311102</v>
      </c>
      <c r="AJ421" s="13" t="n">
        <f aca="false">IF(AJ$4="Actuals",IF(AK$4="Actuals","",AK374),AJ376)</f>
        <v>6519502.14801824</v>
      </c>
      <c r="AK421" s="13" t="n">
        <f aca="false">IF(AK$4="Actuals",IF(AL$4="Actuals","",AL374),AK376)</f>
        <v>7163870.91730815</v>
      </c>
      <c r="AL421" s="13" t="n">
        <f aca="false">IF(AL$4="Actuals",IF(AM$4="Actuals","",AM374),AL376)</f>
        <v>7483295.63056375</v>
      </c>
      <c r="AM421" s="13" t="n">
        <f aca="false">IF(AM$4="Actuals",IF(AN$4="Actuals","",AN374),AM376)</f>
        <v>7461950.41977156</v>
      </c>
      <c r="AN421" s="13" t="n">
        <f aca="false">IF(AN$4="Actuals",IF(AO$4="Actuals","",AO374),AN376)</f>
        <v>4751155.6590906</v>
      </c>
      <c r="AO421" s="13" t="n">
        <f aca="false">IF(AO$4="Actuals",IF(AP$4="Actuals","",AP374),AO376)</f>
        <v>7795394.74692349</v>
      </c>
      <c r="AP421" s="13" t="n">
        <f aca="false">IF(AP$4="Actuals",IF(AQ$4="Actuals","",AQ374),AP376)</f>
        <v>7724297.82159705</v>
      </c>
      <c r="AQ421" s="13" t="n">
        <f aca="false">IF(AQ$4="Actuals",IF(AR$4="Actuals","",AR374),AQ376)</f>
        <v>7645594.40130523</v>
      </c>
      <c r="AR421" s="13" t="n">
        <f aca="false">IF(AR$4="Actuals",IF(AS$4="Actuals","",AS374),AR376)</f>
        <v>7572694.7326288</v>
      </c>
      <c r="AS421" s="13" t="n">
        <f aca="false">IF(AS$4="Actuals",IF(AT$4="Actuals","",AT374),AS376)</f>
        <v>7481212.40008697</v>
      </c>
      <c r="AT421" s="13" t="n">
        <f aca="false">IF(AT$4="Actuals",IF(AU$4="Actuals","",AU374),AT376)</f>
        <v>7645650.73324636</v>
      </c>
      <c r="AU421" s="13" t="n">
        <f aca="false">IF(AU$4="Actuals",IF(AV$4="Actuals","",AV374),AU376)</f>
        <v>7962900.91170698</v>
      </c>
      <c r="AV421" s="13" t="n">
        <f aca="false">IF(AV$4="Actuals",IF(AW$4="Actuals","",AW374),AV376)</f>
        <v>7836030.76341197</v>
      </c>
      <c r="AW421" s="13" t="n">
        <f aca="false">IF(AW$4="Actuals",IF(AX$4="Actuals","",AX374),AW376)</f>
        <v>7426210.35051521</v>
      </c>
      <c r="AX421" s="13" t="n">
        <f aca="false">IF(AX$4="Actuals",IF(AY$4="Actuals","",AY374),AX376)</f>
        <v>7057267.93911845</v>
      </c>
      <c r="AY421" s="13" t="n">
        <f aca="false">IF(AY$4="Actuals",IF(AZ$4="Actuals","",AZ374),AY376)</f>
        <v>6675378.45272169</v>
      </c>
      <c r="AZ421" s="13" t="n">
        <f aca="false">IF(AZ$4="Actuals",IF(BA$4="Actuals","",BA374),AZ376)</f>
        <v>6267695.60382493</v>
      </c>
      <c r="BA421" s="13" t="n">
        <f aca="false">IF(BA$4="Actuals",IF(BB$4="Actuals","",BB374),BA376)</f>
        <v>5847692.27202374</v>
      </c>
      <c r="BB421" s="13" t="n">
        <f aca="false">IF(BB$4="Actuals",IF(BC$4="Actuals","",BC374),BB376)</f>
        <v>5427258.77422254</v>
      </c>
      <c r="BC421" s="13" t="n">
        <f aca="false">IF(BC$4="Actuals",IF(BD$4="Actuals","",BD374),BC376)</f>
        <v>5006395.12142134</v>
      </c>
      <c r="BD421" s="13" t="n">
        <f aca="false">IF(BD$4="Actuals",IF(BE$4="Actuals","",BE374),BD376)</f>
        <v>4585101.30812014</v>
      </c>
      <c r="BE421" s="13" t="n">
        <f aca="false">IF(BE$4="Actuals",IF(BF$4="Actuals","",BF374),BE376)</f>
        <v>4163377.33431895</v>
      </c>
      <c r="BF421" s="13" t="n">
        <f aca="false">IF(BF$4="Actuals",IF(BG$4="Actuals","",BG374),BF376)</f>
        <v>3741223.20001775</v>
      </c>
      <c r="BG421" s="13" t="n">
        <f aca="false">IF(BG$4="Actuals",IF(BH$4="Actuals","",BH374),BG376)</f>
        <v>3318638.90521655</v>
      </c>
      <c r="BH421" s="13" t="n">
        <f aca="false">IF(BH$4="Actuals",IF(BI$4="Actuals","",BI374),BH376)</f>
        <v>3132113.91121818</v>
      </c>
      <c r="BI421" s="13" t="n">
        <f aca="false">IF(BI$4="Actuals",IF(BJ$4="Actuals","",BJ374),BI376)</f>
        <v>2965488.55251601</v>
      </c>
      <c r="BJ421" s="13" t="n">
        <f aca="false">IF(BJ$4="Actuals",IF(BK$4="Actuals","",BK374),BJ376)</f>
        <v>2391837.11738969</v>
      </c>
      <c r="BK421" s="13" t="n">
        <f aca="false">IF(BK$4="Actuals",IF(BL$4="Actuals","",BL374),BK376)</f>
        <v>1817755.52176337</v>
      </c>
      <c r="BL421" s="13" t="n">
        <f aca="false">IF(BL$4="Actuals",IF(BM$4="Actuals","",BM374),BL376)</f>
        <v>1243243.77113705</v>
      </c>
      <c r="BM421" s="13" t="n">
        <f aca="false">IF(BM$4="Actuals",IF(BN$4="Actuals","",BN374),BM376)</f>
        <v>679674.225658206</v>
      </c>
      <c r="BN421" s="13" t="n">
        <f aca="false">IF(BN$4="Actuals",IF(BO$4="Actuals","",BO374),BN376)</f>
        <v>115674.519679362</v>
      </c>
      <c r="BO421" s="13" t="n">
        <f aca="false">IF(BO$4="Actuals",IF(BP$4="Actuals","",BP374),BO376)</f>
        <v>-394929.056799482</v>
      </c>
      <c r="BP421" s="13" t="n">
        <f aca="false">IF(BP$4="Actuals",IF(BQ$4="Actuals","",BQ374),BP376)</f>
        <v>-1018463.62827833</v>
      </c>
      <c r="BQ421" s="13" t="n">
        <f aca="false">IF(BQ$4="Actuals",IF(BR$4="Actuals","",BR374),BQ376)</f>
        <v>-1641998.19975717</v>
      </c>
      <c r="BR421" s="13" t="n">
        <f aca="false">IF(BR$4="Actuals",IF(BS$4="Actuals","",BS374),BR376)</f>
        <v>-2212282.42123601</v>
      </c>
      <c r="BS421" s="13" t="n">
        <f aca="false">IF(BS$4="Actuals",IF(BT$4="Actuals","",BT374),BS376)</f>
        <v>-2835816.99271486</v>
      </c>
      <c r="BT421" s="13" t="n">
        <f aca="false">IF(BT$4="Actuals",IF(BU$4="Actuals","",BU374),BT376)</f>
        <v>-3459351.5641937</v>
      </c>
      <c r="BU421" s="13" t="n">
        <f aca="false">IF(BU$4="Actuals",IF(BV$4="Actuals","",BV374),BU376)</f>
        <v>-4015124.13567255</v>
      </c>
      <c r="BV421" s="13" t="n">
        <f aca="false">IF(BV$4="Actuals",IF(BW$4="Actuals","",BW374),BV376)</f>
        <v>-4638658.70715139</v>
      </c>
      <c r="BW421" s="13" t="n">
        <f aca="false">IF(BW$4="Actuals",IF(BX$4="Actuals","",BX374),BW376)</f>
        <v>-5262193.27863024</v>
      </c>
      <c r="BX421" s="13" t="n">
        <f aca="false">IF(BX$4="Actuals",IF(BY$4="Actuals","",BY374),BX376)</f>
        <v>-5817965.85010908</v>
      </c>
      <c r="BY421" s="13" t="n">
        <f aca="false">IF(BY$4="Actuals",IF(BZ$4="Actuals","",BZ374),BY376)</f>
        <v>-6453871.1130175</v>
      </c>
      <c r="BZ421" s="13" t="n">
        <f aca="false">IF(BZ$4="Actuals",IF(CA$4="Actuals","",CA374),BZ376)</f>
        <v>-7089776.37592593</v>
      </c>
      <c r="CA421" s="13" t="n">
        <f aca="false">IF(CA$4="Actuals",IF(CB$4="Actuals","",CB374),CA376)</f>
        <v>-7657919.63883435</v>
      </c>
      <c r="CB421" s="13" t="n">
        <f aca="false">IF(CB$4="Actuals",IF(CC$4="Actuals","",CC374),CB376)</f>
        <v>-8293824.90174277</v>
      </c>
      <c r="CC421" s="13" t="n">
        <f aca="false">IF(CC$4="Actuals",IF(CD$4="Actuals","",CD374),CC376)</f>
        <v>-8929730.16465119</v>
      </c>
      <c r="CD421" s="13" t="n">
        <f aca="false">IF(CD$4="Actuals",IF(CE$4="Actuals","",CE374),CD376)</f>
        <v>-9489136.42755961</v>
      </c>
      <c r="CE421" s="13" t="n">
        <f aca="false">IF(CE$4="Actuals",IF(CF$4="Actuals","",CF374),CE376)</f>
        <v>-10125041.690468</v>
      </c>
      <c r="CF421" s="13" t="n">
        <f aca="false">IF(CF$4="Actuals",IF(CG$4="Actuals","",CG374),CF376)</f>
        <v>-10760946.9533765</v>
      </c>
      <c r="CG421" s="13" t="n">
        <f aca="false">IF(CG$4="Actuals",IF(CH$4="Actuals","",CH374),CG376)</f>
        <v>-11320353.2162849</v>
      </c>
      <c r="CH421" s="13" t="n">
        <f aca="false">IF(CH$4="Actuals",IF(CI$4="Actuals","",CI374),CH376)</f>
        <v>-11956258.4791933</v>
      </c>
      <c r="CI421" s="13" t="n">
        <f aca="false">IF(CI$4="Actuals",IF(CJ$4="Actuals","",CJ374),CI376)</f>
        <v>-12592163.7421017</v>
      </c>
      <c r="CJ421" s="13" t="n">
        <f aca="false">IF(CJ$4="Actuals",IF(CK$4="Actuals","",CK374),CJ376)</f>
        <v>-13144961.9784037</v>
      </c>
      <c r="CK421" s="13" t="n">
        <f aca="false">IF(CK$4="Actuals",IF(CL$4="Actuals","",CL374),CK376)</f>
        <v>-13635624.3465703</v>
      </c>
      <c r="CL421" s="13" t="n">
        <f aca="false">IF(CL$4="Actuals",IF(CM$4="Actuals","",CM374),CL376)</f>
        <v>-14126286.7147368</v>
      </c>
      <c r="CM421" s="13" t="n">
        <f aca="false">IF(CM$4="Actuals",IF(CN$4="Actuals","",CN374),CM376)</f>
        <v>-14616949.0829034</v>
      </c>
      <c r="CN421" s="13" t="n">
        <f aca="false">IF(CN$4="Actuals",IF(CO$4="Actuals","",CO374),CN376)</f>
        <v>-15107611.45107</v>
      </c>
      <c r="CO421" s="13" t="n">
        <f aca="false">IF(CO$4="Actuals",IF(CP$4="Actuals","",CP374),CO376)</f>
        <v>-15598273.8192366</v>
      </c>
      <c r="CP421" s="13" t="n">
        <f aca="false">IF(CP$4="Actuals",IF(CQ$4="Actuals","",CQ374),CP376)</f>
        <v>-16088936.1874032</v>
      </c>
      <c r="CQ421" s="13" t="n">
        <f aca="false">IF(CQ$4="Actuals",IF(CR$4="Actuals","",CR374),CQ376)</f>
        <v>-16579598.5555698</v>
      </c>
      <c r="CR421" s="13" t="n">
        <f aca="false">IF(CR$4="Actuals",IF(CS$4="Actuals","",CS374),CR376)</f>
        <v>-17070260.9237364</v>
      </c>
      <c r="CS421" s="13" t="n">
        <f aca="false">IF(CS$4="Actuals",IF(CT$4="Actuals","",CT374),CS376)</f>
        <v>-17560923.291903</v>
      </c>
      <c r="CT421" s="13" t="n">
        <f aca="false">IF(CT$4="Actuals",IF(CU$4="Actuals","",CU374),CT376)</f>
        <v>-17990783.5317768</v>
      </c>
      <c r="CU421" s="13" t="n">
        <f aca="false">IF(CU$4="Actuals",IF(CV$4="Actuals","",CV374),CU376)</f>
        <v>-18420643.7716506</v>
      </c>
      <c r="CV421" s="13" t="n">
        <f aca="false">IF(CV$4="Actuals",IF(CW$4="Actuals","",CW374),CV376)</f>
        <v>-18850504.0115244</v>
      </c>
      <c r="CW421" s="13" t="n">
        <f aca="false">IF(CW$4="Actuals",IF(CX$4="Actuals","",CX374),CW376)</f>
        <v>-19236310.5251321</v>
      </c>
      <c r="CX421" s="13" t="n">
        <f aca="false">IF(CX$4="Actuals",IF(CY$4="Actuals","",CY374),CX376)</f>
        <v>-19604670.1898034</v>
      </c>
      <c r="CY421" s="13" t="n">
        <f aca="false">IF(CY$4="Actuals",IF(CZ$4="Actuals","",CZ374),CY376)</f>
        <v>-19973029.8544747</v>
      </c>
      <c r="CZ421" s="13" t="n">
        <f aca="false">IF(CZ$4="Actuals",IF(DA$4="Actuals","",DA374),CZ376)</f>
        <v>-20341389.519146</v>
      </c>
      <c r="DA421" s="13" t="n">
        <f aca="false">IF(DA$4="Actuals",IF(DB$4="Actuals","",DB374),DA376)</f>
        <v>-20709749.1838173</v>
      </c>
      <c r="DB421" s="13" t="n">
        <f aca="false">IF(DB$4="Actuals",IF(DC$4="Actuals","",DC374),DB376)</f>
        <v>-21078108.8484885</v>
      </c>
      <c r="DC421" s="13" t="n">
        <f aca="false">IF(DC$4="Actuals",IF(DD$4="Actuals","",DD374),DC376)</f>
        <v>-21446468.5131598</v>
      </c>
      <c r="DD421" s="13" t="n">
        <f aca="false">IF(DD$4="Actuals",IF(DE$4="Actuals","",DE374),DD376)</f>
        <v>-21814828.1778311</v>
      </c>
      <c r="DE421" s="13" t="n">
        <f aca="false">IF(DE$4="Actuals",IF(DF$4="Actuals","",DF374),DE376)</f>
        <v>-22183187.8425024</v>
      </c>
    </row>
    <row r="422" customFormat="false" ht="15" hidden="false" customHeight="true" outlineLevel="0" collapsed="false">
      <c r="A422" s="22" t="s">
        <v>224</v>
      </c>
      <c r="B422" s="13" t="str">
        <f aca="false">IF(OR(B420="",B421=""),"",B421-B420)</f>
        <v/>
      </c>
      <c r="C422" s="13" t="str">
        <f aca="false">IF(OR(C420="",C421=""),"",C421-C420)</f>
        <v/>
      </c>
      <c r="D422" s="13" t="str">
        <f aca="false">IF(OR(D420="",D421=""),"",D421-D420)</f>
        <v/>
      </c>
      <c r="E422" s="13" t="str">
        <f aca="false">IF(OR(E420="",E421=""),"",E421-E420)</f>
        <v/>
      </c>
      <c r="F422" s="13" t="str">
        <f aca="false">IF(OR(F420="",F421=""),"",F421-F420)</f>
        <v/>
      </c>
      <c r="G422" s="13" t="str">
        <f aca="false">IF(OR(G420="",G421=""),"",G421-G420)</f>
        <v/>
      </c>
      <c r="H422" s="13" t="str">
        <f aca="false">IF(OR(H420="",H421=""),"",H421-H420)</f>
        <v/>
      </c>
      <c r="I422" s="13" t="n">
        <f aca="false">IF(OR(I420="",I421=""),"",I421-I420)</f>
        <v>0</v>
      </c>
      <c r="J422" s="13" t="str">
        <f aca="false">IF(OR(J420="",J421=""),"",J421-J420)</f>
        <v/>
      </c>
      <c r="K422" s="13" t="str">
        <f aca="false">IF(OR(K420="",K421=""),"",K421-K420)</f>
        <v/>
      </c>
      <c r="L422" s="13" t="str">
        <f aca="false">IF(OR(L420="",L421=""),"",L421-L420)</f>
        <v/>
      </c>
      <c r="M422" s="13" t="str">
        <f aca="false">IF(OR(M420="",M421=""),"",M421-M420)</f>
        <v/>
      </c>
      <c r="N422" s="13" t="str">
        <f aca="false">IF(OR(N420="",N421=""),"",N421-N420)</f>
        <v/>
      </c>
      <c r="O422" s="13" t="str">
        <f aca="false">IF(OR(O420="",O421=""),"",O421-O420)</f>
        <v/>
      </c>
      <c r="P422" s="13" t="str">
        <f aca="false">IF(OR(P420="",P421=""),"",P421-P420)</f>
        <v/>
      </c>
      <c r="Q422" s="13" t="str">
        <f aca="false">IF(OR(Q420="",Q421=""),"",Q421-Q420)</f>
        <v/>
      </c>
      <c r="R422" s="13" t="str">
        <f aca="false">IF(OR(R420="",R421=""),"",R421-R420)</f>
        <v/>
      </c>
      <c r="S422" s="13" t="str">
        <f aca="false">IF(OR(S420="",S421=""),"",S421-S420)</f>
        <v/>
      </c>
      <c r="T422" s="13" t="str">
        <f aca="false">IF(OR(T420="",T421=""),"",T421-T420)</f>
        <v/>
      </c>
      <c r="U422" s="13" t="str">
        <f aca="false">IF(OR(U420="",U421=""),"",U421-U420)</f>
        <v/>
      </c>
      <c r="V422" s="13" t="str">
        <f aca="false">IF(OR(V420="",V421=""),"",V421-V420)</f>
        <v/>
      </c>
      <c r="W422" s="13" t="str">
        <f aca="false">IF(OR(W420="",W421=""),"",W421-W420)</f>
        <v/>
      </c>
      <c r="X422" s="13" t="str">
        <f aca="false">IF(OR(X420="",X421=""),"",X421-X420)</f>
        <v/>
      </c>
      <c r="Y422" s="13" t="str">
        <f aca="false">IF(OR(Y420="",Y421=""),"",Y421-Y420)</f>
        <v/>
      </c>
      <c r="Z422" s="13" t="str">
        <f aca="false">IF(OR(Z420="",Z421=""),"",Z421-Z420)</f>
        <v/>
      </c>
      <c r="AA422" s="13" t="str">
        <f aca="false">IF(OR(AA420="",AA421=""),"",AA421-AA420)</f>
        <v/>
      </c>
      <c r="AB422" s="13" t="str">
        <f aca="false">IF(OR(AB420="",AB421=""),"",AB421-AB420)</f>
        <v/>
      </c>
      <c r="AC422" s="13" t="str">
        <f aca="false">IF(OR(AC420="",AC421=""),"",AC421-AC420)</f>
        <v/>
      </c>
      <c r="AD422" s="13" t="str">
        <f aca="false">IF(OR(AD420="",AD421=""),"",AD421-AD420)</f>
        <v/>
      </c>
      <c r="AE422" s="13" t="str">
        <f aca="false">IF(OR(AE420="",AE421=""),"",AE421-AE420)</f>
        <v/>
      </c>
      <c r="AF422" s="13" t="str">
        <f aca="false">IF(OR(AF420="",AF421=""),"",AF421-AF420)</f>
        <v/>
      </c>
      <c r="AG422" s="13" t="str">
        <f aca="false">IF(OR(AG420="",AG421=""),"",AG421-AG420)</f>
        <v/>
      </c>
      <c r="AH422" s="13" t="str">
        <f aca="false">IF(OR(AH420="",AH421=""),"",AH421-AH420)</f>
        <v/>
      </c>
      <c r="AI422" s="13" t="str">
        <f aca="false">IF(OR(AI420="",AI421=""),"",AI421-AI420)</f>
        <v/>
      </c>
      <c r="AJ422" s="13" t="str">
        <f aca="false">IF(OR(AJ420="",AJ421=""),"",AJ421-AJ420)</f>
        <v/>
      </c>
      <c r="AK422" s="13" t="str">
        <f aca="false">IF(OR(AK420="",AK421=""),"",AK421-AK420)</f>
        <v/>
      </c>
      <c r="AL422" s="13" t="str">
        <f aca="false">IF(OR(AL420="",AL421=""),"",AL421-AL420)</f>
        <v/>
      </c>
      <c r="AM422" s="13" t="str">
        <f aca="false">IF(OR(AM420="",AM421=""),"",AM421-AM420)</f>
        <v/>
      </c>
      <c r="AN422" s="13" t="str">
        <f aca="false">IF(OR(AN420="",AN421=""),"",AN421-AN420)</f>
        <v/>
      </c>
      <c r="AO422" s="13" t="str">
        <f aca="false">IF(OR(AO420="",AO421=""),"",AO421-AO420)</f>
        <v/>
      </c>
      <c r="AP422" s="13" t="str">
        <f aca="false">IF(OR(AP420="",AP421=""),"",AP421-AP420)</f>
        <v/>
      </c>
      <c r="AQ422" s="13" t="str">
        <f aca="false">IF(OR(AQ420="",AQ421=""),"",AQ421-AQ420)</f>
        <v/>
      </c>
      <c r="AR422" s="13" t="str">
        <f aca="false">IF(OR(AR420="",AR421=""),"",AR421-AR420)</f>
        <v/>
      </c>
      <c r="AS422" s="13" t="str">
        <f aca="false">IF(OR(AS420="",AS421=""),"",AS421-AS420)</f>
        <v/>
      </c>
      <c r="AT422" s="13" t="str">
        <f aca="false">IF(OR(AT420="",AT421=""),"",AT421-AT420)</f>
        <v/>
      </c>
      <c r="AU422" s="13" t="str">
        <f aca="false">IF(OR(AU420="",AU421=""),"",AU421-AU420)</f>
        <v/>
      </c>
      <c r="AV422" s="13" t="str">
        <f aca="false">IF(OR(AV420="",AV421=""),"",AV421-AV420)</f>
        <v/>
      </c>
      <c r="AW422" s="13" t="str">
        <f aca="false">IF(OR(AW420="",AW421=""),"",AW421-AW420)</f>
        <v/>
      </c>
      <c r="AX422" s="13" t="str">
        <f aca="false">IF(OR(AX420="",AX421=""),"",AX421-AX420)</f>
        <v/>
      </c>
      <c r="AY422" s="13" t="str">
        <f aca="false">IF(OR(AY420="",AY421=""),"",AY421-AY420)</f>
        <v/>
      </c>
      <c r="AZ422" s="13" t="str">
        <f aca="false">IF(OR(AZ420="",AZ421=""),"",AZ421-AZ420)</f>
        <v/>
      </c>
      <c r="BA422" s="13" t="str">
        <f aca="false">IF(OR(BA420="",BA421=""),"",BA421-BA420)</f>
        <v/>
      </c>
      <c r="BB422" s="13" t="str">
        <f aca="false">IF(OR(BB420="",BB421=""),"",BB421-BB420)</f>
        <v/>
      </c>
      <c r="BC422" s="13" t="str">
        <f aca="false">IF(OR(BC420="",BC421=""),"",BC421-BC420)</f>
        <v/>
      </c>
      <c r="BD422" s="13" t="str">
        <f aca="false">IF(OR(BD420="",BD421=""),"",BD421-BD420)</f>
        <v/>
      </c>
      <c r="BE422" s="13" t="str">
        <f aca="false">IF(OR(BE420="",BE421=""),"",BE421-BE420)</f>
        <v/>
      </c>
      <c r="BF422" s="13" t="str">
        <f aca="false">IF(OR(BF420="",BF421=""),"",BF421-BF420)</f>
        <v/>
      </c>
      <c r="BG422" s="13" t="str">
        <f aca="false">IF(OR(BG420="",BG421=""),"",BG421-BG420)</f>
        <v/>
      </c>
      <c r="BH422" s="13" t="str">
        <f aca="false">IF(OR(BH420="",BH421=""),"",BH421-BH420)</f>
        <v/>
      </c>
      <c r="BI422" s="13" t="str">
        <f aca="false">IF(OR(BI420="",BI421=""),"",BI421-BI420)</f>
        <v/>
      </c>
      <c r="BJ422" s="13" t="str">
        <f aca="false">IF(OR(BJ420="",BJ421=""),"",BJ421-BJ420)</f>
        <v/>
      </c>
      <c r="BK422" s="13" t="str">
        <f aca="false">IF(OR(BK420="",BK421=""),"",BK421-BK420)</f>
        <v/>
      </c>
      <c r="BL422" s="13" t="str">
        <f aca="false">IF(OR(BL420="",BL421=""),"",BL421-BL420)</f>
        <v/>
      </c>
      <c r="BM422" s="13" t="str">
        <f aca="false">IF(OR(BM420="",BM421=""),"",BM421-BM420)</f>
        <v/>
      </c>
      <c r="BN422" s="13" t="str">
        <f aca="false">IF(OR(BN420="",BN421=""),"",BN421-BN420)</f>
        <v/>
      </c>
      <c r="BO422" s="13" t="str">
        <f aca="false">IF(OR(BO420="",BO421=""),"",BO421-BO420)</f>
        <v/>
      </c>
      <c r="BP422" s="13" t="str">
        <f aca="false">IF(OR(BP420="",BP421=""),"",BP421-BP420)</f>
        <v/>
      </c>
      <c r="BQ422" s="13" t="str">
        <f aca="false">IF(OR(BQ420="",BQ421=""),"",BQ421-BQ420)</f>
        <v/>
      </c>
      <c r="BR422" s="13" t="str">
        <f aca="false">IF(OR(BR420="",BR421=""),"",BR421-BR420)</f>
        <v/>
      </c>
      <c r="BS422" s="13" t="str">
        <f aca="false">IF(OR(BS420="",BS421=""),"",BS421-BS420)</f>
        <v/>
      </c>
      <c r="BT422" s="13" t="str">
        <f aca="false">IF(OR(BT420="",BT421=""),"",BT421-BT420)</f>
        <v/>
      </c>
      <c r="BU422" s="13" t="str">
        <f aca="false">IF(OR(BU420="",BU421=""),"",BU421-BU420)</f>
        <v/>
      </c>
      <c r="BV422" s="13" t="str">
        <f aca="false">IF(OR(BV420="",BV421=""),"",BV421-BV420)</f>
        <v/>
      </c>
      <c r="BW422" s="13" t="str">
        <f aca="false">IF(OR(BW420="",BW421=""),"",BW421-BW420)</f>
        <v/>
      </c>
      <c r="BX422" s="13" t="str">
        <f aca="false">IF(OR(BX420="",BX421=""),"",BX421-BX420)</f>
        <v/>
      </c>
      <c r="BY422" s="13" t="str">
        <f aca="false">IF(OR(BY420="",BY421=""),"",BY421-BY420)</f>
        <v/>
      </c>
      <c r="BZ422" s="13" t="str">
        <f aca="false">IF(OR(BZ420="",BZ421=""),"",BZ421-BZ420)</f>
        <v/>
      </c>
      <c r="CA422" s="13" t="str">
        <f aca="false">IF(OR(CA420="",CA421=""),"",CA421-CA420)</f>
        <v/>
      </c>
      <c r="CB422" s="13" t="str">
        <f aca="false">IF(OR(CB420="",CB421=""),"",CB421-CB420)</f>
        <v/>
      </c>
      <c r="CC422" s="13" t="str">
        <f aca="false">IF(OR(CC420="",CC421=""),"",CC421-CC420)</f>
        <v/>
      </c>
      <c r="CD422" s="13" t="str">
        <f aca="false">IF(OR(CD420="",CD421=""),"",CD421-CD420)</f>
        <v/>
      </c>
      <c r="CE422" s="13" t="str">
        <f aca="false">IF(OR(CE420="",CE421=""),"",CE421-CE420)</f>
        <v/>
      </c>
      <c r="CF422" s="13" t="str">
        <f aca="false">IF(OR(CF420="",CF421=""),"",CF421-CF420)</f>
        <v/>
      </c>
      <c r="CG422" s="13" t="str">
        <f aca="false">IF(OR(CG420="",CG421=""),"",CG421-CG420)</f>
        <v/>
      </c>
      <c r="CH422" s="13" t="str">
        <f aca="false">IF(OR(CH420="",CH421=""),"",CH421-CH420)</f>
        <v/>
      </c>
      <c r="CI422" s="13" t="str">
        <f aca="false">IF(OR(CI420="",CI421=""),"",CI421-CI420)</f>
        <v/>
      </c>
      <c r="CJ422" s="13" t="str">
        <f aca="false">IF(OR(CJ420="",CJ421=""),"",CJ421-CJ420)</f>
        <v/>
      </c>
      <c r="CK422" s="13" t="str">
        <f aca="false">IF(OR(CK420="",CK421=""),"",CK421-CK420)</f>
        <v/>
      </c>
      <c r="CL422" s="13" t="str">
        <f aca="false">IF(OR(CL420="",CL421=""),"",CL421-CL420)</f>
        <v/>
      </c>
      <c r="CM422" s="13" t="str">
        <f aca="false">IF(OR(CM420="",CM421=""),"",CM421-CM420)</f>
        <v/>
      </c>
      <c r="CN422" s="13" t="str">
        <f aca="false">IF(OR(CN420="",CN421=""),"",CN421-CN420)</f>
        <v/>
      </c>
      <c r="CO422" s="13" t="str">
        <f aca="false">IF(OR(CO420="",CO421=""),"",CO421-CO420)</f>
        <v/>
      </c>
      <c r="CP422" s="13" t="str">
        <f aca="false">IF(OR(CP420="",CP421=""),"",CP421-CP420)</f>
        <v/>
      </c>
      <c r="CQ422" s="13" t="str">
        <f aca="false">IF(OR(CQ420="",CQ421=""),"",CQ421-CQ420)</f>
        <v/>
      </c>
      <c r="CR422" s="13" t="str">
        <f aca="false">IF(OR(CR420="",CR421=""),"",CR421-CR420)</f>
        <v/>
      </c>
      <c r="CS422" s="13" t="str">
        <f aca="false">IF(OR(CS420="",CS421=""),"",CS421-CS420)</f>
        <v/>
      </c>
      <c r="CT422" s="13" t="str">
        <f aca="false">IF(OR(CT420="",CT421=""),"",CT421-CT420)</f>
        <v/>
      </c>
      <c r="CU422" s="13" t="str">
        <f aca="false">IF(OR(CU420="",CU421=""),"",CU421-CU420)</f>
        <v/>
      </c>
      <c r="CV422" s="13" t="str">
        <f aca="false">IF(OR(CV420="",CV421=""),"",CV421-CV420)</f>
        <v/>
      </c>
      <c r="CW422" s="13" t="str">
        <f aca="false">IF(OR(CW420="",CW421=""),"",CW421-CW420)</f>
        <v/>
      </c>
      <c r="CX422" s="13" t="str">
        <f aca="false">IF(OR(CX420="",CX421=""),"",CX421-CX420)</f>
        <v/>
      </c>
      <c r="CY422" s="13" t="str">
        <f aca="false">IF(OR(CY420="",CY421=""),"",CY421-CY420)</f>
        <v/>
      </c>
      <c r="CZ422" s="13" t="str">
        <f aca="false">IF(OR(CZ420="",CZ421=""),"",CZ421-CZ420)</f>
        <v/>
      </c>
      <c r="DA422" s="13" t="str">
        <f aca="false">IF(OR(DA420="",DA421=""),"",DA421-DA420)</f>
        <v/>
      </c>
      <c r="DB422" s="13" t="str">
        <f aca="false">IF(OR(DB420="",DB421=""),"",DB421-DB420)</f>
        <v/>
      </c>
      <c r="DC422" s="13" t="str">
        <f aca="false">IF(OR(DC420="",DC421=""),"",DC421-DC420)</f>
        <v/>
      </c>
      <c r="DD422" s="13" t="str">
        <f aca="false">IF(OR(DD420="",DD421=""),"",DD421-DD420)</f>
        <v/>
      </c>
      <c r="DE422" s="13" t="str">
        <f aca="false">IF(OR(DE420="",DE421=""),"",DE421-DE420)</f>
        <v/>
      </c>
    </row>
    <row r="423" customFormat="false" ht="15" hidden="false" customHeight="true" outlineLevel="0" collapsed="false">
      <c r="A423" s="22" t="s">
        <v>225</v>
      </c>
      <c r="B423" s="21" t="str">
        <f aca="false">IF(B422="","",IF(ABS(B422)&lt;1,"OK","CHECK"))</f>
        <v/>
      </c>
      <c r="C423" s="21" t="str">
        <f aca="false">IF(C422="","",IF(ABS(C422)&lt;1,"OK","CHECK"))</f>
        <v/>
      </c>
      <c r="D423" s="21" t="str">
        <f aca="false">IF(D422="","",IF(ABS(D422)&lt;1,"OK","CHECK"))</f>
        <v/>
      </c>
      <c r="E423" s="21" t="str">
        <f aca="false">IF(E422="","",IF(ABS(E422)&lt;1,"OK","CHECK"))</f>
        <v/>
      </c>
      <c r="F423" s="21" t="str">
        <f aca="false">IF(F422="","",IF(ABS(F422)&lt;1,"OK","CHECK"))</f>
        <v/>
      </c>
      <c r="G423" s="21" t="str">
        <f aca="false">IF(G422="","",IF(ABS(G422)&lt;1,"OK","CHECK"))</f>
        <v/>
      </c>
      <c r="H423" s="21" t="str">
        <f aca="false">IF(H422="","",IF(ABS(H422)&lt;1,"OK","CHECK"))</f>
        <v/>
      </c>
      <c r="I423" s="21" t="str">
        <f aca="false">IF(I422="","",IF(ABS(I422)&lt;1,"OK","CHECK"))</f>
        <v>OK</v>
      </c>
      <c r="J423" s="21" t="str">
        <f aca="false">IF(J422="","",IF(ABS(J422)&lt;1,"OK","CHECK"))</f>
        <v/>
      </c>
      <c r="K423" s="21" t="str">
        <f aca="false">IF(K422="","",IF(ABS(K422)&lt;1,"OK","CHECK"))</f>
        <v/>
      </c>
      <c r="L423" s="21" t="str">
        <f aca="false">IF(L422="","",IF(ABS(L422)&lt;1,"OK","CHECK"))</f>
        <v/>
      </c>
      <c r="M423" s="21" t="str">
        <f aca="false">IF(M422="","",IF(ABS(M422)&lt;1,"OK","CHECK"))</f>
        <v/>
      </c>
      <c r="N423" s="21" t="str">
        <f aca="false">IF(N422="","",IF(ABS(N422)&lt;1,"OK","CHECK"))</f>
        <v/>
      </c>
      <c r="O423" s="21" t="str">
        <f aca="false">IF(O422="","",IF(ABS(O422)&lt;1,"OK","CHECK"))</f>
        <v/>
      </c>
      <c r="P423" s="21" t="str">
        <f aca="false">IF(P422="","",IF(ABS(P422)&lt;1,"OK","CHECK"))</f>
        <v/>
      </c>
      <c r="Q423" s="21" t="str">
        <f aca="false">IF(Q422="","",IF(ABS(Q422)&lt;1,"OK","CHECK"))</f>
        <v/>
      </c>
      <c r="R423" s="21" t="str">
        <f aca="false">IF(R422="","",IF(ABS(R422)&lt;1,"OK","CHECK"))</f>
        <v/>
      </c>
      <c r="S423" s="21" t="str">
        <f aca="false">IF(S422="","",IF(ABS(S422)&lt;1,"OK","CHECK"))</f>
        <v/>
      </c>
      <c r="T423" s="21" t="str">
        <f aca="false">IF(T422="","",IF(ABS(T422)&lt;1,"OK","CHECK"))</f>
        <v/>
      </c>
      <c r="U423" s="21" t="str">
        <f aca="false">IF(U422="","",IF(ABS(U422)&lt;1,"OK","CHECK"))</f>
        <v/>
      </c>
      <c r="V423" s="21" t="str">
        <f aca="false">IF(V422="","",IF(ABS(V422)&lt;1,"OK","CHECK"))</f>
        <v/>
      </c>
      <c r="W423" s="21" t="str">
        <f aca="false">IF(W422="","",IF(ABS(W422)&lt;1,"OK","CHECK"))</f>
        <v/>
      </c>
      <c r="X423" s="21" t="str">
        <f aca="false">IF(X422="","",IF(ABS(X422)&lt;1,"OK","CHECK"))</f>
        <v/>
      </c>
      <c r="Y423" s="21" t="str">
        <f aca="false">IF(Y422="","",IF(ABS(Y422)&lt;1,"OK","CHECK"))</f>
        <v/>
      </c>
      <c r="Z423" s="21" t="str">
        <f aca="false">IF(Z422="","",IF(ABS(Z422)&lt;1,"OK","CHECK"))</f>
        <v/>
      </c>
      <c r="AA423" s="21" t="str">
        <f aca="false">IF(AA422="","",IF(ABS(AA422)&lt;1,"OK","CHECK"))</f>
        <v/>
      </c>
      <c r="AB423" s="21" t="str">
        <f aca="false">IF(AB422="","",IF(ABS(AB422)&lt;1,"OK","CHECK"))</f>
        <v/>
      </c>
      <c r="AC423" s="21" t="str">
        <f aca="false">IF(AC422="","",IF(ABS(AC422)&lt;1,"OK","CHECK"))</f>
        <v/>
      </c>
      <c r="AD423" s="21" t="str">
        <f aca="false">IF(AD422="","",IF(ABS(AD422)&lt;1,"OK","CHECK"))</f>
        <v/>
      </c>
      <c r="AE423" s="21" t="str">
        <f aca="false">IF(AE422="","",IF(ABS(AE422)&lt;1,"OK","CHECK"))</f>
        <v/>
      </c>
      <c r="AF423" s="21" t="str">
        <f aca="false">IF(AF422="","",IF(ABS(AF422)&lt;1,"OK","CHECK"))</f>
        <v/>
      </c>
      <c r="AG423" s="21" t="str">
        <f aca="false">IF(AG422="","",IF(ABS(AG422)&lt;1,"OK","CHECK"))</f>
        <v/>
      </c>
      <c r="AH423" s="21" t="str">
        <f aca="false">IF(AH422="","",IF(ABS(AH422)&lt;1,"OK","CHECK"))</f>
        <v/>
      </c>
      <c r="AI423" s="21" t="str">
        <f aca="false">IF(AI422="","",IF(ABS(AI422)&lt;1,"OK","CHECK"))</f>
        <v/>
      </c>
      <c r="AJ423" s="21" t="str">
        <f aca="false">IF(AJ422="","",IF(ABS(AJ422)&lt;1,"OK","CHECK"))</f>
        <v/>
      </c>
      <c r="AK423" s="21" t="str">
        <f aca="false">IF(AK422="","",IF(ABS(AK422)&lt;1,"OK","CHECK"))</f>
        <v/>
      </c>
      <c r="AL423" s="21" t="str">
        <f aca="false">IF(AL422="","",IF(ABS(AL422)&lt;1,"OK","CHECK"))</f>
        <v/>
      </c>
      <c r="AM423" s="21" t="str">
        <f aca="false">IF(AM422="","",IF(ABS(AM422)&lt;1,"OK","CHECK"))</f>
        <v/>
      </c>
      <c r="AN423" s="21" t="str">
        <f aca="false">IF(AN422="","",IF(ABS(AN422)&lt;1,"OK","CHECK"))</f>
        <v/>
      </c>
      <c r="AO423" s="21" t="str">
        <f aca="false">IF(AO422="","",IF(ABS(AO422)&lt;1,"OK","CHECK"))</f>
        <v/>
      </c>
      <c r="AP423" s="21" t="str">
        <f aca="false">IF(AP422="","",IF(ABS(AP422)&lt;1,"OK","CHECK"))</f>
        <v/>
      </c>
      <c r="AQ423" s="21" t="str">
        <f aca="false">IF(AQ422="","",IF(ABS(AQ422)&lt;1,"OK","CHECK"))</f>
        <v/>
      </c>
      <c r="AR423" s="21" t="str">
        <f aca="false">IF(AR422="","",IF(ABS(AR422)&lt;1,"OK","CHECK"))</f>
        <v/>
      </c>
      <c r="AS423" s="21" t="str">
        <f aca="false">IF(AS422="","",IF(ABS(AS422)&lt;1,"OK","CHECK"))</f>
        <v/>
      </c>
      <c r="AT423" s="21" t="str">
        <f aca="false">IF(AT422="","",IF(ABS(AT422)&lt;1,"OK","CHECK"))</f>
        <v/>
      </c>
      <c r="AU423" s="21" t="str">
        <f aca="false">IF(AU422="","",IF(ABS(AU422)&lt;1,"OK","CHECK"))</f>
        <v/>
      </c>
      <c r="AV423" s="21" t="str">
        <f aca="false">IF(AV422="","",IF(ABS(AV422)&lt;1,"OK","CHECK"))</f>
        <v/>
      </c>
      <c r="AW423" s="21" t="str">
        <f aca="false">IF(AW422="","",IF(ABS(AW422)&lt;1,"OK","CHECK"))</f>
        <v/>
      </c>
      <c r="AX423" s="21" t="str">
        <f aca="false">IF(AX422="","",IF(ABS(AX422)&lt;1,"OK","CHECK"))</f>
        <v/>
      </c>
      <c r="AY423" s="21" t="str">
        <f aca="false">IF(AY422="","",IF(ABS(AY422)&lt;1,"OK","CHECK"))</f>
        <v/>
      </c>
      <c r="AZ423" s="21" t="str">
        <f aca="false">IF(AZ422="","",IF(ABS(AZ422)&lt;1,"OK","CHECK"))</f>
        <v/>
      </c>
      <c r="BA423" s="21" t="str">
        <f aca="false">IF(BA422="","",IF(ABS(BA422)&lt;1,"OK","CHECK"))</f>
        <v/>
      </c>
      <c r="BB423" s="21" t="str">
        <f aca="false">IF(BB422="","",IF(ABS(BB422)&lt;1,"OK","CHECK"))</f>
        <v/>
      </c>
      <c r="BC423" s="21" t="str">
        <f aca="false">IF(BC422="","",IF(ABS(BC422)&lt;1,"OK","CHECK"))</f>
        <v/>
      </c>
      <c r="BD423" s="21" t="str">
        <f aca="false">IF(BD422="","",IF(ABS(BD422)&lt;1,"OK","CHECK"))</f>
        <v/>
      </c>
      <c r="BE423" s="21" t="str">
        <f aca="false">IF(BE422="","",IF(ABS(BE422)&lt;1,"OK","CHECK"))</f>
        <v/>
      </c>
      <c r="BF423" s="21" t="str">
        <f aca="false">IF(BF422="","",IF(ABS(BF422)&lt;1,"OK","CHECK"))</f>
        <v/>
      </c>
      <c r="BG423" s="21" t="str">
        <f aca="false">IF(BG422="","",IF(ABS(BG422)&lt;1,"OK","CHECK"))</f>
        <v/>
      </c>
      <c r="BH423" s="21" t="str">
        <f aca="false">IF(BH422="","",IF(ABS(BH422)&lt;1,"OK","CHECK"))</f>
        <v/>
      </c>
      <c r="BI423" s="21" t="str">
        <f aca="false">IF(BI422="","",IF(ABS(BI422)&lt;1,"OK","CHECK"))</f>
        <v/>
      </c>
      <c r="BJ423" s="21" t="str">
        <f aca="false">IF(BJ422="","",IF(ABS(BJ422)&lt;1,"OK","CHECK"))</f>
        <v/>
      </c>
      <c r="BK423" s="21" t="str">
        <f aca="false">IF(BK422="","",IF(ABS(BK422)&lt;1,"OK","CHECK"))</f>
        <v/>
      </c>
      <c r="BL423" s="21" t="str">
        <f aca="false">IF(BL422="","",IF(ABS(BL422)&lt;1,"OK","CHECK"))</f>
        <v/>
      </c>
      <c r="BM423" s="21" t="str">
        <f aca="false">IF(BM422="","",IF(ABS(BM422)&lt;1,"OK","CHECK"))</f>
        <v/>
      </c>
      <c r="BN423" s="21" t="str">
        <f aca="false">IF(BN422="","",IF(ABS(BN422)&lt;1,"OK","CHECK"))</f>
        <v/>
      </c>
      <c r="BO423" s="21" t="str">
        <f aca="false">IF(BO422="","",IF(ABS(BO422)&lt;1,"OK","CHECK"))</f>
        <v/>
      </c>
      <c r="BP423" s="21" t="str">
        <f aca="false">IF(BP422="","",IF(ABS(BP422)&lt;1,"OK","CHECK"))</f>
        <v/>
      </c>
      <c r="BQ423" s="21" t="str">
        <f aca="false">IF(BQ422="","",IF(ABS(BQ422)&lt;1,"OK","CHECK"))</f>
        <v/>
      </c>
      <c r="BR423" s="21" t="str">
        <f aca="false">IF(BR422="","",IF(ABS(BR422)&lt;1,"OK","CHECK"))</f>
        <v/>
      </c>
      <c r="BS423" s="21" t="str">
        <f aca="false">IF(BS422="","",IF(ABS(BS422)&lt;1,"OK","CHECK"))</f>
        <v/>
      </c>
      <c r="BT423" s="21" t="str">
        <f aca="false">IF(BT422="","",IF(ABS(BT422)&lt;1,"OK","CHECK"))</f>
        <v/>
      </c>
      <c r="BU423" s="21" t="str">
        <f aca="false">IF(BU422="","",IF(ABS(BU422)&lt;1,"OK","CHECK"))</f>
        <v/>
      </c>
      <c r="BV423" s="21" t="str">
        <f aca="false">IF(BV422="","",IF(ABS(BV422)&lt;1,"OK","CHECK"))</f>
        <v/>
      </c>
      <c r="BW423" s="21" t="str">
        <f aca="false">IF(BW422="","",IF(ABS(BW422)&lt;1,"OK","CHECK"))</f>
        <v/>
      </c>
      <c r="BX423" s="21" t="str">
        <f aca="false">IF(BX422="","",IF(ABS(BX422)&lt;1,"OK","CHECK"))</f>
        <v/>
      </c>
      <c r="BY423" s="21" t="str">
        <f aca="false">IF(BY422="","",IF(ABS(BY422)&lt;1,"OK","CHECK"))</f>
        <v/>
      </c>
      <c r="BZ423" s="21" t="str">
        <f aca="false">IF(BZ422="","",IF(ABS(BZ422)&lt;1,"OK","CHECK"))</f>
        <v/>
      </c>
      <c r="CA423" s="21" t="str">
        <f aca="false">IF(CA422="","",IF(ABS(CA422)&lt;1,"OK","CHECK"))</f>
        <v/>
      </c>
      <c r="CB423" s="21" t="str">
        <f aca="false">IF(CB422="","",IF(ABS(CB422)&lt;1,"OK","CHECK"))</f>
        <v/>
      </c>
      <c r="CC423" s="21" t="str">
        <f aca="false">IF(CC422="","",IF(ABS(CC422)&lt;1,"OK","CHECK"))</f>
        <v/>
      </c>
      <c r="CD423" s="21" t="str">
        <f aca="false">IF(CD422="","",IF(ABS(CD422)&lt;1,"OK","CHECK"))</f>
        <v/>
      </c>
      <c r="CE423" s="21" t="str">
        <f aca="false">IF(CE422="","",IF(ABS(CE422)&lt;1,"OK","CHECK"))</f>
        <v/>
      </c>
      <c r="CF423" s="21" t="str">
        <f aca="false">IF(CF422="","",IF(ABS(CF422)&lt;1,"OK","CHECK"))</f>
        <v/>
      </c>
      <c r="CG423" s="21" t="str">
        <f aca="false">IF(CG422="","",IF(ABS(CG422)&lt;1,"OK","CHECK"))</f>
        <v/>
      </c>
      <c r="CH423" s="21" t="str">
        <f aca="false">IF(CH422="","",IF(ABS(CH422)&lt;1,"OK","CHECK"))</f>
        <v/>
      </c>
      <c r="CI423" s="21" t="str">
        <f aca="false">IF(CI422="","",IF(ABS(CI422)&lt;1,"OK","CHECK"))</f>
        <v/>
      </c>
      <c r="CJ423" s="21" t="str">
        <f aca="false">IF(CJ422="","",IF(ABS(CJ422)&lt;1,"OK","CHECK"))</f>
        <v/>
      </c>
      <c r="CK423" s="21" t="str">
        <f aca="false">IF(CK422="","",IF(ABS(CK422)&lt;1,"OK","CHECK"))</f>
        <v/>
      </c>
      <c r="CL423" s="21" t="str">
        <f aca="false">IF(CL422="","",IF(ABS(CL422)&lt;1,"OK","CHECK"))</f>
        <v/>
      </c>
      <c r="CM423" s="21" t="str">
        <f aca="false">IF(CM422="","",IF(ABS(CM422)&lt;1,"OK","CHECK"))</f>
        <v/>
      </c>
      <c r="CN423" s="21" t="str">
        <f aca="false">IF(CN422="","",IF(ABS(CN422)&lt;1,"OK","CHECK"))</f>
        <v/>
      </c>
      <c r="CO423" s="21" t="str">
        <f aca="false">IF(CO422="","",IF(ABS(CO422)&lt;1,"OK","CHECK"))</f>
        <v/>
      </c>
      <c r="CP423" s="21" t="str">
        <f aca="false">IF(CP422="","",IF(ABS(CP422)&lt;1,"OK","CHECK"))</f>
        <v/>
      </c>
      <c r="CQ423" s="21" t="str">
        <f aca="false">IF(CQ422="","",IF(ABS(CQ422)&lt;1,"OK","CHECK"))</f>
        <v/>
      </c>
      <c r="CR423" s="21" t="str">
        <f aca="false">IF(CR422="","",IF(ABS(CR422)&lt;1,"OK","CHECK"))</f>
        <v/>
      </c>
      <c r="CS423" s="21" t="str">
        <f aca="false">IF(CS422="","",IF(ABS(CS422)&lt;1,"OK","CHECK"))</f>
        <v/>
      </c>
      <c r="CT423" s="21" t="str">
        <f aca="false">IF(CT422="","",IF(ABS(CT422)&lt;1,"OK","CHECK"))</f>
        <v/>
      </c>
      <c r="CU423" s="21" t="str">
        <f aca="false">IF(CU422="","",IF(ABS(CU422)&lt;1,"OK","CHECK"))</f>
        <v/>
      </c>
      <c r="CV423" s="21" t="str">
        <f aca="false">IF(CV422="","",IF(ABS(CV422)&lt;1,"OK","CHECK"))</f>
        <v/>
      </c>
      <c r="CW423" s="21" t="str">
        <f aca="false">IF(CW422="","",IF(ABS(CW422)&lt;1,"OK","CHECK"))</f>
        <v/>
      </c>
      <c r="CX423" s="21" t="str">
        <f aca="false">IF(CX422="","",IF(ABS(CX422)&lt;1,"OK","CHECK"))</f>
        <v/>
      </c>
      <c r="CY423" s="21" t="str">
        <f aca="false">IF(CY422="","",IF(ABS(CY422)&lt;1,"OK","CHECK"))</f>
        <v/>
      </c>
      <c r="CZ423" s="21" t="str">
        <f aca="false">IF(CZ422="","",IF(ABS(CZ422)&lt;1,"OK","CHECK"))</f>
        <v/>
      </c>
      <c r="DA423" s="21" t="str">
        <f aca="false">IF(DA422="","",IF(ABS(DA422)&lt;1,"OK","CHECK"))</f>
        <v/>
      </c>
      <c r="DB423" s="21" t="str">
        <f aca="false">IF(DB422="","",IF(ABS(DB422)&lt;1,"OK","CHECK"))</f>
        <v/>
      </c>
      <c r="DC423" s="21" t="str">
        <f aca="false">IF(DC422="","",IF(ABS(DC422)&lt;1,"OK","CHECK"))</f>
        <v/>
      </c>
      <c r="DD423" s="21" t="str">
        <f aca="false">IF(DD422="","",IF(ABS(DD422)&lt;1,"OK","CHECK"))</f>
        <v/>
      </c>
      <c r="DE423" s="21" t="str">
        <f aca="false">IF(DE422="","",IF(ABS(DE422)&lt;1,"OK","CHECK"))</f>
        <v/>
      </c>
    </row>
    <row r="424" customFormat="false" ht="15" hidden="false" customHeight="true" outlineLevel="0" collapsed="false">
      <c r="A424" s="22" t="s">
        <v>226</v>
      </c>
      <c r="B424" s="13"/>
      <c r="C424" s="13"/>
      <c r="D424" s="13"/>
      <c r="E424" s="13"/>
      <c r="F424" s="13"/>
      <c r="G424" s="13"/>
      <c r="H424" s="73" t="n">
        <v>912018</v>
      </c>
      <c r="I424" s="73" t="n">
        <v>2649471</v>
      </c>
      <c r="J424" s="13" t="n">
        <v>1626284</v>
      </c>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row>
    <row r="425" customFormat="false" ht="15" hidden="false" customHeight="true" outlineLevel="0" collapsed="false">
      <c r="A425" s="22" t="s">
        <v>227</v>
      </c>
      <c r="B425" s="13" t="str">
        <f aca="false">IF(OR(B420="",B424=""),"",B424-B420)</f>
        <v/>
      </c>
      <c r="C425" s="13" t="str">
        <f aca="false">IF(OR(C420="",C424=""),"",C424-C420)</f>
        <v/>
      </c>
      <c r="D425" s="13" t="str">
        <f aca="false">IF(OR(D420="",D424=""),"",D424-D420)</f>
        <v/>
      </c>
      <c r="E425" s="13" t="str">
        <f aca="false">IF(OR(E420="",E424=""),"",E424-E420)</f>
        <v/>
      </c>
      <c r="F425" s="13" t="str">
        <f aca="false">IF(OR(F420="",F424=""),"",F424-F420)</f>
        <v/>
      </c>
      <c r="G425" s="13" t="str">
        <f aca="false">IF(OR(G420="",G424=""),"",G424-G420)</f>
        <v/>
      </c>
      <c r="H425" s="13" t="n">
        <f aca="false">IF(OR(H420="",H424=""),"",H424-H420)</f>
        <v>506455</v>
      </c>
      <c r="I425" s="13" t="n">
        <f aca="false">IF(OR(I420="",I424=""),"",I424-I420)</f>
        <v>704175</v>
      </c>
      <c r="J425" s="13" t="str">
        <f aca="false">IF(OR(J420="",J424=""),"",J424-J420)</f>
        <v/>
      </c>
      <c r="K425" s="13" t="str">
        <f aca="false">IF(OR(K420="",K424=""),"",K424-K420)</f>
        <v/>
      </c>
      <c r="L425" s="13" t="str">
        <f aca="false">IF(OR(L420="",L424=""),"",L424-L420)</f>
        <v/>
      </c>
      <c r="M425" s="13" t="str">
        <f aca="false">IF(OR(M420="",M424=""),"",M424-M420)</f>
        <v/>
      </c>
      <c r="N425" s="13" t="str">
        <f aca="false">IF(OR(N420="",N424=""),"",N424-N420)</f>
        <v/>
      </c>
      <c r="O425" s="13" t="str">
        <f aca="false">IF(OR(O420="",O424=""),"",O424-O420)</f>
        <v/>
      </c>
      <c r="P425" s="13" t="str">
        <f aca="false">IF(OR(P420="",P424=""),"",P424-P420)</f>
        <v/>
      </c>
      <c r="Q425" s="13" t="str">
        <f aca="false">IF(OR(Q420="",Q424=""),"",Q424-Q420)</f>
        <v/>
      </c>
      <c r="R425" s="13" t="str">
        <f aca="false">IF(OR(R420="",R424=""),"",R424-R420)</f>
        <v/>
      </c>
      <c r="S425" s="13" t="str">
        <f aca="false">IF(OR(S420="",S424=""),"",S424-S420)</f>
        <v/>
      </c>
      <c r="T425" s="13" t="str">
        <f aca="false">IF(OR(T420="",T424=""),"",T424-T420)</f>
        <v/>
      </c>
      <c r="U425" s="13" t="str">
        <f aca="false">IF(OR(U420="",U424=""),"",U424-U420)</f>
        <v/>
      </c>
      <c r="V425" s="13" t="str">
        <f aca="false">IF(OR(V420="",V424=""),"",V424-V420)</f>
        <v/>
      </c>
      <c r="W425" s="13" t="str">
        <f aca="false">IF(OR(W420="",W424=""),"",W424-W420)</f>
        <v/>
      </c>
      <c r="X425" s="13" t="str">
        <f aca="false">IF(OR(X420="",X424=""),"",X424-X420)</f>
        <v/>
      </c>
      <c r="Y425" s="13" t="str">
        <f aca="false">IF(OR(Y420="",Y424=""),"",Y424-Y420)</f>
        <v/>
      </c>
      <c r="Z425" s="13" t="str">
        <f aca="false">IF(OR(Z420="",Z424=""),"",Z424-Z420)</f>
        <v/>
      </c>
      <c r="AA425" s="13" t="str">
        <f aca="false">IF(OR(AA420="",AA424=""),"",AA424-AA420)</f>
        <v/>
      </c>
      <c r="AB425" s="13" t="str">
        <f aca="false">IF(OR(AB420="",AB424=""),"",AB424-AB420)</f>
        <v/>
      </c>
      <c r="AC425" s="13" t="str">
        <f aca="false">IF(OR(AC420="",AC424=""),"",AC424-AC420)</f>
        <v/>
      </c>
      <c r="AD425" s="13" t="str">
        <f aca="false">IF(OR(AD420="",AD424=""),"",AD424-AD420)</f>
        <v/>
      </c>
      <c r="AE425" s="13" t="str">
        <f aca="false">IF(OR(AE420="",AE424=""),"",AE424-AE420)</f>
        <v/>
      </c>
      <c r="AF425" s="13" t="str">
        <f aca="false">IF(OR(AF420="",AF424=""),"",AF424-AF420)</f>
        <v/>
      </c>
      <c r="AG425" s="13" t="str">
        <f aca="false">IF(OR(AG420="",AG424=""),"",AG424-AG420)</f>
        <v/>
      </c>
      <c r="AH425" s="13" t="str">
        <f aca="false">IF(OR(AH420="",AH424=""),"",AH424-AH420)</f>
        <v/>
      </c>
      <c r="AI425" s="13" t="str">
        <f aca="false">IF(OR(AI420="",AI424=""),"",AI424-AI420)</f>
        <v/>
      </c>
      <c r="AJ425" s="13" t="str">
        <f aca="false">IF(OR(AJ420="",AJ424=""),"",AJ424-AJ420)</f>
        <v/>
      </c>
      <c r="AK425" s="13" t="str">
        <f aca="false">IF(OR(AK420="",AK424=""),"",AK424-AK420)</f>
        <v/>
      </c>
      <c r="AL425" s="13" t="str">
        <f aca="false">IF(OR(AL420="",AL424=""),"",AL424-AL420)</f>
        <v/>
      </c>
      <c r="AM425" s="13" t="str">
        <f aca="false">IF(OR(AM420="",AM424=""),"",AM424-AM420)</f>
        <v/>
      </c>
      <c r="AN425" s="13" t="str">
        <f aca="false">IF(OR(AN420="",AN424=""),"",AN424-AN420)</f>
        <v/>
      </c>
      <c r="AO425" s="13" t="str">
        <f aca="false">IF(OR(AO420="",AO424=""),"",AO424-AO420)</f>
        <v/>
      </c>
      <c r="AP425" s="13" t="str">
        <f aca="false">IF(OR(AP420="",AP424=""),"",AP424-AP420)</f>
        <v/>
      </c>
      <c r="AQ425" s="13" t="str">
        <f aca="false">IF(OR(AQ420="",AQ424=""),"",AQ424-AQ420)</f>
        <v/>
      </c>
      <c r="AR425" s="13" t="str">
        <f aca="false">IF(OR(AR420="",AR424=""),"",AR424-AR420)</f>
        <v/>
      </c>
      <c r="AS425" s="13" t="str">
        <f aca="false">IF(OR(AS420="",AS424=""),"",AS424-AS420)</f>
        <v/>
      </c>
      <c r="AT425" s="13" t="str">
        <f aca="false">IF(OR(AT420="",AT424=""),"",AT424-AT420)</f>
        <v/>
      </c>
      <c r="AU425" s="13" t="str">
        <f aca="false">IF(OR(AU420="",AU424=""),"",AU424-AU420)</f>
        <v/>
      </c>
      <c r="AV425" s="13" t="str">
        <f aca="false">IF(OR(AV420="",AV424=""),"",AV424-AV420)</f>
        <v/>
      </c>
      <c r="AW425" s="13" t="str">
        <f aca="false">IF(OR(AW420="",AW424=""),"",AW424-AW420)</f>
        <v/>
      </c>
      <c r="AX425" s="13" t="str">
        <f aca="false">IF(OR(AX420="",AX424=""),"",AX424-AX420)</f>
        <v/>
      </c>
      <c r="AY425" s="13" t="str">
        <f aca="false">IF(OR(AY420="",AY424=""),"",AY424-AY420)</f>
        <v/>
      </c>
      <c r="AZ425" s="13" t="str">
        <f aca="false">IF(OR(AZ420="",AZ424=""),"",AZ424-AZ420)</f>
        <v/>
      </c>
      <c r="BA425" s="13" t="str">
        <f aca="false">IF(OR(BA420="",BA424=""),"",BA424-BA420)</f>
        <v/>
      </c>
      <c r="BB425" s="13" t="str">
        <f aca="false">IF(OR(BB420="",BB424=""),"",BB424-BB420)</f>
        <v/>
      </c>
      <c r="BC425" s="13" t="str">
        <f aca="false">IF(OR(BC420="",BC424=""),"",BC424-BC420)</f>
        <v/>
      </c>
      <c r="BD425" s="13" t="str">
        <f aca="false">IF(OR(BD420="",BD424=""),"",BD424-BD420)</f>
        <v/>
      </c>
      <c r="BE425" s="13" t="str">
        <f aca="false">IF(OR(BE420="",BE424=""),"",BE424-BE420)</f>
        <v/>
      </c>
      <c r="BF425" s="13" t="str">
        <f aca="false">IF(OR(BF420="",BF424=""),"",BF424-BF420)</f>
        <v/>
      </c>
      <c r="BG425" s="13" t="str">
        <f aca="false">IF(OR(BG420="",BG424=""),"",BG424-BG420)</f>
        <v/>
      </c>
      <c r="BH425" s="13" t="str">
        <f aca="false">IF(OR(BH420="",BH424=""),"",BH424-BH420)</f>
        <v/>
      </c>
      <c r="BI425" s="13" t="str">
        <f aca="false">IF(OR(BI420="",BI424=""),"",BI424-BI420)</f>
        <v/>
      </c>
      <c r="BJ425" s="13" t="str">
        <f aca="false">IF(OR(BJ420="",BJ424=""),"",BJ424-BJ420)</f>
        <v/>
      </c>
      <c r="BK425" s="13" t="str">
        <f aca="false">IF(OR(BK420="",BK424=""),"",BK424-BK420)</f>
        <v/>
      </c>
      <c r="BL425" s="13" t="str">
        <f aca="false">IF(OR(BL420="",BL424=""),"",BL424-BL420)</f>
        <v/>
      </c>
      <c r="BM425" s="13" t="str">
        <f aca="false">IF(OR(BM420="",BM424=""),"",BM424-BM420)</f>
        <v/>
      </c>
      <c r="BN425" s="13" t="str">
        <f aca="false">IF(OR(BN420="",BN424=""),"",BN424-BN420)</f>
        <v/>
      </c>
      <c r="BO425" s="13" t="str">
        <f aca="false">IF(OR(BO420="",BO424=""),"",BO424-BO420)</f>
        <v/>
      </c>
      <c r="BP425" s="13" t="str">
        <f aca="false">IF(OR(BP420="",BP424=""),"",BP424-BP420)</f>
        <v/>
      </c>
      <c r="BQ425" s="13" t="str">
        <f aca="false">IF(OR(BQ420="",BQ424=""),"",BQ424-BQ420)</f>
        <v/>
      </c>
      <c r="BR425" s="13" t="str">
        <f aca="false">IF(OR(BR420="",BR424=""),"",BR424-BR420)</f>
        <v/>
      </c>
      <c r="BS425" s="13" t="str">
        <f aca="false">IF(OR(BS420="",BS424=""),"",BS424-BS420)</f>
        <v/>
      </c>
      <c r="BT425" s="13" t="str">
        <f aca="false">IF(OR(BT420="",BT424=""),"",BT424-BT420)</f>
        <v/>
      </c>
      <c r="BU425" s="13" t="str">
        <f aca="false">IF(OR(BU420="",BU424=""),"",BU424-BU420)</f>
        <v/>
      </c>
      <c r="BV425" s="13" t="str">
        <f aca="false">IF(OR(BV420="",BV424=""),"",BV424-BV420)</f>
        <v/>
      </c>
      <c r="BW425" s="13" t="str">
        <f aca="false">IF(OR(BW420="",BW424=""),"",BW424-BW420)</f>
        <v/>
      </c>
      <c r="BX425" s="13" t="str">
        <f aca="false">IF(OR(BX420="",BX424=""),"",BX424-BX420)</f>
        <v/>
      </c>
      <c r="BY425" s="13" t="str">
        <f aca="false">IF(OR(BY420="",BY424=""),"",BY424-BY420)</f>
        <v/>
      </c>
      <c r="BZ425" s="13" t="str">
        <f aca="false">IF(OR(BZ420="",BZ424=""),"",BZ424-BZ420)</f>
        <v/>
      </c>
      <c r="CA425" s="13" t="str">
        <f aca="false">IF(OR(CA420="",CA424=""),"",CA424-CA420)</f>
        <v/>
      </c>
      <c r="CB425" s="13" t="str">
        <f aca="false">IF(OR(CB420="",CB424=""),"",CB424-CB420)</f>
        <v/>
      </c>
      <c r="CC425" s="13" t="str">
        <f aca="false">IF(OR(CC420="",CC424=""),"",CC424-CC420)</f>
        <v/>
      </c>
      <c r="CD425" s="13" t="str">
        <f aca="false">IF(OR(CD420="",CD424=""),"",CD424-CD420)</f>
        <v/>
      </c>
      <c r="CE425" s="13" t="str">
        <f aca="false">IF(OR(CE420="",CE424=""),"",CE424-CE420)</f>
        <v/>
      </c>
      <c r="CF425" s="13" t="str">
        <f aca="false">IF(OR(CF420="",CF424=""),"",CF424-CF420)</f>
        <v/>
      </c>
      <c r="CG425" s="13" t="str">
        <f aca="false">IF(OR(CG420="",CG424=""),"",CG424-CG420)</f>
        <v/>
      </c>
      <c r="CH425" s="13" t="str">
        <f aca="false">IF(OR(CH420="",CH424=""),"",CH424-CH420)</f>
        <v/>
      </c>
      <c r="CI425" s="13" t="str">
        <f aca="false">IF(OR(CI420="",CI424=""),"",CI424-CI420)</f>
        <v/>
      </c>
      <c r="CJ425" s="13" t="str">
        <f aca="false">IF(OR(CJ420="",CJ424=""),"",CJ424-CJ420)</f>
        <v/>
      </c>
      <c r="CK425" s="13" t="str">
        <f aca="false">IF(OR(CK420="",CK424=""),"",CK424-CK420)</f>
        <v/>
      </c>
      <c r="CL425" s="13" t="str">
        <f aca="false">IF(OR(CL420="",CL424=""),"",CL424-CL420)</f>
        <v/>
      </c>
      <c r="CM425" s="13" t="str">
        <f aca="false">IF(OR(CM420="",CM424=""),"",CM424-CM420)</f>
        <v/>
      </c>
      <c r="CN425" s="13" t="str">
        <f aca="false">IF(OR(CN420="",CN424=""),"",CN424-CN420)</f>
        <v/>
      </c>
      <c r="CO425" s="13" t="str">
        <f aca="false">IF(OR(CO420="",CO424=""),"",CO424-CO420)</f>
        <v/>
      </c>
      <c r="CP425" s="13" t="str">
        <f aca="false">IF(OR(CP420="",CP424=""),"",CP424-CP420)</f>
        <v/>
      </c>
      <c r="CQ425" s="13" t="str">
        <f aca="false">IF(OR(CQ420="",CQ424=""),"",CQ424-CQ420)</f>
        <v/>
      </c>
      <c r="CR425" s="13" t="str">
        <f aca="false">IF(OR(CR420="",CR424=""),"",CR424-CR420)</f>
        <v/>
      </c>
      <c r="CS425" s="13" t="str">
        <f aca="false">IF(OR(CS420="",CS424=""),"",CS424-CS420)</f>
        <v/>
      </c>
      <c r="CT425" s="13" t="str">
        <f aca="false">IF(OR(CT420="",CT424=""),"",CT424-CT420)</f>
        <v/>
      </c>
      <c r="CU425" s="13" t="str">
        <f aca="false">IF(OR(CU420="",CU424=""),"",CU424-CU420)</f>
        <v/>
      </c>
      <c r="CV425" s="13" t="str">
        <f aca="false">IF(OR(CV420="",CV424=""),"",CV424-CV420)</f>
        <v/>
      </c>
      <c r="CW425" s="13" t="str">
        <f aca="false">IF(OR(CW420="",CW424=""),"",CW424-CW420)</f>
        <v/>
      </c>
      <c r="CX425" s="13" t="str">
        <f aca="false">IF(OR(CX420="",CX424=""),"",CX424-CX420)</f>
        <v/>
      </c>
      <c r="CY425" s="13" t="str">
        <f aca="false">IF(OR(CY420="",CY424=""),"",CY424-CY420)</f>
        <v/>
      </c>
      <c r="CZ425" s="13" t="str">
        <f aca="false">IF(OR(CZ420="",CZ424=""),"",CZ424-CZ420)</f>
        <v/>
      </c>
      <c r="DA425" s="13" t="str">
        <f aca="false">IF(OR(DA420="",DA424=""),"",DA424-DA420)</f>
        <v/>
      </c>
      <c r="DB425" s="13" t="str">
        <f aca="false">IF(OR(DB420="",DB424=""),"",DB424-DB420)</f>
        <v/>
      </c>
      <c r="DC425" s="13" t="str">
        <f aca="false">IF(OR(DC420="",DC424=""),"",DC424-DC420)</f>
        <v/>
      </c>
      <c r="DD425" s="13" t="str">
        <f aca="false">IF(OR(DD420="",DD424=""),"",DD424-DD420)</f>
        <v/>
      </c>
      <c r="DE425" s="13" t="str">
        <f aca="false">IF(OR(DE420="",DE424=""),"",DE424-DE420)</f>
        <v/>
      </c>
    </row>
    <row r="427" customFormat="false" ht="15" hidden="false" customHeight="true" outlineLevel="0" collapsed="false">
      <c r="A427" s="23" t="s">
        <v>230</v>
      </c>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row>
    <row r="428" customFormat="false" ht="15" hidden="false" customHeight="true" outlineLevel="0" collapsed="false">
      <c r="A428" s="70" t="s">
        <v>231</v>
      </c>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row>
    <row r="429" customFormat="false" ht="15" hidden="false" customHeight="true" outlineLevel="0" collapsed="false">
      <c r="A429" s="22" t="s">
        <v>232</v>
      </c>
      <c r="B429" s="73" t="n">
        <v>489587</v>
      </c>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row>
    <row r="430" customFormat="false" ht="15" hidden="false" customHeight="true" outlineLevel="0" collapsed="false">
      <c r="A430" s="22" t="s">
        <v>233</v>
      </c>
      <c r="B430" s="73" t="n">
        <v>3526180</v>
      </c>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row>
    <row r="431" customFormat="false" ht="15" hidden="false" customHeight="true" outlineLevel="0" collapsed="false">
      <c r="A431" s="22" t="s">
        <v>234</v>
      </c>
      <c r="B431" s="73" t="n">
        <v>4378580</v>
      </c>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5" hidden="false" customHeight="true" outlineLevel="0" collapsed="false">
      <c r="A432" s="22" t="s">
        <v>235</v>
      </c>
      <c r="B432" s="73" t="n">
        <v>146586</v>
      </c>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row>
    <row r="433" customFormat="false" ht="15" hidden="false" customHeight="true" outlineLevel="0" collapsed="false">
      <c r="A433" s="22" t="s">
        <v>236</v>
      </c>
      <c r="B433" s="73" t="n">
        <v>1237504</v>
      </c>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row>
    <row r="434" customFormat="false" ht="15" hidden="false" customHeight="true" outlineLevel="0" collapsed="false">
      <c r="A434" s="22" t="s">
        <v>237</v>
      </c>
      <c r="B434" s="73" t="n">
        <v>2347037</v>
      </c>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5" hidden="false" customHeight="true" outlineLevel="0" collapsed="false">
      <c r="A435" s="22" t="s">
        <v>238</v>
      </c>
      <c r="B435" s="73" t="n">
        <v>299000</v>
      </c>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7" customFormat="false" ht="15" hidden="false" customHeight="true" outlineLevel="0" collapsed="false">
      <c r="A437" s="70" t="s">
        <v>239</v>
      </c>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5" hidden="false" customHeight="true" outlineLevel="0" collapsed="false">
      <c r="A438" s="22" t="s">
        <v>240</v>
      </c>
      <c r="B438" s="73" t="n">
        <v>2921863</v>
      </c>
      <c r="C438" s="73" t="n">
        <v>3816651</v>
      </c>
      <c r="D438" s="73" t="n">
        <v>3367521</v>
      </c>
      <c r="E438" s="73" t="n">
        <v>4913957</v>
      </c>
      <c r="F438" s="73" t="n">
        <v>5548038</v>
      </c>
      <c r="G438" s="73" t="n">
        <v>8605828</v>
      </c>
      <c r="H438" s="73" t="n">
        <v>9463439</v>
      </c>
      <c r="I438" s="13" t="n">
        <v>8872832</v>
      </c>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5" hidden="false" customHeight="true" outlineLevel="0" collapsed="false">
      <c r="A439" s="22" t="s">
        <v>241</v>
      </c>
      <c r="B439" s="73" t="n">
        <v>417159</v>
      </c>
      <c r="C439" s="73" t="n">
        <v>552746</v>
      </c>
      <c r="D439" s="73" t="n">
        <v>682719</v>
      </c>
      <c r="E439" s="73" t="n">
        <v>863823</v>
      </c>
      <c r="F439" s="73" t="n">
        <v>1075205</v>
      </c>
      <c r="G439" s="73" t="n">
        <v>1343596</v>
      </c>
      <c r="H439" s="73" t="n">
        <v>1609222</v>
      </c>
      <c r="I439" s="13" t="n">
        <v>1872897</v>
      </c>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5" hidden="false" customHeight="true" outlineLevel="0" collapsed="false">
      <c r="A440" s="22" t="s">
        <v>242</v>
      </c>
      <c r="B440" s="73" t="n">
        <v>0</v>
      </c>
      <c r="C440" s="73" t="n">
        <v>0</v>
      </c>
      <c r="D440" s="73" t="n">
        <v>0</v>
      </c>
      <c r="E440" s="73" t="n">
        <v>0</v>
      </c>
      <c r="F440" s="73" t="n">
        <v>0</v>
      </c>
      <c r="G440" s="73" t="n">
        <v>0</v>
      </c>
      <c r="H440" s="73" t="n">
        <v>96097</v>
      </c>
      <c r="I440" s="13" t="n">
        <v>0</v>
      </c>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5" hidden="false" customHeight="true" outlineLevel="0" collapsed="false">
      <c r="A441" s="22" t="s">
        <v>243</v>
      </c>
      <c r="B441" s="73" t="n">
        <v>4052636</v>
      </c>
      <c r="C441" s="73" t="n">
        <v>4295889</v>
      </c>
      <c r="D441" s="73" t="n">
        <v>4394933</v>
      </c>
      <c r="E441" s="73" t="n">
        <v>5359073</v>
      </c>
      <c r="F441" s="73" t="n">
        <v>6161063</v>
      </c>
      <c r="G441" s="73" t="n">
        <v>8892451</v>
      </c>
      <c r="H441" s="73" t="n">
        <v>8434511</v>
      </c>
      <c r="I441" s="13" t="n">
        <v>8606048</v>
      </c>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5" hidden="false" customHeight="true" outlineLevel="0" collapsed="false">
      <c r="A442" s="22" t="s">
        <v>244</v>
      </c>
      <c r="B442" s="73" t="n">
        <v>246844</v>
      </c>
      <c r="C442" s="73" t="n">
        <v>362001</v>
      </c>
      <c r="D442" s="73" t="n">
        <v>458628</v>
      </c>
      <c r="E442" s="73" t="n">
        <v>625437</v>
      </c>
      <c r="F442" s="73" t="n">
        <v>812294</v>
      </c>
      <c r="G442" s="73" t="n">
        <v>1055651</v>
      </c>
      <c r="H442" s="73" t="n">
        <v>1280305</v>
      </c>
      <c r="I442" s="13" t="n">
        <v>1515221</v>
      </c>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5" hidden="false" customHeight="true" outlineLevel="0" collapsed="false">
      <c r="A445" s="22" t="s">
        <v>246</v>
      </c>
      <c r="B445" s="13" t="n">
        <f aca="false">IF(B390="","",$B$429)</f>
        <v>489587</v>
      </c>
      <c r="C445" s="13" t="n">
        <f aca="false">IF(C390="","",B390)</f>
        <v>680024</v>
      </c>
      <c r="D445" s="13" t="n">
        <f aca="false">IF(D390="","",C390)</f>
        <v>115848</v>
      </c>
      <c r="E445" s="13" t="n">
        <f aca="false">IF(E390="","",D390)</f>
        <v>633520</v>
      </c>
      <c r="F445" s="13" t="n">
        <f aca="false">IF(F390="","",E390)</f>
        <v>394004</v>
      </c>
      <c r="G445" s="13" t="n">
        <f aca="false">IF(G390="","",F390)</f>
        <v>501967</v>
      </c>
      <c r="H445" s="13" t="n">
        <f aca="false">IF(H390="","",G390)</f>
        <v>306139</v>
      </c>
      <c r="I445" s="13" t="n">
        <f aca="false">IF(I390="","",H390)</f>
        <v>283340</v>
      </c>
      <c r="J445" s="13" t="str">
        <f aca="false">IF(J390="","",I390)</f>
        <v/>
      </c>
      <c r="K445" s="13" t="str">
        <f aca="false">IF(K390="","",J390)</f>
        <v/>
      </c>
      <c r="L445" s="13" t="str">
        <f aca="false">IF(L390="","",K390)</f>
        <v/>
      </c>
      <c r="M445" s="13" t="str">
        <f aca="false">IF(M390="","",L390)</f>
        <v/>
      </c>
      <c r="N445" s="13" t="str">
        <f aca="false">IF(N390="","",M390)</f>
        <v/>
      </c>
      <c r="O445" s="13" t="str">
        <f aca="false">IF(O390="","",N390)</f>
        <v/>
      </c>
      <c r="P445" s="13" t="str">
        <f aca="false">IF(P390="","",O390)</f>
        <v/>
      </c>
      <c r="Q445" s="13" t="str">
        <f aca="false">IF(Q390="","",P390)</f>
        <v/>
      </c>
      <c r="R445" s="13" t="str">
        <f aca="false">IF(R390="","",Q390)</f>
        <v/>
      </c>
      <c r="S445" s="13" t="str">
        <f aca="false">IF(S390="","",R390)</f>
        <v/>
      </c>
      <c r="T445" s="13" t="str">
        <f aca="false">IF(T390="","",S390)</f>
        <v/>
      </c>
      <c r="U445" s="13" t="str">
        <f aca="false">IF(U390="","",T390)</f>
        <v/>
      </c>
      <c r="V445" s="13" t="str">
        <f aca="false">IF(V390="","",U390)</f>
        <v/>
      </c>
      <c r="W445" s="13" t="str">
        <f aca="false">IF(W390="","",V390)</f>
        <v/>
      </c>
      <c r="X445" s="13" t="str">
        <f aca="false">IF(X390="","",W390)</f>
        <v/>
      </c>
      <c r="Y445" s="13" t="str">
        <f aca="false">IF(Y390="","",X390)</f>
        <v/>
      </c>
      <c r="Z445" s="13" t="str">
        <f aca="false">IF(Z390="","",Y390)</f>
        <v/>
      </c>
      <c r="AA445" s="13" t="str">
        <f aca="false">IF(AA390="","",Z390)</f>
        <v/>
      </c>
      <c r="AB445" s="13" t="str">
        <f aca="false">IF(AB390="","",AA390)</f>
        <v/>
      </c>
      <c r="AC445" s="13" t="str">
        <f aca="false">IF(AC390="","",AB390)</f>
        <v/>
      </c>
      <c r="AD445" s="13" t="str">
        <f aca="false">IF(AD390="","",AC390)</f>
        <v/>
      </c>
      <c r="AE445" s="13" t="str">
        <f aca="false">IF(AE390="","",AD390)</f>
        <v/>
      </c>
      <c r="AF445" s="13" t="str">
        <f aca="false">IF(AF390="","",AE390)</f>
        <v/>
      </c>
      <c r="AG445" s="13" t="str">
        <f aca="false">IF(AG390="","",AF390)</f>
        <v/>
      </c>
      <c r="AH445" s="13" t="str">
        <f aca="false">IF(AH390="","",AG390)</f>
        <v/>
      </c>
      <c r="AI445" s="13" t="str">
        <f aca="false">IF(AI390="","",AH390)</f>
        <v/>
      </c>
      <c r="AJ445" s="13" t="str">
        <f aca="false">IF(AJ390="","",AI390)</f>
        <v/>
      </c>
      <c r="AK445" s="13" t="str">
        <f aca="false">IF(AK390="","",AJ390)</f>
        <v/>
      </c>
      <c r="AL445" s="13" t="str">
        <f aca="false">IF(AL390="","",AK390)</f>
        <v/>
      </c>
      <c r="AM445" s="13" t="str">
        <f aca="false">IF(AM390="","",AL390)</f>
        <v/>
      </c>
      <c r="AN445" s="13" t="str">
        <f aca="false">IF(AN390="","",AM390)</f>
        <v/>
      </c>
      <c r="AO445" s="13" t="str">
        <f aca="false">IF(AO390="","",AN390)</f>
        <v/>
      </c>
      <c r="AP445" s="13" t="str">
        <f aca="false">IF(AP390="","",AO390)</f>
        <v/>
      </c>
      <c r="AQ445" s="13" t="str">
        <f aca="false">IF(AQ390="","",AP390)</f>
        <v/>
      </c>
      <c r="AR445" s="13" t="str">
        <f aca="false">IF(AR390="","",AQ390)</f>
        <v/>
      </c>
      <c r="AS445" s="13" t="str">
        <f aca="false">IF(AS390="","",AR390)</f>
        <v/>
      </c>
      <c r="AT445" s="13" t="str">
        <f aca="false">IF(AT390="","",AS390)</f>
        <v/>
      </c>
      <c r="AU445" s="13" t="str">
        <f aca="false">IF(AU390="","",AT390)</f>
        <v/>
      </c>
      <c r="AV445" s="13" t="str">
        <f aca="false">IF(AV390="","",AU390)</f>
        <v/>
      </c>
      <c r="AW445" s="13" t="str">
        <f aca="false">IF(AW390="","",AV390)</f>
        <v/>
      </c>
      <c r="AX445" s="13" t="str">
        <f aca="false">IF(AX390="","",AW390)</f>
        <v/>
      </c>
      <c r="AY445" s="13" t="str">
        <f aca="false">IF(AY390="","",AX390)</f>
        <v/>
      </c>
      <c r="AZ445" s="13" t="str">
        <f aca="false">IF(AZ390="","",AY390)</f>
        <v/>
      </c>
      <c r="BA445" s="13" t="str">
        <f aca="false">IF(BA390="","",AZ390)</f>
        <v/>
      </c>
      <c r="BB445" s="13" t="str">
        <f aca="false">IF(BB390="","",BA390)</f>
        <v/>
      </c>
      <c r="BC445" s="13" t="str">
        <f aca="false">IF(BC390="","",BB390)</f>
        <v/>
      </c>
      <c r="BD445" s="13" t="str">
        <f aca="false">IF(BD390="","",BC390)</f>
        <v/>
      </c>
      <c r="BE445" s="13" t="str">
        <f aca="false">IF(BE390="","",BD390)</f>
        <v/>
      </c>
      <c r="BF445" s="13" t="str">
        <f aca="false">IF(BF390="","",BE390)</f>
        <v/>
      </c>
      <c r="BG445" s="13" t="str">
        <f aca="false">IF(BG390="","",BF390)</f>
        <v/>
      </c>
      <c r="BH445" s="13" t="str">
        <f aca="false">IF(BH390="","",BG390)</f>
        <v/>
      </c>
      <c r="BI445" s="13" t="str">
        <f aca="false">IF(BI390="","",BH390)</f>
        <v/>
      </c>
      <c r="BJ445" s="13" t="str">
        <f aca="false">IF(BJ390="","",BI390)</f>
        <v/>
      </c>
      <c r="BK445" s="13" t="str">
        <f aca="false">IF(BK390="","",BJ390)</f>
        <v/>
      </c>
      <c r="BL445" s="13" t="str">
        <f aca="false">IF(BL390="","",BK390)</f>
        <v/>
      </c>
      <c r="BM445" s="13" t="str">
        <f aca="false">IF(BM390="","",BL390)</f>
        <v/>
      </c>
      <c r="BN445" s="13" t="str">
        <f aca="false">IF(BN390="","",BM390)</f>
        <v/>
      </c>
      <c r="BO445" s="13" t="str">
        <f aca="false">IF(BO390="","",BN390)</f>
        <v/>
      </c>
      <c r="BP445" s="13" t="str">
        <f aca="false">IF(BP390="","",BO390)</f>
        <v/>
      </c>
      <c r="BQ445" s="13" t="str">
        <f aca="false">IF(BQ390="","",BP390)</f>
        <v/>
      </c>
      <c r="BR445" s="13" t="str">
        <f aca="false">IF(BR390="","",BQ390)</f>
        <v/>
      </c>
      <c r="BS445" s="13" t="str">
        <f aca="false">IF(BS390="","",BR390)</f>
        <v/>
      </c>
      <c r="BT445" s="13" t="str">
        <f aca="false">IF(BT390="","",BS390)</f>
        <v/>
      </c>
      <c r="BU445" s="13" t="str">
        <f aca="false">IF(BU390="","",BT390)</f>
        <v/>
      </c>
      <c r="BV445" s="13" t="str">
        <f aca="false">IF(BV390="","",BU390)</f>
        <v/>
      </c>
      <c r="BW445" s="13" t="str">
        <f aca="false">IF(BW390="","",BV390)</f>
        <v/>
      </c>
      <c r="BX445" s="13" t="str">
        <f aca="false">IF(BX390="","",BW390)</f>
        <v/>
      </c>
      <c r="BY445" s="13" t="str">
        <f aca="false">IF(BY390="","",BX390)</f>
        <v/>
      </c>
      <c r="BZ445" s="13" t="str">
        <f aca="false">IF(BZ390="","",BY390)</f>
        <v/>
      </c>
      <c r="CA445" s="13" t="str">
        <f aca="false">IF(CA390="","",BZ390)</f>
        <v/>
      </c>
      <c r="CB445" s="13" t="str">
        <f aca="false">IF(CB390="","",CA390)</f>
        <v/>
      </c>
      <c r="CC445" s="13" t="str">
        <f aca="false">IF(CC390="","",CB390)</f>
        <v/>
      </c>
      <c r="CD445" s="13" t="str">
        <f aca="false">IF(CD390="","",CC390)</f>
        <v/>
      </c>
      <c r="CE445" s="13" t="str">
        <f aca="false">IF(CE390="","",CD390)</f>
        <v/>
      </c>
      <c r="CF445" s="13" t="str">
        <f aca="false">IF(CF390="","",CE390)</f>
        <v/>
      </c>
      <c r="CG445" s="13" t="str">
        <f aca="false">IF(CG390="","",CF390)</f>
        <v/>
      </c>
      <c r="CH445" s="13" t="str">
        <f aca="false">IF(CH390="","",CG390)</f>
        <v/>
      </c>
      <c r="CI445" s="13" t="str">
        <f aca="false">IF(CI390="","",CH390)</f>
        <v/>
      </c>
      <c r="CJ445" s="13" t="str">
        <f aca="false">IF(CJ390="","",CI390)</f>
        <v/>
      </c>
      <c r="CK445" s="13" t="str">
        <f aca="false">IF(CK390="","",CJ390)</f>
        <v/>
      </c>
      <c r="CL445" s="13" t="str">
        <f aca="false">IF(CL390="","",CK390)</f>
        <v/>
      </c>
      <c r="CM445" s="13" t="str">
        <f aca="false">IF(CM390="","",CL390)</f>
        <v/>
      </c>
      <c r="CN445" s="13" t="str">
        <f aca="false">IF(CN390="","",CM390)</f>
        <v/>
      </c>
      <c r="CO445" s="13" t="str">
        <f aca="false">IF(CO390="","",CN390)</f>
        <v/>
      </c>
      <c r="CP445" s="13" t="str">
        <f aca="false">IF(CP390="","",CO390)</f>
        <v/>
      </c>
      <c r="CQ445" s="13" t="str">
        <f aca="false">IF(CQ390="","",CP390)</f>
        <v/>
      </c>
      <c r="CR445" s="13" t="str">
        <f aca="false">IF(CR390="","",CQ390)</f>
        <v/>
      </c>
      <c r="CS445" s="13" t="str">
        <f aca="false">IF(CS390="","",CR390)</f>
        <v/>
      </c>
      <c r="CT445" s="13" t="str">
        <f aca="false">IF(CT390="","",CS390)</f>
        <v/>
      </c>
      <c r="CU445" s="13" t="str">
        <f aca="false">IF(CU390="","",CT390)</f>
        <v/>
      </c>
      <c r="CV445" s="13" t="str">
        <f aca="false">IF(CV390="","",CU390)</f>
        <v/>
      </c>
      <c r="CW445" s="13" t="str">
        <f aca="false">IF(CW390="","",CV390)</f>
        <v/>
      </c>
      <c r="CX445" s="13" t="str">
        <f aca="false">IF(CX390="","",CW390)</f>
        <v/>
      </c>
      <c r="CY445" s="13" t="str">
        <f aca="false">IF(CY390="","",CX390)</f>
        <v/>
      </c>
      <c r="CZ445" s="13" t="str">
        <f aca="false">IF(CZ390="","",CY390)</f>
        <v/>
      </c>
      <c r="DA445" s="13" t="str">
        <f aca="false">IF(DA390="","",CZ390)</f>
        <v/>
      </c>
      <c r="DB445" s="13" t="str">
        <f aca="false">IF(DB390="","",DA390)</f>
        <v/>
      </c>
      <c r="DC445" s="13" t="str">
        <f aca="false">IF(DC390="","",DB390)</f>
        <v/>
      </c>
      <c r="DD445" s="13" t="str">
        <f aca="false">IF(DD390="","",DC390)</f>
        <v/>
      </c>
      <c r="DE445" s="13" t="str">
        <f aca="false">IF(DE390="","",DD390)</f>
        <v/>
      </c>
    </row>
    <row r="446" customFormat="false" ht="15" hidden="false" customHeight="true" outlineLevel="0" collapsed="false">
      <c r="A446" s="22" t="s">
        <v>247</v>
      </c>
      <c r="B446" s="13" t="n">
        <f aca="false">IF(B$4="Actuals",B237,"")</f>
        <v>-41844.6399999999</v>
      </c>
      <c r="C446" s="13" t="n">
        <f aca="false">IF(C$4="Actuals",C237,"")</f>
        <v>-311309.31</v>
      </c>
      <c r="D446" s="13" t="n">
        <f aca="false">IF(D$4="Actuals",D237,"")</f>
        <v>242246.78</v>
      </c>
      <c r="E446" s="13" t="n">
        <f aca="false">IF(E$4="Actuals",E237,"")</f>
        <v>373926.69</v>
      </c>
      <c r="F446" s="13" t="n">
        <f aca="false">IF(F$4="Actuals",F237,"")</f>
        <v>27621.8500000002</v>
      </c>
      <c r="G446" s="13" t="n">
        <f aca="false">IF(G$4="Actuals",G237,"")</f>
        <v>317897.24</v>
      </c>
      <c r="H446" s="13" t="n">
        <f aca="false">IF(H$4="Actuals",H237,"")</f>
        <v>1445137.94</v>
      </c>
      <c r="I446" s="13" t="n">
        <f aca="false">IF(I$4="Actuals",I237,"")</f>
        <v>-517304.675125</v>
      </c>
      <c r="J446" s="13" t="str">
        <f aca="false">IF(J$4="Actuals",J237,"")</f>
        <v/>
      </c>
      <c r="K446" s="13" t="str">
        <f aca="false">IF(K$4="Actuals",K237,"")</f>
        <v/>
      </c>
      <c r="L446" s="13" t="str">
        <f aca="false">IF(L$4="Actuals",L237,"")</f>
        <v/>
      </c>
      <c r="M446" s="13" t="str">
        <f aca="false">IF(M$4="Actuals",M237,"")</f>
        <v/>
      </c>
      <c r="N446" s="13" t="str">
        <f aca="false">IF(N$4="Actuals",N237,"")</f>
        <v/>
      </c>
      <c r="O446" s="13" t="str">
        <f aca="false">IF(O$4="Actuals",O237,"")</f>
        <v/>
      </c>
      <c r="P446" s="13" t="str">
        <f aca="false">IF(P$4="Actuals",P237,"")</f>
        <v/>
      </c>
      <c r="Q446" s="13" t="str">
        <f aca="false">IF(Q$4="Actuals",Q237,"")</f>
        <v/>
      </c>
      <c r="R446" s="13" t="str">
        <f aca="false">IF(R$4="Actuals",R237,"")</f>
        <v/>
      </c>
      <c r="S446" s="13" t="str">
        <f aca="false">IF(S$4="Actuals",S237,"")</f>
        <v/>
      </c>
      <c r="T446" s="13" t="str">
        <f aca="false">IF(T$4="Actuals",T237,"")</f>
        <v/>
      </c>
      <c r="U446" s="13" t="str">
        <f aca="false">IF(U$4="Actuals",U237,"")</f>
        <v/>
      </c>
      <c r="V446" s="13" t="str">
        <f aca="false">IF(V$4="Actuals",V237,"")</f>
        <v/>
      </c>
      <c r="W446" s="13" t="str">
        <f aca="false">IF(W$4="Actuals",W237,"")</f>
        <v/>
      </c>
      <c r="X446" s="13" t="str">
        <f aca="false">IF(X$4="Actuals",X237,"")</f>
        <v/>
      </c>
      <c r="Y446" s="13" t="str">
        <f aca="false">IF(Y$4="Actuals",Y237,"")</f>
        <v/>
      </c>
      <c r="Z446" s="13" t="str">
        <f aca="false">IF(Z$4="Actuals",Z237,"")</f>
        <v/>
      </c>
      <c r="AA446" s="13" t="str">
        <f aca="false">IF(AA$4="Actuals",AA237,"")</f>
        <v/>
      </c>
      <c r="AB446" s="13" t="str">
        <f aca="false">IF(AB$4="Actuals",AB237,"")</f>
        <v/>
      </c>
      <c r="AC446" s="13" t="str">
        <f aca="false">IF(AC$4="Actuals",AC237,"")</f>
        <v/>
      </c>
      <c r="AD446" s="13" t="str">
        <f aca="false">IF(AD$4="Actuals",AD237,"")</f>
        <v/>
      </c>
      <c r="AE446" s="13" t="str">
        <f aca="false">IF(AE$4="Actuals",AE237,"")</f>
        <v/>
      </c>
      <c r="AF446" s="13" t="str">
        <f aca="false">IF(AF$4="Actuals",AF237,"")</f>
        <v/>
      </c>
      <c r="AG446" s="13" t="str">
        <f aca="false">IF(AG$4="Actuals",AG237,"")</f>
        <v/>
      </c>
      <c r="AH446" s="13" t="str">
        <f aca="false">IF(AH$4="Actuals",AH237,"")</f>
        <v/>
      </c>
      <c r="AI446" s="13" t="str">
        <f aca="false">IF(AI$4="Actuals",AI237,"")</f>
        <v/>
      </c>
      <c r="AJ446" s="13" t="str">
        <f aca="false">IF(AJ$4="Actuals",AJ237,"")</f>
        <v/>
      </c>
      <c r="AK446" s="13" t="str">
        <f aca="false">IF(AK$4="Actuals",AK237,"")</f>
        <v/>
      </c>
      <c r="AL446" s="13" t="str">
        <f aca="false">IF(AL$4="Actuals",AL237,"")</f>
        <v/>
      </c>
      <c r="AM446" s="13" t="str">
        <f aca="false">IF(AM$4="Actuals",AM237,"")</f>
        <v/>
      </c>
      <c r="AN446" s="13" t="str">
        <f aca="false">IF(AN$4="Actuals",AN237,"")</f>
        <v/>
      </c>
      <c r="AO446" s="13" t="str">
        <f aca="false">IF(AO$4="Actuals",AO237,"")</f>
        <v/>
      </c>
      <c r="AP446" s="13" t="str">
        <f aca="false">IF(AP$4="Actuals",AP237,"")</f>
        <v/>
      </c>
      <c r="AQ446" s="13" t="str">
        <f aca="false">IF(AQ$4="Actuals",AQ237,"")</f>
        <v/>
      </c>
      <c r="AR446" s="13" t="str">
        <f aca="false">IF(AR$4="Actuals",AR237,"")</f>
        <v/>
      </c>
      <c r="AS446" s="13" t="str">
        <f aca="false">IF(AS$4="Actuals",AS237,"")</f>
        <v/>
      </c>
      <c r="AT446" s="13" t="str">
        <f aca="false">IF(AT$4="Actuals",AT237,"")</f>
        <v/>
      </c>
      <c r="AU446" s="13" t="str">
        <f aca="false">IF(AU$4="Actuals",AU237,"")</f>
        <v/>
      </c>
      <c r="AV446" s="13" t="str">
        <f aca="false">IF(AV$4="Actuals",AV237,"")</f>
        <v/>
      </c>
      <c r="AW446" s="13" t="str">
        <f aca="false">IF(AW$4="Actuals",AW237,"")</f>
        <v/>
      </c>
      <c r="AX446" s="13" t="str">
        <f aca="false">IF(AX$4="Actuals",AX237,"")</f>
        <v/>
      </c>
      <c r="AY446" s="13" t="str">
        <f aca="false">IF(AY$4="Actuals",AY237,"")</f>
        <v/>
      </c>
      <c r="AZ446" s="13" t="str">
        <f aca="false">IF(AZ$4="Actuals",AZ237,"")</f>
        <v/>
      </c>
      <c r="BA446" s="13" t="str">
        <f aca="false">IF(BA$4="Actuals",BA237,"")</f>
        <v/>
      </c>
      <c r="BB446" s="13" t="str">
        <f aca="false">IF(BB$4="Actuals",BB237,"")</f>
        <v/>
      </c>
      <c r="BC446" s="13" t="str">
        <f aca="false">IF(BC$4="Actuals",BC237,"")</f>
        <v/>
      </c>
      <c r="BD446" s="13" t="str">
        <f aca="false">IF(BD$4="Actuals",BD237,"")</f>
        <v/>
      </c>
      <c r="BE446" s="13" t="str">
        <f aca="false">IF(BE$4="Actuals",BE237,"")</f>
        <v/>
      </c>
      <c r="BF446" s="13" t="str">
        <f aca="false">IF(BF$4="Actuals",BF237,"")</f>
        <v/>
      </c>
      <c r="BG446" s="13" t="str">
        <f aca="false">IF(BG$4="Actuals",BG237,"")</f>
        <v/>
      </c>
      <c r="BH446" s="13" t="str">
        <f aca="false">IF(BH$4="Actuals",BH237,"")</f>
        <v/>
      </c>
      <c r="BI446" s="13" t="str">
        <f aca="false">IF(BI$4="Actuals",BI237,"")</f>
        <v/>
      </c>
      <c r="BJ446" s="13" t="str">
        <f aca="false">IF(BJ$4="Actuals",BJ237,"")</f>
        <v/>
      </c>
      <c r="BK446" s="13" t="str">
        <f aca="false">IF(BK$4="Actuals",BK237,"")</f>
        <v/>
      </c>
      <c r="BL446" s="13" t="str">
        <f aca="false">IF(BL$4="Actuals",BL237,"")</f>
        <v/>
      </c>
      <c r="BM446" s="13" t="str">
        <f aca="false">IF(BM$4="Actuals",BM237,"")</f>
        <v/>
      </c>
      <c r="BN446" s="13" t="str">
        <f aca="false">IF(BN$4="Actuals",BN237,"")</f>
        <v/>
      </c>
      <c r="BO446" s="13" t="str">
        <f aca="false">IF(BO$4="Actuals",BO237,"")</f>
        <v/>
      </c>
      <c r="BP446" s="13" t="str">
        <f aca="false">IF(BP$4="Actuals",BP237,"")</f>
        <v/>
      </c>
      <c r="BQ446" s="13" t="str">
        <f aca="false">IF(BQ$4="Actuals",BQ237,"")</f>
        <v/>
      </c>
      <c r="BR446" s="13" t="str">
        <f aca="false">IF(BR$4="Actuals",BR237,"")</f>
        <v/>
      </c>
      <c r="BS446" s="13" t="str">
        <f aca="false">IF(BS$4="Actuals",BS237,"")</f>
        <v/>
      </c>
      <c r="BT446" s="13" t="str">
        <f aca="false">IF(BT$4="Actuals",BT237,"")</f>
        <v/>
      </c>
      <c r="BU446" s="13" t="str">
        <f aca="false">IF(BU$4="Actuals",BU237,"")</f>
        <v/>
      </c>
      <c r="BV446" s="13" t="str">
        <f aca="false">IF(BV$4="Actuals",BV237,"")</f>
        <v/>
      </c>
      <c r="BW446" s="13" t="str">
        <f aca="false">IF(BW$4="Actuals",BW237,"")</f>
        <v/>
      </c>
      <c r="BX446" s="13" t="str">
        <f aca="false">IF(BX$4="Actuals",BX237,"")</f>
        <v/>
      </c>
      <c r="BY446" s="13" t="str">
        <f aca="false">IF(BY$4="Actuals",BY237,"")</f>
        <v/>
      </c>
      <c r="BZ446" s="13" t="str">
        <f aca="false">IF(BZ$4="Actuals",BZ237,"")</f>
        <v/>
      </c>
      <c r="CA446" s="13" t="str">
        <f aca="false">IF(CA$4="Actuals",CA237,"")</f>
        <v/>
      </c>
      <c r="CB446" s="13" t="str">
        <f aca="false">IF(CB$4="Actuals",CB237,"")</f>
        <v/>
      </c>
      <c r="CC446" s="13" t="str">
        <f aca="false">IF(CC$4="Actuals",CC237,"")</f>
        <v/>
      </c>
      <c r="CD446" s="13" t="str">
        <f aca="false">IF(CD$4="Actuals",CD237,"")</f>
        <v/>
      </c>
      <c r="CE446" s="13" t="str">
        <f aca="false">IF(CE$4="Actuals",CE237,"")</f>
        <v/>
      </c>
      <c r="CF446" s="13" t="str">
        <f aca="false">IF(CF$4="Actuals",CF237,"")</f>
        <v/>
      </c>
      <c r="CG446" s="13" t="str">
        <f aca="false">IF(CG$4="Actuals",CG237,"")</f>
        <v/>
      </c>
      <c r="CH446" s="13" t="str">
        <f aca="false">IF(CH$4="Actuals",CH237,"")</f>
        <v/>
      </c>
      <c r="CI446" s="13" t="str">
        <f aca="false">IF(CI$4="Actuals",CI237,"")</f>
        <v/>
      </c>
      <c r="CJ446" s="13" t="str">
        <f aca="false">IF(CJ$4="Actuals",CJ237,"")</f>
        <v/>
      </c>
      <c r="CK446" s="13" t="str">
        <f aca="false">IF(CK$4="Actuals",CK237,"")</f>
        <v/>
      </c>
      <c r="CL446" s="13" t="str">
        <f aca="false">IF(CL$4="Actuals",CL237,"")</f>
        <v/>
      </c>
      <c r="CM446" s="13" t="str">
        <f aca="false">IF(CM$4="Actuals",CM237,"")</f>
        <v/>
      </c>
      <c r="CN446" s="13" t="str">
        <f aca="false">IF(CN$4="Actuals",CN237,"")</f>
        <v/>
      </c>
      <c r="CO446" s="13" t="str">
        <f aca="false">IF(CO$4="Actuals",CO237,"")</f>
        <v/>
      </c>
      <c r="CP446" s="13" t="str">
        <f aca="false">IF(CP$4="Actuals",CP237,"")</f>
        <v/>
      </c>
      <c r="CQ446" s="13" t="str">
        <f aca="false">IF(CQ$4="Actuals",CQ237,"")</f>
        <v/>
      </c>
      <c r="CR446" s="13" t="str">
        <f aca="false">IF(CR$4="Actuals",CR237,"")</f>
        <v/>
      </c>
      <c r="CS446" s="13" t="str">
        <f aca="false">IF(CS$4="Actuals",CS237,"")</f>
        <v/>
      </c>
      <c r="CT446" s="13" t="str">
        <f aca="false">IF(CT$4="Actuals",CT237,"")</f>
        <v/>
      </c>
      <c r="CU446" s="13" t="str">
        <f aca="false">IF(CU$4="Actuals",CU237,"")</f>
        <v/>
      </c>
      <c r="CV446" s="13" t="str">
        <f aca="false">IF(CV$4="Actuals",CV237,"")</f>
        <v/>
      </c>
      <c r="CW446" s="13" t="str">
        <f aca="false">IF(CW$4="Actuals",CW237,"")</f>
        <v/>
      </c>
      <c r="CX446" s="13" t="str">
        <f aca="false">IF(CX$4="Actuals",CX237,"")</f>
        <v/>
      </c>
      <c r="CY446" s="13" t="str">
        <f aca="false">IF(CY$4="Actuals",CY237,"")</f>
        <v/>
      </c>
      <c r="CZ446" s="13" t="str">
        <f aca="false">IF(CZ$4="Actuals",CZ237,"")</f>
        <v/>
      </c>
      <c r="DA446" s="13" t="str">
        <f aca="false">IF(DA$4="Actuals",DA237,"")</f>
        <v/>
      </c>
      <c r="DB446" s="13" t="str">
        <f aca="false">IF(DB$4="Actuals",DB237,"")</f>
        <v/>
      </c>
      <c r="DC446" s="13" t="str">
        <f aca="false">IF(DC$4="Actuals",DC237,"")</f>
        <v/>
      </c>
      <c r="DD446" s="13" t="str">
        <f aca="false">IF(DD$4="Actuals",DD237,"")</f>
        <v/>
      </c>
      <c r="DE446" s="13" t="str">
        <f aca="false">IF(DE$4="Actuals",DE237,"")</f>
        <v/>
      </c>
    </row>
    <row r="447" customFormat="false" ht="15" hidden="false" customHeight="true" outlineLevel="0" collapsed="false">
      <c r="A447" s="22" t="s">
        <v>248</v>
      </c>
      <c r="B447" s="13" t="n">
        <f aca="false">IF(B390="","",-(SUM(B438:B440)-$B$430))</f>
        <v>187158</v>
      </c>
      <c r="C447" s="13" t="n">
        <f aca="false">IF(C390="","",-(SUM(C438:C440)-SUM(B438:B440)))</f>
        <v>-1030375</v>
      </c>
      <c r="D447" s="13" t="n">
        <f aca="false">IF(D390="","",-(SUM(D438:D440)-SUM(C438:C440)))</f>
        <v>319157</v>
      </c>
      <c r="E447" s="13" t="n">
        <f aca="false">IF(E390="","",-(SUM(E438:E440)-SUM(D438:D440)))</f>
        <v>-1727540</v>
      </c>
      <c r="F447" s="13" t="n">
        <f aca="false">IF(F390="","",-(SUM(F438:F440)-SUM(E438:E440)))</f>
        <v>-845463</v>
      </c>
      <c r="G447" s="13" t="n">
        <f aca="false">IF(G390="","",-(SUM(G438:G440)-SUM(F438:F440)))</f>
        <v>-3326181</v>
      </c>
      <c r="H447" s="13" t="n">
        <f aca="false">IF(H390="","",-(SUM(H438:H440)-SUM(G438:G440)))</f>
        <v>-1219334</v>
      </c>
      <c r="I447" s="13" t="n">
        <f aca="false">IF(I390="","",-(SUM(I438:I440)-SUM(H438:H440)))</f>
        <v>423029</v>
      </c>
      <c r="J447" s="13" t="str">
        <f aca="false">IF(J390="","",-(SUM(J438:J440)-SUM(I438:I440)))</f>
        <v/>
      </c>
      <c r="K447" s="13" t="str">
        <f aca="false">IF(K390="","",-(SUM(K438:K440)-SUM(J438:J440)))</f>
        <v/>
      </c>
      <c r="L447" s="13" t="str">
        <f aca="false">IF(L390="","",-(SUM(L438:L440)-SUM(K438:K440)))</f>
        <v/>
      </c>
      <c r="M447" s="13" t="str">
        <f aca="false">IF(M390="","",-(SUM(M438:M440)-SUM(L438:L440)))</f>
        <v/>
      </c>
      <c r="N447" s="13" t="str">
        <f aca="false">IF(N390="","",-(SUM(N438:N440)-SUM(M438:M440)))</f>
        <v/>
      </c>
      <c r="O447" s="13" t="str">
        <f aca="false">IF(O390="","",-(SUM(O438:O440)-SUM(N438:N440)))</f>
        <v/>
      </c>
      <c r="P447" s="13" t="str">
        <f aca="false">IF(P390="","",-(SUM(P438:P440)-SUM(O438:O440)))</f>
        <v/>
      </c>
      <c r="Q447" s="13" t="str">
        <f aca="false">IF(Q390="","",-(SUM(Q438:Q440)-SUM(P438:P440)))</f>
        <v/>
      </c>
      <c r="R447" s="13" t="str">
        <f aca="false">IF(R390="","",-(SUM(R438:R440)-SUM(Q438:Q440)))</f>
        <v/>
      </c>
      <c r="S447" s="13" t="str">
        <f aca="false">IF(S390="","",-(SUM(S438:S440)-SUM(R438:R440)))</f>
        <v/>
      </c>
      <c r="T447" s="13" t="str">
        <f aca="false">IF(T390="","",-(SUM(T438:T440)-SUM(S438:S440)))</f>
        <v/>
      </c>
      <c r="U447" s="13" t="str">
        <f aca="false">IF(U390="","",-(SUM(U438:U440)-SUM(T438:T440)))</f>
        <v/>
      </c>
      <c r="V447" s="13" t="str">
        <f aca="false">IF(V390="","",-(SUM(V438:V440)-SUM(U438:U440)))</f>
        <v/>
      </c>
      <c r="W447" s="13" t="str">
        <f aca="false">IF(W390="","",-(SUM(W438:W440)-SUM(V438:V440)))</f>
        <v/>
      </c>
      <c r="X447" s="13" t="str">
        <f aca="false">IF(X390="","",-(SUM(X438:X440)-SUM(W438:W440)))</f>
        <v/>
      </c>
      <c r="Y447" s="13" t="str">
        <f aca="false">IF(Y390="","",-(SUM(Y438:Y440)-SUM(X438:X440)))</f>
        <v/>
      </c>
      <c r="Z447" s="13" t="str">
        <f aca="false">IF(Z390="","",-(SUM(Z438:Z440)-SUM(Y438:Y440)))</f>
        <v/>
      </c>
      <c r="AA447" s="13" t="str">
        <f aca="false">IF(AA390="","",-(SUM(AA438:AA440)-SUM(Z438:Z440)))</f>
        <v/>
      </c>
      <c r="AB447" s="13" t="str">
        <f aca="false">IF(AB390="","",-(SUM(AB438:AB440)-SUM(AA438:AA440)))</f>
        <v/>
      </c>
      <c r="AC447" s="13" t="str">
        <f aca="false">IF(AC390="","",-(SUM(AC438:AC440)-SUM(AB438:AB440)))</f>
        <v/>
      </c>
      <c r="AD447" s="13" t="str">
        <f aca="false">IF(AD390="","",-(SUM(AD438:AD440)-SUM(AC438:AC440)))</f>
        <v/>
      </c>
      <c r="AE447" s="13" t="str">
        <f aca="false">IF(AE390="","",-(SUM(AE438:AE440)-SUM(AD438:AD440)))</f>
        <v/>
      </c>
      <c r="AF447" s="13" t="str">
        <f aca="false">IF(AF390="","",-(SUM(AF438:AF440)-SUM(AE438:AE440)))</f>
        <v/>
      </c>
      <c r="AG447" s="13" t="str">
        <f aca="false">IF(AG390="","",-(SUM(AG438:AG440)-SUM(AF438:AF440)))</f>
        <v/>
      </c>
      <c r="AH447" s="13" t="str">
        <f aca="false">IF(AH390="","",-(SUM(AH438:AH440)-SUM(AG438:AG440)))</f>
        <v/>
      </c>
      <c r="AI447" s="13" t="str">
        <f aca="false">IF(AI390="","",-(SUM(AI438:AI440)-SUM(AH438:AH440)))</f>
        <v/>
      </c>
      <c r="AJ447" s="13" t="str">
        <f aca="false">IF(AJ390="","",-(SUM(AJ438:AJ440)-SUM(AI438:AI440)))</f>
        <v/>
      </c>
      <c r="AK447" s="13" t="str">
        <f aca="false">IF(AK390="","",-(SUM(AK438:AK440)-SUM(AJ438:AJ440)))</f>
        <v/>
      </c>
      <c r="AL447" s="13" t="str">
        <f aca="false">IF(AL390="","",-(SUM(AL438:AL440)-SUM(AK438:AK440)))</f>
        <v/>
      </c>
      <c r="AM447" s="13" t="str">
        <f aca="false">IF(AM390="","",-(SUM(AM438:AM440)-SUM(AL438:AL440)))</f>
        <v/>
      </c>
      <c r="AN447" s="13" t="str">
        <f aca="false">IF(AN390="","",-(SUM(AN438:AN440)-SUM(AM438:AM440)))</f>
        <v/>
      </c>
      <c r="AO447" s="13" t="str">
        <f aca="false">IF(AO390="","",-(SUM(AO438:AO440)-SUM(AN438:AN440)))</f>
        <v/>
      </c>
      <c r="AP447" s="13" t="str">
        <f aca="false">IF(AP390="","",-(SUM(AP438:AP440)-SUM(AO438:AO440)))</f>
        <v/>
      </c>
      <c r="AQ447" s="13" t="str">
        <f aca="false">IF(AQ390="","",-(SUM(AQ438:AQ440)-SUM(AP438:AP440)))</f>
        <v/>
      </c>
      <c r="AR447" s="13" t="str">
        <f aca="false">IF(AR390="","",-(SUM(AR438:AR440)-SUM(AQ438:AQ440)))</f>
        <v/>
      </c>
      <c r="AS447" s="13" t="str">
        <f aca="false">IF(AS390="","",-(SUM(AS438:AS440)-SUM(AR438:AR440)))</f>
        <v/>
      </c>
      <c r="AT447" s="13" t="str">
        <f aca="false">IF(AT390="","",-(SUM(AT438:AT440)-SUM(AS438:AS440)))</f>
        <v/>
      </c>
      <c r="AU447" s="13" t="str">
        <f aca="false">IF(AU390="","",-(SUM(AU438:AU440)-SUM(AT438:AT440)))</f>
        <v/>
      </c>
      <c r="AV447" s="13" t="str">
        <f aca="false">IF(AV390="","",-(SUM(AV438:AV440)-SUM(AU438:AU440)))</f>
        <v/>
      </c>
      <c r="AW447" s="13" t="str">
        <f aca="false">IF(AW390="","",-(SUM(AW438:AW440)-SUM(AV438:AV440)))</f>
        <v/>
      </c>
      <c r="AX447" s="13" t="str">
        <f aca="false">IF(AX390="","",-(SUM(AX438:AX440)-SUM(AW438:AW440)))</f>
        <v/>
      </c>
      <c r="AY447" s="13" t="str">
        <f aca="false">IF(AY390="","",-(SUM(AY438:AY440)-SUM(AX438:AX440)))</f>
        <v/>
      </c>
      <c r="AZ447" s="13" t="str">
        <f aca="false">IF(AZ390="","",-(SUM(AZ438:AZ440)-SUM(AY438:AY440)))</f>
        <v/>
      </c>
      <c r="BA447" s="13" t="str">
        <f aca="false">IF(BA390="","",-(SUM(BA438:BA440)-SUM(AZ438:AZ440)))</f>
        <v/>
      </c>
      <c r="BB447" s="13" t="str">
        <f aca="false">IF(BB390="","",-(SUM(BB438:BB440)-SUM(BA438:BA440)))</f>
        <v/>
      </c>
      <c r="BC447" s="13" t="str">
        <f aca="false">IF(BC390="","",-(SUM(BC438:BC440)-SUM(BB438:BB440)))</f>
        <v/>
      </c>
      <c r="BD447" s="13" t="str">
        <f aca="false">IF(BD390="","",-(SUM(BD438:BD440)-SUM(BC438:BC440)))</f>
        <v/>
      </c>
      <c r="BE447" s="13" t="str">
        <f aca="false">IF(BE390="","",-(SUM(BE438:BE440)-SUM(BD438:BD440)))</f>
        <v/>
      </c>
      <c r="BF447" s="13" t="str">
        <f aca="false">IF(BF390="","",-(SUM(BF438:BF440)-SUM(BE438:BE440)))</f>
        <v/>
      </c>
      <c r="BG447" s="13" t="str">
        <f aca="false">IF(BG390="","",-(SUM(BG438:BG440)-SUM(BF438:BF440)))</f>
        <v/>
      </c>
      <c r="BH447" s="13" t="str">
        <f aca="false">IF(BH390="","",-(SUM(BH438:BH440)-SUM(BG438:BG440)))</f>
        <v/>
      </c>
      <c r="BI447" s="13" t="str">
        <f aca="false">IF(BI390="","",-(SUM(BI438:BI440)-SUM(BH438:BH440)))</f>
        <v/>
      </c>
      <c r="BJ447" s="13" t="str">
        <f aca="false">IF(BJ390="","",-(SUM(BJ438:BJ440)-SUM(BI438:BI440)))</f>
        <v/>
      </c>
      <c r="BK447" s="13" t="str">
        <f aca="false">IF(BK390="","",-(SUM(BK438:BK440)-SUM(BJ438:BJ440)))</f>
        <v/>
      </c>
      <c r="BL447" s="13" t="str">
        <f aca="false">IF(BL390="","",-(SUM(BL438:BL440)-SUM(BK438:BK440)))</f>
        <v/>
      </c>
      <c r="BM447" s="13" t="str">
        <f aca="false">IF(BM390="","",-(SUM(BM438:BM440)-SUM(BL438:BL440)))</f>
        <v/>
      </c>
      <c r="BN447" s="13" t="str">
        <f aca="false">IF(BN390="","",-(SUM(BN438:BN440)-SUM(BM438:BM440)))</f>
        <v/>
      </c>
      <c r="BO447" s="13" t="str">
        <f aca="false">IF(BO390="","",-(SUM(BO438:BO440)-SUM(BN438:BN440)))</f>
        <v/>
      </c>
      <c r="BP447" s="13" t="str">
        <f aca="false">IF(BP390="","",-(SUM(BP438:BP440)-SUM(BO438:BO440)))</f>
        <v/>
      </c>
      <c r="BQ447" s="13" t="str">
        <f aca="false">IF(BQ390="","",-(SUM(BQ438:BQ440)-SUM(BP438:BP440)))</f>
        <v/>
      </c>
      <c r="BR447" s="13" t="str">
        <f aca="false">IF(BR390="","",-(SUM(BR438:BR440)-SUM(BQ438:BQ440)))</f>
        <v/>
      </c>
      <c r="BS447" s="13" t="str">
        <f aca="false">IF(BS390="","",-(SUM(BS438:BS440)-SUM(BR438:BR440)))</f>
        <v/>
      </c>
      <c r="BT447" s="13" t="str">
        <f aca="false">IF(BT390="","",-(SUM(BT438:BT440)-SUM(BS438:BS440)))</f>
        <v/>
      </c>
      <c r="BU447" s="13" t="str">
        <f aca="false">IF(BU390="","",-(SUM(BU438:BU440)-SUM(BT438:BT440)))</f>
        <v/>
      </c>
      <c r="BV447" s="13" t="str">
        <f aca="false">IF(BV390="","",-(SUM(BV438:BV440)-SUM(BU438:BU440)))</f>
        <v/>
      </c>
      <c r="BW447" s="13" t="str">
        <f aca="false">IF(BW390="","",-(SUM(BW438:BW440)-SUM(BV438:BV440)))</f>
        <v/>
      </c>
      <c r="BX447" s="13" t="str">
        <f aca="false">IF(BX390="","",-(SUM(BX438:BX440)-SUM(BW438:BW440)))</f>
        <v/>
      </c>
      <c r="BY447" s="13" t="str">
        <f aca="false">IF(BY390="","",-(SUM(BY438:BY440)-SUM(BX438:BX440)))</f>
        <v/>
      </c>
      <c r="BZ447" s="13" t="str">
        <f aca="false">IF(BZ390="","",-(SUM(BZ438:BZ440)-SUM(BY438:BY440)))</f>
        <v/>
      </c>
      <c r="CA447" s="13" t="str">
        <f aca="false">IF(CA390="","",-(SUM(CA438:CA440)-SUM(BZ438:BZ440)))</f>
        <v/>
      </c>
      <c r="CB447" s="13" t="str">
        <f aca="false">IF(CB390="","",-(SUM(CB438:CB440)-SUM(CA438:CA440)))</f>
        <v/>
      </c>
      <c r="CC447" s="13" t="str">
        <f aca="false">IF(CC390="","",-(SUM(CC438:CC440)-SUM(CB438:CB440)))</f>
        <v/>
      </c>
      <c r="CD447" s="13" t="str">
        <f aca="false">IF(CD390="","",-(SUM(CD438:CD440)-SUM(CC438:CC440)))</f>
        <v/>
      </c>
      <c r="CE447" s="13" t="str">
        <f aca="false">IF(CE390="","",-(SUM(CE438:CE440)-SUM(CD438:CD440)))</f>
        <v/>
      </c>
      <c r="CF447" s="13" t="str">
        <f aca="false">IF(CF390="","",-(SUM(CF438:CF440)-SUM(CE438:CE440)))</f>
        <v/>
      </c>
      <c r="CG447" s="13" t="str">
        <f aca="false">IF(CG390="","",-(SUM(CG438:CG440)-SUM(CF438:CF440)))</f>
        <v/>
      </c>
      <c r="CH447" s="13" t="str">
        <f aca="false">IF(CH390="","",-(SUM(CH438:CH440)-SUM(CG438:CG440)))</f>
        <v/>
      </c>
      <c r="CI447" s="13" t="str">
        <f aca="false">IF(CI390="","",-(SUM(CI438:CI440)-SUM(CH438:CH440)))</f>
        <v/>
      </c>
      <c r="CJ447" s="13" t="str">
        <f aca="false">IF(CJ390="","",-(SUM(CJ438:CJ440)-SUM(CI438:CI440)))</f>
        <v/>
      </c>
      <c r="CK447" s="13" t="str">
        <f aca="false">IF(CK390="","",-(SUM(CK438:CK440)-SUM(CJ438:CJ440)))</f>
        <v/>
      </c>
      <c r="CL447" s="13" t="str">
        <f aca="false">IF(CL390="","",-(SUM(CL438:CL440)-SUM(CK438:CK440)))</f>
        <v/>
      </c>
      <c r="CM447" s="13" t="str">
        <f aca="false">IF(CM390="","",-(SUM(CM438:CM440)-SUM(CL438:CL440)))</f>
        <v/>
      </c>
      <c r="CN447" s="13" t="str">
        <f aca="false">IF(CN390="","",-(SUM(CN438:CN440)-SUM(CM438:CM440)))</f>
        <v/>
      </c>
      <c r="CO447" s="13" t="str">
        <f aca="false">IF(CO390="","",-(SUM(CO438:CO440)-SUM(CN438:CN440)))</f>
        <v/>
      </c>
      <c r="CP447" s="13" t="str">
        <f aca="false">IF(CP390="","",-(SUM(CP438:CP440)-SUM(CO438:CO440)))</f>
        <v/>
      </c>
      <c r="CQ447" s="13" t="str">
        <f aca="false">IF(CQ390="","",-(SUM(CQ438:CQ440)-SUM(CP438:CP440)))</f>
        <v/>
      </c>
      <c r="CR447" s="13" t="str">
        <f aca="false">IF(CR390="","",-(SUM(CR438:CR440)-SUM(CQ438:CQ440)))</f>
        <v/>
      </c>
      <c r="CS447" s="13" t="str">
        <f aca="false">IF(CS390="","",-(SUM(CS438:CS440)-SUM(CR438:CR440)))</f>
        <v/>
      </c>
      <c r="CT447" s="13" t="str">
        <f aca="false">IF(CT390="","",-(SUM(CT438:CT440)-SUM(CS438:CS440)))</f>
        <v/>
      </c>
      <c r="CU447" s="13" t="str">
        <f aca="false">IF(CU390="","",-(SUM(CU438:CU440)-SUM(CT438:CT440)))</f>
        <v/>
      </c>
      <c r="CV447" s="13" t="str">
        <f aca="false">IF(CV390="","",-(SUM(CV438:CV440)-SUM(CU438:CU440)))</f>
        <v/>
      </c>
      <c r="CW447" s="13" t="str">
        <f aca="false">IF(CW390="","",-(SUM(CW438:CW440)-SUM(CV438:CV440)))</f>
        <v/>
      </c>
      <c r="CX447" s="13" t="str">
        <f aca="false">IF(CX390="","",-(SUM(CX438:CX440)-SUM(CW438:CW440)))</f>
        <v/>
      </c>
      <c r="CY447" s="13" t="str">
        <f aca="false">IF(CY390="","",-(SUM(CY438:CY440)-SUM(CX438:CX440)))</f>
        <v/>
      </c>
      <c r="CZ447" s="13" t="str">
        <f aca="false">IF(CZ390="","",-(SUM(CZ438:CZ440)-SUM(CY438:CY440)))</f>
        <v/>
      </c>
      <c r="DA447" s="13" t="str">
        <f aca="false">IF(DA390="","",-(SUM(DA438:DA440)-SUM(CZ438:CZ440)))</f>
        <v/>
      </c>
      <c r="DB447" s="13" t="str">
        <f aca="false">IF(DB390="","",-(SUM(DB438:DB440)-SUM(DA438:DA440)))</f>
        <v/>
      </c>
      <c r="DC447" s="13" t="str">
        <f aca="false">IF(DC390="","",-(SUM(DC438:DC440)-SUM(DB438:DB440)))</f>
        <v/>
      </c>
      <c r="DD447" s="13" t="str">
        <f aca="false">IF(DD390="","",-(SUM(DD438:DD440)-SUM(DC438:DC440)))</f>
        <v/>
      </c>
      <c r="DE447" s="13" t="str">
        <f aca="false">IF(DE390="","",-(SUM(DE438:DE440)-SUM(DD438:DD440)))</f>
        <v/>
      </c>
    </row>
    <row r="448" customFormat="false" ht="15" hidden="false" customHeight="true" outlineLevel="0" collapsed="false">
      <c r="A448" s="22" t="s">
        <v>249</v>
      </c>
      <c r="B448" s="13" t="n">
        <f aca="false">IF(B390="","",SUM(B441:B442)-$B$431)</f>
        <v>-79100</v>
      </c>
      <c r="C448" s="13" t="n">
        <f aca="false">IF(C390="","",SUM(C441:C442)-SUM(B441:B442))</f>
        <v>358410</v>
      </c>
      <c r="D448" s="13" t="n">
        <f aca="false">IF(D390="","",SUM(D441:D442)-SUM(C441:C442))</f>
        <v>195671</v>
      </c>
      <c r="E448" s="13" t="n">
        <f aca="false">IF(E390="","",SUM(E441:E442)-SUM(D441:D442))</f>
        <v>1130949</v>
      </c>
      <c r="F448" s="13" t="n">
        <f aca="false">IF(F390="","",SUM(F441:F442)-SUM(E441:E442))</f>
        <v>988847</v>
      </c>
      <c r="G448" s="13" t="n">
        <f aca="false">IF(G390="","",SUM(G441:G442)-SUM(F441:F442))</f>
        <v>2974745</v>
      </c>
      <c r="H448" s="13" t="n">
        <f aca="false">IF(H390="","",SUM(H441:H442)-SUM(G441:G442))</f>
        <v>-233286</v>
      </c>
      <c r="I448" s="13" t="n">
        <f aca="false">IF(I390="","",SUM(I441:I442)-SUM(H441:H442))</f>
        <v>406453</v>
      </c>
      <c r="J448" s="13" t="str">
        <f aca="false">IF(J390="","",SUM(J441:J442)-SUM(I441:I442))</f>
        <v/>
      </c>
      <c r="K448" s="13" t="str">
        <f aca="false">IF(K390="","",SUM(K441:K442)-SUM(J441:J442))</f>
        <v/>
      </c>
      <c r="L448" s="13" t="str">
        <f aca="false">IF(L390="","",SUM(L441:L442)-SUM(K441:K442))</f>
        <v/>
      </c>
      <c r="M448" s="13" t="str">
        <f aca="false">IF(M390="","",SUM(M441:M442)-SUM(L441:L442))</f>
        <v/>
      </c>
      <c r="N448" s="13" t="str">
        <f aca="false">IF(N390="","",SUM(N441:N442)-SUM(M441:M442))</f>
        <v/>
      </c>
      <c r="O448" s="13" t="str">
        <f aca="false">IF(O390="","",SUM(O441:O442)-SUM(N441:N442))</f>
        <v/>
      </c>
      <c r="P448" s="13" t="str">
        <f aca="false">IF(P390="","",SUM(P441:P442)-SUM(O441:O442))</f>
        <v/>
      </c>
      <c r="Q448" s="13" t="str">
        <f aca="false">IF(Q390="","",SUM(Q441:Q442)-SUM(P441:P442))</f>
        <v/>
      </c>
      <c r="R448" s="13" t="str">
        <f aca="false">IF(R390="","",SUM(R441:R442)-SUM(Q441:Q442))</f>
        <v/>
      </c>
      <c r="S448" s="13" t="str">
        <f aca="false">IF(S390="","",SUM(S441:S442)-SUM(R441:R442))</f>
        <v/>
      </c>
      <c r="T448" s="13" t="str">
        <f aca="false">IF(T390="","",SUM(T441:T442)-SUM(S441:S442))</f>
        <v/>
      </c>
      <c r="U448" s="13" t="str">
        <f aca="false">IF(U390="","",SUM(U441:U442)-SUM(T441:T442))</f>
        <v/>
      </c>
      <c r="V448" s="13" t="str">
        <f aca="false">IF(V390="","",SUM(V441:V442)-SUM(U441:U442))</f>
        <v/>
      </c>
      <c r="W448" s="13" t="str">
        <f aca="false">IF(W390="","",SUM(W441:W442)-SUM(V441:V442))</f>
        <v/>
      </c>
      <c r="X448" s="13" t="str">
        <f aca="false">IF(X390="","",SUM(X441:X442)-SUM(W441:W442))</f>
        <v/>
      </c>
      <c r="Y448" s="13" t="str">
        <f aca="false">IF(Y390="","",SUM(Y441:Y442)-SUM(X441:X442))</f>
        <v/>
      </c>
      <c r="Z448" s="13" t="str">
        <f aca="false">IF(Z390="","",SUM(Z441:Z442)-SUM(Y441:Y442))</f>
        <v/>
      </c>
      <c r="AA448" s="13" t="str">
        <f aca="false">IF(AA390="","",SUM(AA441:AA442)-SUM(Z441:Z442))</f>
        <v/>
      </c>
      <c r="AB448" s="13" t="str">
        <f aca="false">IF(AB390="","",SUM(AB441:AB442)-SUM(AA441:AA442))</f>
        <v/>
      </c>
      <c r="AC448" s="13" t="str">
        <f aca="false">IF(AC390="","",SUM(AC441:AC442)-SUM(AB441:AB442))</f>
        <v/>
      </c>
      <c r="AD448" s="13" t="str">
        <f aca="false">IF(AD390="","",SUM(AD441:AD442)-SUM(AC441:AC442))</f>
        <v/>
      </c>
      <c r="AE448" s="13" t="str">
        <f aca="false">IF(AE390="","",SUM(AE441:AE442)-SUM(AD441:AD442))</f>
        <v/>
      </c>
      <c r="AF448" s="13" t="str">
        <f aca="false">IF(AF390="","",SUM(AF441:AF442)-SUM(AE441:AE442))</f>
        <v/>
      </c>
      <c r="AG448" s="13" t="str">
        <f aca="false">IF(AG390="","",SUM(AG441:AG442)-SUM(AF441:AF442))</f>
        <v/>
      </c>
      <c r="AH448" s="13" t="str">
        <f aca="false">IF(AH390="","",SUM(AH441:AH442)-SUM(AG441:AG442))</f>
        <v/>
      </c>
      <c r="AI448" s="13" t="str">
        <f aca="false">IF(AI390="","",SUM(AI441:AI442)-SUM(AH441:AH442))</f>
        <v/>
      </c>
      <c r="AJ448" s="13" t="str">
        <f aca="false">IF(AJ390="","",SUM(AJ441:AJ442)-SUM(AI441:AI442))</f>
        <v/>
      </c>
      <c r="AK448" s="13" t="str">
        <f aca="false">IF(AK390="","",SUM(AK441:AK442)-SUM(AJ441:AJ442))</f>
        <v/>
      </c>
      <c r="AL448" s="13" t="str">
        <f aca="false">IF(AL390="","",SUM(AL441:AL442)-SUM(AK441:AK442))</f>
        <v/>
      </c>
      <c r="AM448" s="13" t="str">
        <f aca="false">IF(AM390="","",SUM(AM441:AM442)-SUM(AL441:AL442))</f>
        <v/>
      </c>
      <c r="AN448" s="13" t="str">
        <f aca="false">IF(AN390="","",SUM(AN441:AN442)-SUM(AM441:AM442))</f>
        <v/>
      </c>
      <c r="AO448" s="13" t="str">
        <f aca="false">IF(AO390="","",SUM(AO441:AO442)-SUM(AN441:AN442))</f>
        <v/>
      </c>
      <c r="AP448" s="13" t="str">
        <f aca="false">IF(AP390="","",SUM(AP441:AP442)-SUM(AO441:AO442))</f>
        <v/>
      </c>
      <c r="AQ448" s="13" t="str">
        <f aca="false">IF(AQ390="","",SUM(AQ441:AQ442)-SUM(AP441:AP442))</f>
        <v/>
      </c>
      <c r="AR448" s="13" t="str">
        <f aca="false">IF(AR390="","",SUM(AR441:AR442)-SUM(AQ441:AQ442))</f>
        <v/>
      </c>
      <c r="AS448" s="13" t="str">
        <f aca="false">IF(AS390="","",SUM(AS441:AS442)-SUM(AR441:AR442))</f>
        <v/>
      </c>
      <c r="AT448" s="13" t="str">
        <f aca="false">IF(AT390="","",SUM(AT441:AT442)-SUM(AS441:AS442))</f>
        <v/>
      </c>
      <c r="AU448" s="13" t="str">
        <f aca="false">IF(AU390="","",SUM(AU441:AU442)-SUM(AT441:AT442))</f>
        <v/>
      </c>
      <c r="AV448" s="13" t="str">
        <f aca="false">IF(AV390="","",SUM(AV441:AV442)-SUM(AU441:AU442))</f>
        <v/>
      </c>
      <c r="AW448" s="13" t="str">
        <f aca="false">IF(AW390="","",SUM(AW441:AW442)-SUM(AV441:AV442))</f>
        <v/>
      </c>
      <c r="AX448" s="13" t="str">
        <f aca="false">IF(AX390="","",SUM(AX441:AX442)-SUM(AW441:AW442))</f>
        <v/>
      </c>
      <c r="AY448" s="13" t="str">
        <f aca="false">IF(AY390="","",SUM(AY441:AY442)-SUM(AX441:AX442))</f>
        <v/>
      </c>
      <c r="AZ448" s="13" t="str">
        <f aca="false">IF(AZ390="","",SUM(AZ441:AZ442)-SUM(AY441:AY442))</f>
        <v/>
      </c>
      <c r="BA448" s="13" t="str">
        <f aca="false">IF(BA390="","",SUM(BA441:BA442)-SUM(AZ441:AZ442))</f>
        <v/>
      </c>
      <c r="BB448" s="13" t="str">
        <f aca="false">IF(BB390="","",SUM(BB441:BB442)-SUM(BA441:BA442))</f>
        <v/>
      </c>
      <c r="BC448" s="13" t="str">
        <f aca="false">IF(BC390="","",SUM(BC441:BC442)-SUM(BB441:BB442))</f>
        <v/>
      </c>
      <c r="BD448" s="13" t="str">
        <f aca="false">IF(BD390="","",SUM(BD441:BD442)-SUM(BC441:BC442))</f>
        <v/>
      </c>
      <c r="BE448" s="13" t="str">
        <f aca="false">IF(BE390="","",SUM(BE441:BE442)-SUM(BD441:BD442))</f>
        <v/>
      </c>
      <c r="BF448" s="13" t="str">
        <f aca="false">IF(BF390="","",SUM(BF441:BF442)-SUM(BE441:BE442))</f>
        <v/>
      </c>
      <c r="BG448" s="13" t="str">
        <f aca="false">IF(BG390="","",SUM(BG441:BG442)-SUM(BF441:BF442))</f>
        <v/>
      </c>
      <c r="BH448" s="13" t="str">
        <f aca="false">IF(BH390="","",SUM(BH441:BH442)-SUM(BG441:BG442))</f>
        <v/>
      </c>
      <c r="BI448" s="13" t="str">
        <f aca="false">IF(BI390="","",SUM(BI441:BI442)-SUM(BH441:BH442))</f>
        <v/>
      </c>
      <c r="BJ448" s="13" t="str">
        <f aca="false">IF(BJ390="","",SUM(BJ441:BJ442)-SUM(BI441:BI442))</f>
        <v/>
      </c>
      <c r="BK448" s="13" t="str">
        <f aca="false">IF(BK390="","",SUM(BK441:BK442)-SUM(BJ441:BJ442))</f>
        <v/>
      </c>
      <c r="BL448" s="13" t="str">
        <f aca="false">IF(BL390="","",SUM(BL441:BL442)-SUM(BK441:BK442))</f>
        <v/>
      </c>
      <c r="BM448" s="13" t="str">
        <f aca="false">IF(BM390="","",SUM(BM441:BM442)-SUM(BL441:BL442))</f>
        <v/>
      </c>
      <c r="BN448" s="13" t="str">
        <f aca="false">IF(BN390="","",SUM(BN441:BN442)-SUM(BM441:BM442))</f>
        <v/>
      </c>
      <c r="BO448" s="13" t="str">
        <f aca="false">IF(BO390="","",SUM(BO441:BO442)-SUM(BN441:BN442))</f>
        <v/>
      </c>
      <c r="BP448" s="13" t="str">
        <f aca="false">IF(BP390="","",SUM(BP441:BP442)-SUM(BO441:BO442))</f>
        <v/>
      </c>
      <c r="BQ448" s="13" t="str">
        <f aca="false">IF(BQ390="","",SUM(BQ441:BQ442)-SUM(BP441:BP442))</f>
        <v/>
      </c>
      <c r="BR448" s="13" t="str">
        <f aca="false">IF(BR390="","",SUM(BR441:BR442)-SUM(BQ441:BQ442))</f>
        <v/>
      </c>
      <c r="BS448" s="13" t="str">
        <f aca="false">IF(BS390="","",SUM(BS441:BS442)-SUM(BR441:BR442))</f>
        <v/>
      </c>
      <c r="BT448" s="13" t="str">
        <f aca="false">IF(BT390="","",SUM(BT441:BT442)-SUM(BS441:BS442))</f>
        <v/>
      </c>
      <c r="BU448" s="13" t="str">
        <f aca="false">IF(BU390="","",SUM(BU441:BU442)-SUM(BT441:BT442))</f>
        <v/>
      </c>
      <c r="BV448" s="13" t="str">
        <f aca="false">IF(BV390="","",SUM(BV441:BV442)-SUM(BU441:BU442))</f>
        <v/>
      </c>
      <c r="BW448" s="13" t="str">
        <f aca="false">IF(BW390="","",SUM(BW441:BW442)-SUM(BV441:BV442))</f>
        <v/>
      </c>
      <c r="BX448" s="13" t="str">
        <f aca="false">IF(BX390="","",SUM(BX441:BX442)-SUM(BW441:BW442))</f>
        <v/>
      </c>
      <c r="BY448" s="13" t="str">
        <f aca="false">IF(BY390="","",SUM(BY441:BY442)-SUM(BX441:BX442))</f>
        <v/>
      </c>
      <c r="BZ448" s="13" t="str">
        <f aca="false">IF(BZ390="","",SUM(BZ441:BZ442)-SUM(BY441:BY442))</f>
        <v/>
      </c>
      <c r="CA448" s="13" t="str">
        <f aca="false">IF(CA390="","",SUM(CA441:CA442)-SUM(BZ441:BZ442))</f>
        <v/>
      </c>
      <c r="CB448" s="13" t="str">
        <f aca="false">IF(CB390="","",SUM(CB441:CB442)-SUM(CA441:CA442))</f>
        <v/>
      </c>
      <c r="CC448" s="13" t="str">
        <f aca="false">IF(CC390="","",SUM(CC441:CC442)-SUM(CB441:CB442))</f>
        <v/>
      </c>
      <c r="CD448" s="13" t="str">
        <f aca="false">IF(CD390="","",SUM(CD441:CD442)-SUM(CC441:CC442))</f>
        <v/>
      </c>
      <c r="CE448" s="13" t="str">
        <f aca="false">IF(CE390="","",SUM(CE441:CE442)-SUM(CD441:CD442))</f>
        <v/>
      </c>
      <c r="CF448" s="13" t="str">
        <f aca="false">IF(CF390="","",SUM(CF441:CF442)-SUM(CE441:CE442))</f>
        <v/>
      </c>
      <c r="CG448" s="13" t="str">
        <f aca="false">IF(CG390="","",SUM(CG441:CG442)-SUM(CF441:CF442))</f>
        <v/>
      </c>
      <c r="CH448" s="13" t="str">
        <f aca="false">IF(CH390="","",SUM(CH441:CH442)-SUM(CG441:CG442))</f>
        <v/>
      </c>
      <c r="CI448" s="13" t="str">
        <f aca="false">IF(CI390="","",SUM(CI441:CI442)-SUM(CH441:CH442))</f>
        <v/>
      </c>
      <c r="CJ448" s="13" t="str">
        <f aca="false">IF(CJ390="","",SUM(CJ441:CJ442)-SUM(CI441:CI442))</f>
        <v/>
      </c>
      <c r="CK448" s="13" t="str">
        <f aca="false">IF(CK390="","",SUM(CK441:CK442)-SUM(CJ441:CJ442))</f>
        <v/>
      </c>
      <c r="CL448" s="13" t="str">
        <f aca="false">IF(CL390="","",SUM(CL441:CL442)-SUM(CK441:CK442))</f>
        <v/>
      </c>
      <c r="CM448" s="13" t="str">
        <f aca="false">IF(CM390="","",SUM(CM441:CM442)-SUM(CL441:CL442))</f>
        <v/>
      </c>
      <c r="CN448" s="13" t="str">
        <f aca="false">IF(CN390="","",SUM(CN441:CN442)-SUM(CM441:CM442))</f>
        <v/>
      </c>
      <c r="CO448" s="13" t="str">
        <f aca="false">IF(CO390="","",SUM(CO441:CO442)-SUM(CN441:CN442))</f>
        <v/>
      </c>
      <c r="CP448" s="13" t="str">
        <f aca="false">IF(CP390="","",SUM(CP441:CP442)-SUM(CO441:CO442))</f>
        <v/>
      </c>
      <c r="CQ448" s="13" t="str">
        <f aca="false">IF(CQ390="","",SUM(CQ441:CQ442)-SUM(CP441:CP442))</f>
        <v/>
      </c>
      <c r="CR448" s="13" t="str">
        <f aca="false">IF(CR390="","",SUM(CR441:CR442)-SUM(CQ441:CQ442))</f>
        <v/>
      </c>
      <c r="CS448" s="13" t="str">
        <f aca="false">IF(CS390="","",SUM(CS441:CS442)-SUM(CR441:CR442))</f>
        <v/>
      </c>
      <c r="CT448" s="13" t="str">
        <f aca="false">IF(CT390="","",SUM(CT441:CT442)-SUM(CS441:CS442))</f>
        <v/>
      </c>
      <c r="CU448" s="13" t="str">
        <f aca="false">IF(CU390="","",SUM(CU441:CU442)-SUM(CT441:CT442))</f>
        <v/>
      </c>
      <c r="CV448" s="13" t="str">
        <f aca="false">IF(CV390="","",SUM(CV441:CV442)-SUM(CU441:CU442))</f>
        <v/>
      </c>
      <c r="CW448" s="13" t="str">
        <f aca="false">IF(CW390="","",SUM(CW441:CW442)-SUM(CV441:CV442))</f>
        <v/>
      </c>
      <c r="CX448" s="13" t="str">
        <f aca="false">IF(CX390="","",SUM(CX441:CX442)-SUM(CW441:CW442))</f>
        <v/>
      </c>
      <c r="CY448" s="13" t="str">
        <f aca="false">IF(CY390="","",SUM(CY441:CY442)-SUM(CX441:CX442))</f>
        <v/>
      </c>
      <c r="CZ448" s="13" t="str">
        <f aca="false">IF(CZ390="","",SUM(CZ441:CZ442)-SUM(CY441:CY442))</f>
        <v/>
      </c>
      <c r="DA448" s="13" t="str">
        <f aca="false">IF(DA390="","",SUM(DA441:DA442)-SUM(CZ441:CZ442))</f>
        <v/>
      </c>
      <c r="DB448" s="13" t="str">
        <f aca="false">IF(DB390="","",SUM(DB441:DB442)-SUM(DA441:DA442))</f>
        <v/>
      </c>
      <c r="DC448" s="13" t="str">
        <f aca="false">IF(DC390="","",SUM(DC441:DC442)-SUM(DB441:DB442))</f>
        <v/>
      </c>
      <c r="DD448" s="13" t="str">
        <f aca="false">IF(DD390="","",SUM(DD441:DD442)-SUM(DC441:DC442))</f>
        <v/>
      </c>
      <c r="DE448" s="13" t="str">
        <f aca="false">IF(DE390="","",SUM(DE441:DE442)-SUM(DD441:DD442))</f>
        <v/>
      </c>
    </row>
    <row r="449" customFormat="false" ht="15" hidden="false" customHeight="true" outlineLevel="0" collapsed="false">
      <c r="A449" s="22" t="s">
        <v>250</v>
      </c>
      <c r="B449" s="13" t="n">
        <f aca="false">IF(B390="","",B390-B445-B446-B447-B448)</f>
        <v>124223.64</v>
      </c>
      <c r="C449" s="13" t="n">
        <f aca="false">IF(C390="","",C390-C445-C446-C447-C448)</f>
        <v>419098.31</v>
      </c>
      <c r="D449" s="13" t="n">
        <f aca="false">IF(D390="","",D390-D445-D446-D447-D448)</f>
        <v>-239402.78</v>
      </c>
      <c r="E449" s="13" t="n">
        <f aca="false">IF(E390="","",E390-E445-E446-E447-E448)</f>
        <v>-16851.6900000004</v>
      </c>
      <c r="F449" s="13" t="n">
        <f aca="false">IF(F390="","",F390-F445-F446-F447-F448)</f>
        <v>-63042.8500000002</v>
      </c>
      <c r="G449" s="13" t="n">
        <f aca="false">IF(G390="","",G390-G445-G446-G447-G448)</f>
        <v>-162289.24</v>
      </c>
      <c r="H449" s="13" t="n">
        <f aca="false">IF(H390="","",H390-H445-H446-H447-H448)</f>
        <v>-15316.9400000009</v>
      </c>
      <c r="I449" s="13" t="n">
        <f aca="false">IF(I390="","",I390-I445-I446-I447-I448)</f>
        <v>691588.675125</v>
      </c>
      <c r="J449" s="13" t="str">
        <f aca="false">IF(J390="","",J390-J445-J446-J447-J448)</f>
        <v/>
      </c>
      <c r="K449" s="13" t="str">
        <f aca="false">IF(K390="","",K390-K445-K446-K447-K448)</f>
        <v/>
      </c>
      <c r="L449" s="13" t="str">
        <f aca="false">IF(L390="","",L390-L445-L446-L447-L448)</f>
        <v/>
      </c>
      <c r="M449" s="13" t="str">
        <f aca="false">IF(M390="","",M390-M445-M446-M447-M448)</f>
        <v/>
      </c>
      <c r="N449" s="13" t="str">
        <f aca="false">IF(N390="","",N390-N445-N446-N447-N448)</f>
        <v/>
      </c>
      <c r="O449" s="13" t="str">
        <f aca="false">IF(O390="","",O390-O445-O446-O447-O448)</f>
        <v/>
      </c>
      <c r="P449" s="13" t="str">
        <f aca="false">IF(P390="","",P390-P445-P446-P447-P448)</f>
        <v/>
      </c>
      <c r="Q449" s="13" t="str">
        <f aca="false">IF(Q390="","",Q390-Q445-Q446-Q447-Q448)</f>
        <v/>
      </c>
      <c r="R449" s="13" t="str">
        <f aca="false">IF(R390="","",R390-R445-R446-R447-R448)</f>
        <v/>
      </c>
      <c r="S449" s="13" t="str">
        <f aca="false">IF(S390="","",S390-S445-S446-S447-S448)</f>
        <v/>
      </c>
      <c r="T449" s="13" t="str">
        <f aca="false">IF(T390="","",T390-T445-T446-T447-T448)</f>
        <v/>
      </c>
      <c r="U449" s="13" t="str">
        <f aca="false">IF(U390="","",U390-U445-U446-U447-U448)</f>
        <v/>
      </c>
      <c r="V449" s="13" t="str">
        <f aca="false">IF(V390="","",V390-V445-V446-V447-V448)</f>
        <v/>
      </c>
      <c r="W449" s="13" t="str">
        <f aca="false">IF(W390="","",W390-W445-W446-W447-W448)</f>
        <v/>
      </c>
      <c r="X449" s="13" t="str">
        <f aca="false">IF(X390="","",X390-X445-X446-X447-X448)</f>
        <v/>
      </c>
      <c r="Y449" s="13" t="str">
        <f aca="false">IF(Y390="","",Y390-Y445-Y446-Y447-Y448)</f>
        <v/>
      </c>
      <c r="Z449" s="13" t="str">
        <f aca="false">IF(Z390="","",Z390-Z445-Z446-Z447-Z448)</f>
        <v/>
      </c>
      <c r="AA449" s="13" t="str">
        <f aca="false">IF(AA390="","",AA390-AA445-AA446-AA447-AA448)</f>
        <v/>
      </c>
      <c r="AB449" s="13" t="str">
        <f aca="false">IF(AB390="","",AB390-AB445-AB446-AB447-AB448)</f>
        <v/>
      </c>
      <c r="AC449" s="13" t="str">
        <f aca="false">IF(AC390="","",AC390-AC445-AC446-AC447-AC448)</f>
        <v/>
      </c>
      <c r="AD449" s="13" t="str">
        <f aca="false">IF(AD390="","",AD390-AD445-AD446-AD447-AD448)</f>
        <v/>
      </c>
      <c r="AE449" s="13" t="str">
        <f aca="false">IF(AE390="","",AE390-AE445-AE446-AE447-AE448)</f>
        <v/>
      </c>
      <c r="AF449" s="13" t="str">
        <f aca="false">IF(AF390="","",AF390-AF445-AF446-AF447-AF448)</f>
        <v/>
      </c>
      <c r="AG449" s="13" t="str">
        <f aca="false">IF(AG390="","",AG390-AG445-AG446-AG447-AG448)</f>
        <v/>
      </c>
      <c r="AH449" s="13" t="str">
        <f aca="false">IF(AH390="","",AH390-AH445-AH446-AH447-AH448)</f>
        <v/>
      </c>
      <c r="AI449" s="13" t="str">
        <f aca="false">IF(AI390="","",AI390-AI445-AI446-AI447-AI448)</f>
        <v/>
      </c>
      <c r="AJ449" s="13" t="str">
        <f aca="false">IF(AJ390="","",AJ390-AJ445-AJ446-AJ447-AJ448)</f>
        <v/>
      </c>
      <c r="AK449" s="13" t="str">
        <f aca="false">IF(AK390="","",AK390-AK445-AK446-AK447-AK448)</f>
        <v/>
      </c>
      <c r="AL449" s="13" t="str">
        <f aca="false">IF(AL390="","",AL390-AL445-AL446-AL447-AL448)</f>
        <v/>
      </c>
      <c r="AM449" s="13" t="str">
        <f aca="false">IF(AM390="","",AM390-AM445-AM446-AM447-AM448)</f>
        <v/>
      </c>
      <c r="AN449" s="13" t="str">
        <f aca="false">IF(AN390="","",AN390-AN445-AN446-AN447-AN448)</f>
        <v/>
      </c>
      <c r="AO449" s="13" t="str">
        <f aca="false">IF(AO390="","",AO390-AO445-AO446-AO447-AO448)</f>
        <v/>
      </c>
      <c r="AP449" s="13" t="str">
        <f aca="false">IF(AP390="","",AP390-AP445-AP446-AP447-AP448)</f>
        <v/>
      </c>
      <c r="AQ449" s="13" t="str">
        <f aca="false">IF(AQ390="","",AQ390-AQ445-AQ446-AQ447-AQ448)</f>
        <v/>
      </c>
      <c r="AR449" s="13" t="str">
        <f aca="false">IF(AR390="","",AR390-AR445-AR446-AR447-AR448)</f>
        <v/>
      </c>
      <c r="AS449" s="13" t="str">
        <f aca="false">IF(AS390="","",AS390-AS445-AS446-AS447-AS448)</f>
        <v/>
      </c>
      <c r="AT449" s="13" t="str">
        <f aca="false">IF(AT390="","",AT390-AT445-AT446-AT447-AT448)</f>
        <v/>
      </c>
      <c r="AU449" s="13" t="str">
        <f aca="false">IF(AU390="","",AU390-AU445-AU446-AU447-AU448)</f>
        <v/>
      </c>
      <c r="AV449" s="13" t="str">
        <f aca="false">IF(AV390="","",AV390-AV445-AV446-AV447-AV448)</f>
        <v/>
      </c>
      <c r="AW449" s="13" t="str">
        <f aca="false">IF(AW390="","",AW390-AW445-AW446-AW447-AW448)</f>
        <v/>
      </c>
      <c r="AX449" s="13" t="str">
        <f aca="false">IF(AX390="","",AX390-AX445-AX446-AX447-AX448)</f>
        <v/>
      </c>
      <c r="AY449" s="13" t="str">
        <f aca="false">IF(AY390="","",AY390-AY445-AY446-AY447-AY448)</f>
        <v/>
      </c>
      <c r="AZ449" s="13" t="str">
        <f aca="false">IF(AZ390="","",AZ390-AZ445-AZ446-AZ447-AZ448)</f>
        <v/>
      </c>
      <c r="BA449" s="13" t="str">
        <f aca="false">IF(BA390="","",BA390-BA445-BA446-BA447-BA448)</f>
        <v/>
      </c>
      <c r="BB449" s="13" t="str">
        <f aca="false">IF(BB390="","",BB390-BB445-BB446-BB447-BB448)</f>
        <v/>
      </c>
      <c r="BC449" s="13" t="str">
        <f aca="false">IF(BC390="","",BC390-BC445-BC446-BC447-BC448)</f>
        <v/>
      </c>
      <c r="BD449" s="13" t="str">
        <f aca="false">IF(BD390="","",BD390-BD445-BD446-BD447-BD448)</f>
        <v/>
      </c>
      <c r="BE449" s="13" t="str">
        <f aca="false">IF(BE390="","",BE390-BE445-BE446-BE447-BE448)</f>
        <v/>
      </c>
      <c r="BF449" s="13" t="str">
        <f aca="false">IF(BF390="","",BF390-BF445-BF446-BF447-BF448)</f>
        <v/>
      </c>
      <c r="BG449" s="13" t="str">
        <f aca="false">IF(BG390="","",BG390-BG445-BG446-BG447-BG448)</f>
        <v/>
      </c>
      <c r="BH449" s="13" t="str">
        <f aca="false">IF(BH390="","",BH390-BH445-BH446-BH447-BH448)</f>
        <v/>
      </c>
      <c r="BI449" s="13" t="str">
        <f aca="false">IF(BI390="","",BI390-BI445-BI446-BI447-BI448)</f>
        <v/>
      </c>
      <c r="BJ449" s="13" t="str">
        <f aca="false">IF(BJ390="","",BJ390-BJ445-BJ446-BJ447-BJ448)</f>
        <v/>
      </c>
      <c r="BK449" s="13" t="str">
        <f aca="false">IF(BK390="","",BK390-BK445-BK446-BK447-BK448)</f>
        <v/>
      </c>
      <c r="BL449" s="13" t="str">
        <f aca="false">IF(BL390="","",BL390-BL445-BL446-BL447-BL448)</f>
        <v/>
      </c>
      <c r="BM449" s="13" t="str">
        <f aca="false">IF(BM390="","",BM390-BM445-BM446-BM447-BM448)</f>
        <v/>
      </c>
      <c r="BN449" s="13" t="str">
        <f aca="false">IF(BN390="","",BN390-BN445-BN446-BN447-BN448)</f>
        <v/>
      </c>
      <c r="BO449" s="13" t="str">
        <f aca="false">IF(BO390="","",BO390-BO445-BO446-BO447-BO448)</f>
        <v/>
      </c>
      <c r="BP449" s="13" t="str">
        <f aca="false">IF(BP390="","",BP390-BP445-BP446-BP447-BP448)</f>
        <v/>
      </c>
      <c r="BQ449" s="13" t="str">
        <f aca="false">IF(BQ390="","",BQ390-BQ445-BQ446-BQ447-BQ448)</f>
        <v/>
      </c>
      <c r="BR449" s="13" t="str">
        <f aca="false">IF(BR390="","",BR390-BR445-BR446-BR447-BR448)</f>
        <v/>
      </c>
      <c r="BS449" s="13" t="str">
        <f aca="false">IF(BS390="","",BS390-BS445-BS446-BS447-BS448)</f>
        <v/>
      </c>
      <c r="BT449" s="13" t="str">
        <f aca="false">IF(BT390="","",BT390-BT445-BT446-BT447-BT448)</f>
        <v/>
      </c>
      <c r="BU449" s="13" t="str">
        <f aca="false">IF(BU390="","",BU390-BU445-BU446-BU447-BU448)</f>
        <v/>
      </c>
      <c r="BV449" s="13" t="str">
        <f aca="false">IF(BV390="","",BV390-BV445-BV446-BV447-BV448)</f>
        <v/>
      </c>
      <c r="BW449" s="13" t="str">
        <f aca="false">IF(BW390="","",BW390-BW445-BW446-BW447-BW448)</f>
        <v/>
      </c>
      <c r="BX449" s="13" t="str">
        <f aca="false">IF(BX390="","",BX390-BX445-BX446-BX447-BX448)</f>
        <v/>
      </c>
      <c r="BY449" s="13" t="str">
        <f aca="false">IF(BY390="","",BY390-BY445-BY446-BY447-BY448)</f>
        <v/>
      </c>
      <c r="BZ449" s="13" t="str">
        <f aca="false">IF(BZ390="","",BZ390-BZ445-BZ446-BZ447-BZ448)</f>
        <v/>
      </c>
      <c r="CA449" s="13" t="str">
        <f aca="false">IF(CA390="","",CA390-CA445-CA446-CA447-CA448)</f>
        <v/>
      </c>
      <c r="CB449" s="13" t="str">
        <f aca="false">IF(CB390="","",CB390-CB445-CB446-CB447-CB448)</f>
        <v/>
      </c>
      <c r="CC449" s="13" t="str">
        <f aca="false">IF(CC390="","",CC390-CC445-CC446-CC447-CC448)</f>
        <v/>
      </c>
      <c r="CD449" s="13" t="str">
        <f aca="false">IF(CD390="","",CD390-CD445-CD446-CD447-CD448)</f>
        <v/>
      </c>
      <c r="CE449" s="13" t="str">
        <f aca="false">IF(CE390="","",CE390-CE445-CE446-CE447-CE448)</f>
        <v/>
      </c>
      <c r="CF449" s="13" t="str">
        <f aca="false">IF(CF390="","",CF390-CF445-CF446-CF447-CF448)</f>
        <v/>
      </c>
      <c r="CG449" s="13" t="str">
        <f aca="false">IF(CG390="","",CG390-CG445-CG446-CG447-CG448)</f>
        <v/>
      </c>
      <c r="CH449" s="13" t="str">
        <f aca="false">IF(CH390="","",CH390-CH445-CH446-CH447-CH448)</f>
        <v/>
      </c>
      <c r="CI449" s="13" t="str">
        <f aca="false">IF(CI390="","",CI390-CI445-CI446-CI447-CI448)</f>
        <v/>
      </c>
      <c r="CJ449" s="13" t="str">
        <f aca="false">IF(CJ390="","",CJ390-CJ445-CJ446-CJ447-CJ448)</f>
        <v/>
      </c>
      <c r="CK449" s="13" t="str">
        <f aca="false">IF(CK390="","",CK390-CK445-CK446-CK447-CK448)</f>
        <v/>
      </c>
      <c r="CL449" s="13" t="str">
        <f aca="false">IF(CL390="","",CL390-CL445-CL446-CL447-CL448)</f>
        <v/>
      </c>
      <c r="CM449" s="13" t="str">
        <f aca="false">IF(CM390="","",CM390-CM445-CM446-CM447-CM448)</f>
        <v/>
      </c>
      <c r="CN449" s="13" t="str">
        <f aca="false">IF(CN390="","",CN390-CN445-CN446-CN447-CN448)</f>
        <v/>
      </c>
      <c r="CO449" s="13" t="str">
        <f aca="false">IF(CO390="","",CO390-CO445-CO446-CO447-CO448)</f>
        <v/>
      </c>
      <c r="CP449" s="13" t="str">
        <f aca="false">IF(CP390="","",CP390-CP445-CP446-CP447-CP448)</f>
        <v/>
      </c>
      <c r="CQ449" s="13" t="str">
        <f aca="false">IF(CQ390="","",CQ390-CQ445-CQ446-CQ447-CQ448)</f>
        <v/>
      </c>
      <c r="CR449" s="13" t="str">
        <f aca="false">IF(CR390="","",CR390-CR445-CR446-CR447-CR448)</f>
        <v/>
      </c>
      <c r="CS449" s="13" t="str">
        <f aca="false">IF(CS390="","",CS390-CS445-CS446-CS447-CS448)</f>
        <v/>
      </c>
      <c r="CT449" s="13" t="str">
        <f aca="false">IF(CT390="","",CT390-CT445-CT446-CT447-CT448)</f>
        <v/>
      </c>
      <c r="CU449" s="13" t="str">
        <f aca="false">IF(CU390="","",CU390-CU445-CU446-CU447-CU448)</f>
        <v/>
      </c>
      <c r="CV449" s="13" t="str">
        <f aca="false">IF(CV390="","",CV390-CV445-CV446-CV447-CV448)</f>
        <v/>
      </c>
      <c r="CW449" s="13" t="str">
        <f aca="false">IF(CW390="","",CW390-CW445-CW446-CW447-CW448)</f>
        <v/>
      </c>
      <c r="CX449" s="13" t="str">
        <f aca="false">IF(CX390="","",CX390-CX445-CX446-CX447-CX448)</f>
        <v/>
      </c>
      <c r="CY449" s="13" t="str">
        <f aca="false">IF(CY390="","",CY390-CY445-CY446-CY447-CY448)</f>
        <v/>
      </c>
      <c r="CZ449" s="13" t="str">
        <f aca="false">IF(CZ390="","",CZ390-CZ445-CZ446-CZ447-CZ448)</f>
        <v/>
      </c>
      <c r="DA449" s="13" t="str">
        <f aca="false">IF(DA390="","",DA390-DA445-DA446-DA447-DA448)</f>
        <v/>
      </c>
      <c r="DB449" s="13" t="str">
        <f aca="false">IF(DB390="","",DB390-DB445-DB446-DB447-DB448)</f>
        <v/>
      </c>
      <c r="DC449" s="13" t="str">
        <f aca="false">IF(DC390="","",DC390-DC445-DC446-DC447-DC448)</f>
        <v/>
      </c>
      <c r="DD449" s="13" t="str">
        <f aca="false">IF(DD390="","",DD390-DD445-DD446-DD447-DD448)</f>
        <v/>
      </c>
      <c r="DE449" s="13" t="str">
        <f aca="false">IF(DE390="","",DE390-DE445-DE446-DE447-DE448)</f>
        <v/>
      </c>
    </row>
    <row r="450" customFormat="false" ht="15" hidden="false" customHeight="true" outlineLevel="0" collapsed="false">
      <c r="A450" s="67" t="s">
        <v>251</v>
      </c>
      <c r="B450" s="68" t="n">
        <f aca="false">IF(B390="","",B390)</f>
        <v>680024</v>
      </c>
      <c r="C450" s="68" t="n">
        <f aca="false">IF(C390="","",C390)</f>
        <v>115848</v>
      </c>
      <c r="D450" s="68" t="n">
        <f aca="false">IF(D390="","",D390)</f>
        <v>633520</v>
      </c>
      <c r="E450" s="68" t="n">
        <f aca="false">IF(E390="","",E390)</f>
        <v>394004</v>
      </c>
      <c r="F450" s="68" t="n">
        <f aca="false">IF(F390="","",F390)</f>
        <v>501967</v>
      </c>
      <c r="G450" s="68" t="n">
        <f aca="false">IF(G390="","",G390)</f>
        <v>306139</v>
      </c>
      <c r="H450" s="68" t="n">
        <f aca="false">IF(H390="","",H390)</f>
        <v>283340</v>
      </c>
      <c r="I450" s="68" t="n">
        <f aca="false">IF(I390="","",I390)</f>
        <v>1287106</v>
      </c>
      <c r="J450" s="68" t="str">
        <f aca="false">IF(J390="","",J390)</f>
        <v/>
      </c>
      <c r="K450" s="68" t="str">
        <f aca="false">IF(K390="","",K390)</f>
        <v/>
      </c>
      <c r="L450" s="68" t="str">
        <f aca="false">IF(L390="","",L390)</f>
        <v/>
      </c>
      <c r="M450" s="68" t="str">
        <f aca="false">IF(M390="","",M390)</f>
        <v/>
      </c>
      <c r="N450" s="68" t="str">
        <f aca="false">IF(N390="","",N390)</f>
        <v/>
      </c>
      <c r="O450" s="68" t="str">
        <f aca="false">IF(O390="","",O390)</f>
        <v/>
      </c>
      <c r="P450" s="68" t="str">
        <f aca="false">IF(P390="","",P390)</f>
        <v/>
      </c>
      <c r="Q450" s="68" t="str">
        <f aca="false">IF(Q390="","",Q390)</f>
        <v/>
      </c>
      <c r="R450" s="68" t="str">
        <f aca="false">IF(R390="","",R390)</f>
        <v/>
      </c>
      <c r="S450" s="68" t="str">
        <f aca="false">IF(S390="","",S390)</f>
        <v/>
      </c>
      <c r="T450" s="68" t="str">
        <f aca="false">IF(T390="","",T390)</f>
        <v/>
      </c>
      <c r="U450" s="68" t="str">
        <f aca="false">IF(U390="","",U390)</f>
        <v/>
      </c>
      <c r="V450" s="68" t="str">
        <f aca="false">IF(V390="","",V390)</f>
        <v/>
      </c>
      <c r="W450" s="68" t="str">
        <f aca="false">IF(W390="","",W390)</f>
        <v/>
      </c>
      <c r="X450" s="68" t="str">
        <f aca="false">IF(X390="","",X390)</f>
        <v/>
      </c>
      <c r="Y450" s="68" t="str">
        <f aca="false">IF(Y390="","",Y390)</f>
        <v/>
      </c>
      <c r="Z450" s="68" t="str">
        <f aca="false">IF(Z390="","",Z390)</f>
        <v/>
      </c>
      <c r="AA450" s="68" t="str">
        <f aca="false">IF(AA390="","",AA390)</f>
        <v/>
      </c>
      <c r="AB450" s="68" t="str">
        <f aca="false">IF(AB390="","",AB390)</f>
        <v/>
      </c>
      <c r="AC450" s="68" t="str">
        <f aca="false">IF(AC390="","",AC390)</f>
        <v/>
      </c>
      <c r="AD450" s="68" t="str">
        <f aca="false">IF(AD390="","",AD390)</f>
        <v/>
      </c>
      <c r="AE450" s="68" t="str">
        <f aca="false">IF(AE390="","",AE390)</f>
        <v/>
      </c>
      <c r="AF450" s="68" t="str">
        <f aca="false">IF(AF390="","",AF390)</f>
        <v/>
      </c>
      <c r="AG450" s="68" t="str">
        <f aca="false">IF(AG390="","",AG390)</f>
        <v/>
      </c>
      <c r="AH450" s="68" t="str">
        <f aca="false">IF(AH390="","",AH390)</f>
        <v/>
      </c>
      <c r="AI450" s="68" t="str">
        <f aca="false">IF(AI390="","",AI390)</f>
        <v/>
      </c>
      <c r="AJ450" s="68" t="str">
        <f aca="false">IF(AJ390="","",AJ390)</f>
        <v/>
      </c>
      <c r="AK450" s="68" t="str">
        <f aca="false">IF(AK390="","",AK390)</f>
        <v/>
      </c>
      <c r="AL450" s="68" t="str">
        <f aca="false">IF(AL390="","",AL390)</f>
        <v/>
      </c>
      <c r="AM450" s="68" t="str">
        <f aca="false">IF(AM390="","",AM390)</f>
        <v/>
      </c>
      <c r="AN450" s="68" t="str">
        <f aca="false">IF(AN390="","",AN390)</f>
        <v/>
      </c>
      <c r="AO450" s="68" t="str">
        <f aca="false">IF(AO390="","",AO390)</f>
        <v/>
      </c>
      <c r="AP450" s="68" t="str">
        <f aca="false">IF(AP390="","",AP390)</f>
        <v/>
      </c>
      <c r="AQ450" s="68" t="str">
        <f aca="false">IF(AQ390="","",AQ390)</f>
        <v/>
      </c>
      <c r="AR450" s="68" t="str">
        <f aca="false">IF(AR390="","",AR390)</f>
        <v/>
      </c>
      <c r="AS450" s="68" t="str">
        <f aca="false">IF(AS390="","",AS390)</f>
        <v/>
      </c>
      <c r="AT450" s="68" t="str">
        <f aca="false">IF(AT390="","",AT390)</f>
        <v/>
      </c>
      <c r="AU450" s="68" t="str">
        <f aca="false">IF(AU390="","",AU390)</f>
        <v/>
      </c>
      <c r="AV450" s="68" t="str">
        <f aca="false">IF(AV390="","",AV390)</f>
        <v/>
      </c>
      <c r="AW450" s="68" t="str">
        <f aca="false">IF(AW390="","",AW390)</f>
        <v/>
      </c>
      <c r="AX450" s="68" t="str">
        <f aca="false">IF(AX390="","",AX390)</f>
        <v/>
      </c>
      <c r="AY450" s="68" t="str">
        <f aca="false">IF(AY390="","",AY390)</f>
        <v/>
      </c>
      <c r="AZ450" s="68" t="str">
        <f aca="false">IF(AZ390="","",AZ390)</f>
        <v/>
      </c>
      <c r="BA450" s="68" t="str">
        <f aca="false">IF(BA390="","",BA390)</f>
        <v/>
      </c>
      <c r="BB450" s="68" t="str">
        <f aca="false">IF(BB390="","",BB390)</f>
        <v/>
      </c>
      <c r="BC450" s="68" t="str">
        <f aca="false">IF(BC390="","",BC390)</f>
        <v/>
      </c>
      <c r="BD450" s="68" t="str">
        <f aca="false">IF(BD390="","",BD390)</f>
        <v/>
      </c>
      <c r="BE450" s="68" t="str">
        <f aca="false">IF(BE390="","",BE390)</f>
        <v/>
      </c>
      <c r="BF450" s="68" t="str">
        <f aca="false">IF(BF390="","",BF390)</f>
        <v/>
      </c>
      <c r="BG450" s="68" t="str">
        <f aca="false">IF(BG390="","",BG390)</f>
        <v/>
      </c>
      <c r="BH450" s="68" t="str">
        <f aca="false">IF(BH390="","",BH390)</f>
        <v/>
      </c>
      <c r="BI450" s="68" t="str">
        <f aca="false">IF(BI390="","",BI390)</f>
        <v/>
      </c>
      <c r="BJ450" s="68" t="str">
        <f aca="false">IF(BJ390="","",BJ390)</f>
        <v/>
      </c>
      <c r="BK450" s="68" t="str">
        <f aca="false">IF(BK390="","",BK390)</f>
        <v/>
      </c>
      <c r="BL450" s="68" t="str">
        <f aca="false">IF(BL390="","",BL390)</f>
        <v/>
      </c>
      <c r="BM450" s="68" t="str">
        <f aca="false">IF(BM390="","",BM390)</f>
        <v/>
      </c>
      <c r="BN450" s="68" t="str">
        <f aca="false">IF(BN390="","",BN390)</f>
        <v/>
      </c>
      <c r="BO450" s="68" t="str">
        <f aca="false">IF(BO390="","",BO390)</f>
        <v/>
      </c>
      <c r="BP450" s="68" t="str">
        <f aca="false">IF(BP390="","",BP390)</f>
        <v/>
      </c>
      <c r="BQ450" s="68" t="str">
        <f aca="false">IF(BQ390="","",BQ390)</f>
        <v/>
      </c>
      <c r="BR450" s="68" t="str">
        <f aca="false">IF(BR390="","",BR390)</f>
        <v/>
      </c>
      <c r="BS450" s="68" t="str">
        <f aca="false">IF(BS390="","",BS390)</f>
        <v/>
      </c>
      <c r="BT450" s="68" t="str">
        <f aca="false">IF(BT390="","",BT390)</f>
        <v/>
      </c>
      <c r="BU450" s="68" t="str">
        <f aca="false">IF(BU390="","",BU390)</f>
        <v/>
      </c>
      <c r="BV450" s="68" t="str">
        <f aca="false">IF(BV390="","",BV390)</f>
        <v/>
      </c>
      <c r="BW450" s="68" t="str">
        <f aca="false">IF(BW390="","",BW390)</f>
        <v/>
      </c>
      <c r="BX450" s="68" t="str">
        <f aca="false">IF(BX390="","",BX390)</f>
        <v/>
      </c>
      <c r="BY450" s="68" t="str">
        <f aca="false">IF(BY390="","",BY390)</f>
        <v/>
      </c>
      <c r="BZ450" s="68" t="str">
        <f aca="false">IF(BZ390="","",BZ390)</f>
        <v/>
      </c>
      <c r="CA450" s="68" t="str">
        <f aca="false">IF(CA390="","",CA390)</f>
        <v/>
      </c>
      <c r="CB450" s="68" t="str">
        <f aca="false">IF(CB390="","",CB390)</f>
        <v/>
      </c>
      <c r="CC450" s="68" t="str">
        <f aca="false">IF(CC390="","",CC390)</f>
        <v/>
      </c>
      <c r="CD450" s="68" t="str">
        <f aca="false">IF(CD390="","",CD390)</f>
        <v/>
      </c>
      <c r="CE450" s="68" t="str">
        <f aca="false">IF(CE390="","",CE390)</f>
        <v/>
      </c>
      <c r="CF450" s="68" t="str">
        <f aca="false">IF(CF390="","",CF390)</f>
        <v/>
      </c>
      <c r="CG450" s="68" t="str">
        <f aca="false">IF(CG390="","",CG390)</f>
        <v/>
      </c>
      <c r="CH450" s="68" t="str">
        <f aca="false">IF(CH390="","",CH390)</f>
        <v/>
      </c>
      <c r="CI450" s="68" t="str">
        <f aca="false">IF(CI390="","",CI390)</f>
        <v/>
      </c>
      <c r="CJ450" s="68" t="str">
        <f aca="false">IF(CJ390="","",CJ390)</f>
        <v/>
      </c>
      <c r="CK450" s="68" t="str">
        <f aca="false">IF(CK390="","",CK390)</f>
        <v/>
      </c>
      <c r="CL450" s="68" t="str">
        <f aca="false">IF(CL390="","",CL390)</f>
        <v/>
      </c>
      <c r="CM450" s="68" t="str">
        <f aca="false">IF(CM390="","",CM390)</f>
        <v/>
      </c>
      <c r="CN450" s="68" t="str">
        <f aca="false">IF(CN390="","",CN390)</f>
        <v/>
      </c>
      <c r="CO450" s="68" t="str">
        <f aca="false">IF(CO390="","",CO390)</f>
        <v/>
      </c>
      <c r="CP450" s="68" t="str">
        <f aca="false">IF(CP390="","",CP390)</f>
        <v/>
      </c>
      <c r="CQ450" s="68" t="str">
        <f aca="false">IF(CQ390="","",CQ390)</f>
        <v/>
      </c>
      <c r="CR450" s="68" t="str">
        <f aca="false">IF(CR390="","",CR390)</f>
        <v/>
      </c>
      <c r="CS450" s="68" t="str">
        <f aca="false">IF(CS390="","",CS390)</f>
        <v/>
      </c>
      <c r="CT450" s="68" t="str">
        <f aca="false">IF(CT390="","",CT390)</f>
        <v/>
      </c>
      <c r="CU450" s="68" t="str">
        <f aca="false">IF(CU390="","",CU390)</f>
        <v/>
      </c>
      <c r="CV450" s="68" t="str">
        <f aca="false">IF(CV390="","",CV390)</f>
        <v/>
      </c>
      <c r="CW450" s="68" t="str">
        <f aca="false">IF(CW390="","",CW390)</f>
        <v/>
      </c>
      <c r="CX450" s="68" t="str">
        <f aca="false">IF(CX390="","",CX390)</f>
        <v/>
      </c>
      <c r="CY450" s="68" t="str">
        <f aca="false">IF(CY390="","",CY390)</f>
        <v/>
      </c>
      <c r="CZ450" s="68" t="str">
        <f aca="false">IF(CZ390="","",CZ390)</f>
        <v/>
      </c>
      <c r="DA450" s="68" t="str">
        <f aca="false">IF(DA390="","",DA390)</f>
        <v/>
      </c>
      <c r="DB450" s="68" t="str">
        <f aca="false">IF(DB390="","",DB390)</f>
        <v/>
      </c>
      <c r="DC450" s="68" t="str">
        <f aca="false">IF(DC390="","",DC390)</f>
        <v/>
      </c>
      <c r="DD450" s="68" t="str">
        <f aca="false">IF(DD390="","",DD390)</f>
        <v/>
      </c>
      <c r="DE450" s="68" t="str">
        <f aca="false">IF(DE390="","",DE390)</f>
        <v/>
      </c>
    </row>
    <row r="451" customFormat="false" ht="15" hidden="false" customHeight="true" outlineLevel="0" collapsed="false">
      <c r="A451" s="22" t="s">
        <v>252</v>
      </c>
      <c r="B451" s="13" t="n">
        <f aca="false">IF(B390="","",B390-B445-B446)</f>
        <v>232281.64</v>
      </c>
      <c r="C451" s="13" t="n">
        <f aca="false">IF(C390="","",C390-C445-C446)</f>
        <v>-252866.69</v>
      </c>
      <c r="D451" s="13" t="n">
        <f aca="false">IF(D390="","",D390-D445-D446)</f>
        <v>275425.22</v>
      </c>
      <c r="E451" s="13" t="n">
        <f aca="false">IF(E390="","",E390-E445-E446)</f>
        <v>-613442.69</v>
      </c>
      <c r="F451" s="13" t="n">
        <f aca="false">IF(F390="","",F390-F445-F446)</f>
        <v>80341.1499999998</v>
      </c>
      <c r="G451" s="13" t="n">
        <f aca="false">IF(G390="","",G390-G445-G446)</f>
        <v>-513725.24</v>
      </c>
      <c r="H451" s="13" t="n">
        <f aca="false">IF(H390="","",H390-H445-H446)</f>
        <v>-1467936.94</v>
      </c>
      <c r="I451" s="13" t="n">
        <f aca="false">IF(I390="","",I390-I445-I446)</f>
        <v>1521070.675125</v>
      </c>
      <c r="J451" s="13" t="str">
        <f aca="false">IF(J390="","",J390-J445-J446)</f>
        <v/>
      </c>
      <c r="K451" s="13" t="str">
        <f aca="false">IF(K390="","",K390-K445-K446)</f>
        <v/>
      </c>
      <c r="L451" s="13" t="str">
        <f aca="false">IF(L390="","",L390-L445-L446)</f>
        <v/>
      </c>
      <c r="M451" s="13" t="str">
        <f aca="false">IF(M390="","",M390-M445-M446)</f>
        <v/>
      </c>
      <c r="N451" s="13" t="str">
        <f aca="false">IF(N390="","",N390-N445-N446)</f>
        <v/>
      </c>
      <c r="O451" s="13" t="str">
        <f aca="false">IF(O390="","",O390-O445-O446)</f>
        <v/>
      </c>
      <c r="P451" s="13" t="str">
        <f aca="false">IF(P390="","",P390-P445-P446)</f>
        <v/>
      </c>
      <c r="Q451" s="13" t="str">
        <f aca="false">IF(Q390="","",Q390-Q445-Q446)</f>
        <v/>
      </c>
      <c r="R451" s="13" t="str">
        <f aca="false">IF(R390="","",R390-R445-R446)</f>
        <v/>
      </c>
      <c r="S451" s="13" t="str">
        <f aca="false">IF(S390="","",S390-S445-S446)</f>
        <v/>
      </c>
      <c r="T451" s="13" t="str">
        <f aca="false">IF(T390="","",T390-T445-T446)</f>
        <v/>
      </c>
      <c r="U451" s="13" t="str">
        <f aca="false">IF(U390="","",U390-U445-U446)</f>
        <v/>
      </c>
      <c r="V451" s="13" t="str">
        <f aca="false">IF(V390="","",V390-V445-V446)</f>
        <v/>
      </c>
      <c r="W451" s="13" t="str">
        <f aca="false">IF(W390="","",W390-W445-W446)</f>
        <v/>
      </c>
      <c r="X451" s="13" t="str">
        <f aca="false">IF(X390="","",X390-X445-X446)</f>
        <v/>
      </c>
      <c r="Y451" s="13" t="str">
        <f aca="false">IF(Y390="","",Y390-Y445-Y446)</f>
        <v/>
      </c>
      <c r="Z451" s="13" t="str">
        <f aca="false">IF(Z390="","",Z390-Z445-Z446)</f>
        <v/>
      </c>
      <c r="AA451" s="13" t="str">
        <f aca="false">IF(AA390="","",AA390-AA445-AA446)</f>
        <v/>
      </c>
      <c r="AB451" s="13" t="str">
        <f aca="false">IF(AB390="","",AB390-AB445-AB446)</f>
        <v/>
      </c>
      <c r="AC451" s="13" t="str">
        <f aca="false">IF(AC390="","",AC390-AC445-AC446)</f>
        <v/>
      </c>
      <c r="AD451" s="13" t="str">
        <f aca="false">IF(AD390="","",AD390-AD445-AD446)</f>
        <v/>
      </c>
      <c r="AE451" s="13" t="str">
        <f aca="false">IF(AE390="","",AE390-AE445-AE446)</f>
        <v/>
      </c>
      <c r="AF451" s="13" t="str">
        <f aca="false">IF(AF390="","",AF390-AF445-AF446)</f>
        <v/>
      </c>
      <c r="AG451" s="13" t="str">
        <f aca="false">IF(AG390="","",AG390-AG445-AG446)</f>
        <v/>
      </c>
      <c r="AH451" s="13" t="str">
        <f aca="false">IF(AH390="","",AH390-AH445-AH446)</f>
        <v/>
      </c>
      <c r="AI451" s="13" t="str">
        <f aca="false">IF(AI390="","",AI390-AI445-AI446)</f>
        <v/>
      </c>
      <c r="AJ451" s="13" t="str">
        <f aca="false">IF(AJ390="","",AJ390-AJ445-AJ446)</f>
        <v/>
      </c>
      <c r="AK451" s="13" t="str">
        <f aca="false">IF(AK390="","",AK390-AK445-AK446)</f>
        <v/>
      </c>
      <c r="AL451" s="13" t="str">
        <f aca="false">IF(AL390="","",AL390-AL445-AL446)</f>
        <v/>
      </c>
      <c r="AM451" s="13" t="str">
        <f aca="false">IF(AM390="","",AM390-AM445-AM446)</f>
        <v/>
      </c>
      <c r="AN451" s="13" t="str">
        <f aca="false">IF(AN390="","",AN390-AN445-AN446)</f>
        <v/>
      </c>
      <c r="AO451" s="13" t="str">
        <f aca="false">IF(AO390="","",AO390-AO445-AO446)</f>
        <v/>
      </c>
      <c r="AP451" s="13" t="str">
        <f aca="false">IF(AP390="","",AP390-AP445-AP446)</f>
        <v/>
      </c>
      <c r="AQ451" s="13" t="str">
        <f aca="false">IF(AQ390="","",AQ390-AQ445-AQ446)</f>
        <v/>
      </c>
      <c r="AR451" s="13" t="str">
        <f aca="false">IF(AR390="","",AR390-AR445-AR446)</f>
        <v/>
      </c>
      <c r="AS451" s="13" t="str">
        <f aca="false">IF(AS390="","",AS390-AS445-AS446)</f>
        <v/>
      </c>
      <c r="AT451" s="13" t="str">
        <f aca="false">IF(AT390="","",AT390-AT445-AT446)</f>
        <v/>
      </c>
      <c r="AU451" s="13" t="str">
        <f aca="false">IF(AU390="","",AU390-AU445-AU446)</f>
        <v/>
      </c>
      <c r="AV451" s="13" t="str">
        <f aca="false">IF(AV390="","",AV390-AV445-AV446)</f>
        <v/>
      </c>
      <c r="AW451" s="13" t="str">
        <f aca="false">IF(AW390="","",AW390-AW445-AW446)</f>
        <v/>
      </c>
      <c r="AX451" s="13" t="str">
        <f aca="false">IF(AX390="","",AX390-AX445-AX446)</f>
        <v/>
      </c>
      <c r="AY451" s="13" t="str">
        <f aca="false">IF(AY390="","",AY390-AY445-AY446)</f>
        <v/>
      </c>
      <c r="AZ451" s="13" t="str">
        <f aca="false">IF(AZ390="","",AZ390-AZ445-AZ446)</f>
        <v/>
      </c>
      <c r="BA451" s="13" t="str">
        <f aca="false">IF(BA390="","",BA390-BA445-BA446)</f>
        <v/>
      </c>
      <c r="BB451" s="13" t="str">
        <f aca="false">IF(BB390="","",BB390-BB445-BB446)</f>
        <v/>
      </c>
      <c r="BC451" s="13" t="str">
        <f aca="false">IF(BC390="","",BC390-BC445-BC446)</f>
        <v/>
      </c>
      <c r="BD451" s="13" t="str">
        <f aca="false">IF(BD390="","",BD390-BD445-BD446)</f>
        <v/>
      </c>
      <c r="BE451" s="13" t="str">
        <f aca="false">IF(BE390="","",BE390-BE445-BE446)</f>
        <v/>
      </c>
      <c r="BF451" s="13" t="str">
        <f aca="false">IF(BF390="","",BF390-BF445-BF446)</f>
        <v/>
      </c>
      <c r="BG451" s="13" t="str">
        <f aca="false">IF(BG390="","",BG390-BG445-BG446)</f>
        <v/>
      </c>
      <c r="BH451" s="13" t="str">
        <f aca="false">IF(BH390="","",BH390-BH445-BH446)</f>
        <v/>
      </c>
      <c r="BI451" s="13" t="str">
        <f aca="false">IF(BI390="","",BI390-BI445-BI446)</f>
        <v/>
      </c>
      <c r="BJ451" s="13" t="str">
        <f aca="false">IF(BJ390="","",BJ390-BJ445-BJ446)</f>
        <v/>
      </c>
      <c r="BK451" s="13" t="str">
        <f aca="false">IF(BK390="","",BK390-BK445-BK446)</f>
        <v/>
      </c>
      <c r="BL451" s="13" t="str">
        <f aca="false">IF(BL390="","",BL390-BL445-BL446)</f>
        <v/>
      </c>
      <c r="BM451" s="13" t="str">
        <f aca="false">IF(BM390="","",BM390-BM445-BM446)</f>
        <v/>
      </c>
      <c r="BN451" s="13" t="str">
        <f aca="false">IF(BN390="","",BN390-BN445-BN446)</f>
        <v/>
      </c>
      <c r="BO451" s="13" t="str">
        <f aca="false">IF(BO390="","",BO390-BO445-BO446)</f>
        <v/>
      </c>
      <c r="BP451" s="13" t="str">
        <f aca="false">IF(BP390="","",BP390-BP445-BP446)</f>
        <v/>
      </c>
      <c r="BQ451" s="13" t="str">
        <f aca="false">IF(BQ390="","",BQ390-BQ445-BQ446)</f>
        <v/>
      </c>
      <c r="BR451" s="13" t="str">
        <f aca="false">IF(BR390="","",BR390-BR445-BR446)</f>
        <v/>
      </c>
      <c r="BS451" s="13" t="str">
        <f aca="false">IF(BS390="","",BS390-BS445-BS446)</f>
        <v/>
      </c>
      <c r="BT451" s="13" t="str">
        <f aca="false">IF(BT390="","",BT390-BT445-BT446)</f>
        <v/>
      </c>
      <c r="BU451" s="13" t="str">
        <f aca="false">IF(BU390="","",BU390-BU445-BU446)</f>
        <v/>
      </c>
      <c r="BV451" s="13" t="str">
        <f aca="false">IF(BV390="","",BV390-BV445-BV446)</f>
        <v/>
      </c>
      <c r="BW451" s="13" t="str">
        <f aca="false">IF(BW390="","",BW390-BW445-BW446)</f>
        <v/>
      </c>
      <c r="BX451" s="13" t="str">
        <f aca="false">IF(BX390="","",BX390-BX445-BX446)</f>
        <v/>
      </c>
      <c r="BY451" s="13" t="str">
        <f aca="false">IF(BY390="","",BY390-BY445-BY446)</f>
        <v/>
      </c>
      <c r="BZ451" s="13" t="str">
        <f aca="false">IF(BZ390="","",BZ390-BZ445-BZ446)</f>
        <v/>
      </c>
      <c r="CA451" s="13" t="str">
        <f aca="false">IF(CA390="","",CA390-CA445-CA446)</f>
        <v/>
      </c>
      <c r="CB451" s="13" t="str">
        <f aca="false">IF(CB390="","",CB390-CB445-CB446)</f>
        <v/>
      </c>
      <c r="CC451" s="13" t="str">
        <f aca="false">IF(CC390="","",CC390-CC445-CC446)</f>
        <v/>
      </c>
      <c r="CD451" s="13" t="str">
        <f aca="false">IF(CD390="","",CD390-CD445-CD446)</f>
        <v/>
      </c>
      <c r="CE451" s="13" t="str">
        <f aca="false">IF(CE390="","",CE390-CE445-CE446)</f>
        <v/>
      </c>
      <c r="CF451" s="13" t="str">
        <f aca="false">IF(CF390="","",CF390-CF445-CF446)</f>
        <v/>
      </c>
      <c r="CG451" s="13" t="str">
        <f aca="false">IF(CG390="","",CG390-CG445-CG446)</f>
        <v/>
      </c>
      <c r="CH451" s="13" t="str">
        <f aca="false">IF(CH390="","",CH390-CH445-CH446)</f>
        <v/>
      </c>
      <c r="CI451" s="13" t="str">
        <f aca="false">IF(CI390="","",CI390-CI445-CI446)</f>
        <v/>
      </c>
      <c r="CJ451" s="13" t="str">
        <f aca="false">IF(CJ390="","",CJ390-CJ445-CJ446)</f>
        <v/>
      </c>
      <c r="CK451" s="13" t="str">
        <f aca="false">IF(CK390="","",CK390-CK445-CK446)</f>
        <v/>
      </c>
      <c r="CL451" s="13" t="str">
        <f aca="false">IF(CL390="","",CL390-CL445-CL446)</f>
        <v/>
      </c>
      <c r="CM451" s="13" t="str">
        <f aca="false">IF(CM390="","",CM390-CM445-CM446)</f>
        <v/>
      </c>
      <c r="CN451" s="13" t="str">
        <f aca="false">IF(CN390="","",CN390-CN445-CN446)</f>
        <v/>
      </c>
      <c r="CO451" s="13" t="str">
        <f aca="false">IF(CO390="","",CO390-CO445-CO446)</f>
        <v/>
      </c>
      <c r="CP451" s="13" t="str">
        <f aca="false">IF(CP390="","",CP390-CP445-CP446)</f>
        <v/>
      </c>
      <c r="CQ451" s="13" t="str">
        <f aca="false">IF(CQ390="","",CQ390-CQ445-CQ446)</f>
        <v/>
      </c>
      <c r="CR451" s="13" t="str">
        <f aca="false">IF(CR390="","",CR390-CR445-CR446)</f>
        <v/>
      </c>
      <c r="CS451" s="13" t="str">
        <f aca="false">IF(CS390="","",CS390-CS445-CS446)</f>
        <v/>
      </c>
      <c r="CT451" s="13" t="str">
        <f aca="false">IF(CT390="","",CT390-CT445-CT446)</f>
        <v/>
      </c>
      <c r="CU451" s="13" t="str">
        <f aca="false">IF(CU390="","",CU390-CU445-CU446)</f>
        <v/>
      </c>
      <c r="CV451" s="13" t="str">
        <f aca="false">IF(CV390="","",CV390-CV445-CV446)</f>
        <v/>
      </c>
      <c r="CW451" s="13" t="str">
        <f aca="false">IF(CW390="","",CW390-CW445-CW446)</f>
        <v/>
      </c>
      <c r="CX451" s="13" t="str">
        <f aca="false">IF(CX390="","",CX390-CX445-CX446)</f>
        <v/>
      </c>
      <c r="CY451" s="13" t="str">
        <f aca="false">IF(CY390="","",CY390-CY445-CY446)</f>
        <v/>
      </c>
      <c r="CZ451" s="13" t="str">
        <f aca="false">IF(CZ390="","",CZ390-CZ445-CZ446)</f>
        <v/>
      </c>
      <c r="DA451" s="13" t="str">
        <f aca="false">IF(DA390="","",DA390-DA445-DA446)</f>
        <v/>
      </c>
      <c r="DB451" s="13" t="str">
        <f aca="false">IF(DB390="","",DB390-DB445-DB446)</f>
        <v/>
      </c>
      <c r="DC451" s="13" t="str">
        <f aca="false">IF(DC390="","",DC390-DC445-DC446)</f>
        <v/>
      </c>
      <c r="DD451" s="13" t="str">
        <f aca="false">IF(DD390="","",DD390-DD445-DD446)</f>
        <v/>
      </c>
      <c r="DE451" s="13" t="str">
        <f aca="false">IF(DE390="","",DE390-DE445-DE446)</f>
        <v/>
      </c>
    </row>
    <row r="453" customFormat="false" ht="15" hidden="false" customHeight="true" outlineLevel="0" collapsed="false">
      <c r="A453" s="70" t="s">
        <v>253</v>
      </c>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row>
    <row r="454" customFormat="false" ht="15" hidden="false" customHeight="true" outlineLevel="0" collapsed="false">
      <c r="A454" s="22" t="s">
        <v>254</v>
      </c>
      <c r="B454" s="73" t="n">
        <v>1301264</v>
      </c>
      <c r="C454" s="73" t="n">
        <v>1306764</v>
      </c>
      <c r="D454" s="73" t="n">
        <v>1217660</v>
      </c>
      <c r="E454" s="73" t="n">
        <v>998958</v>
      </c>
      <c r="F454" s="73" t="n">
        <v>989458</v>
      </c>
      <c r="G454" s="73" t="n">
        <v>939458</v>
      </c>
      <c r="H454" s="73" t="n">
        <v>860154</v>
      </c>
      <c r="I454" s="13" t="n">
        <v>1013501</v>
      </c>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5" hidden="false" customHeight="true" outlineLevel="0" collapsed="false">
      <c r="A455" s="22" t="s">
        <v>255</v>
      </c>
      <c r="B455" s="73" t="n">
        <v>3067551</v>
      </c>
      <c r="C455" s="73" t="n">
        <v>3100884</v>
      </c>
      <c r="D455" s="73" t="n">
        <v>3265551</v>
      </c>
      <c r="E455" s="73" t="n">
        <v>3021000</v>
      </c>
      <c r="F455" s="73" t="n">
        <v>3320315</v>
      </c>
      <c r="G455" s="73" t="n">
        <v>4437495</v>
      </c>
      <c r="H455" s="73" t="n">
        <v>4083064</v>
      </c>
      <c r="I455" s="13" t="n">
        <v>2929492</v>
      </c>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row>
    <row r="456" customFormat="false" ht="15" hidden="false" customHeight="true" outlineLevel="0" collapsed="false">
      <c r="A456" s="22" t="s">
        <v>256</v>
      </c>
      <c r="B456" s="73" t="n">
        <v>299000</v>
      </c>
      <c r="C456" s="73" t="n">
        <v>299000</v>
      </c>
      <c r="D456" s="73" t="n">
        <v>299000</v>
      </c>
      <c r="E456" s="73" t="n">
        <v>299000</v>
      </c>
      <c r="F456" s="73" t="n">
        <v>299000</v>
      </c>
      <c r="G456" s="73" t="n">
        <v>0</v>
      </c>
      <c r="H456" s="73" t="n">
        <v>0</v>
      </c>
      <c r="I456" s="13" t="n">
        <v>0</v>
      </c>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row>
    <row r="458" customFormat="false" ht="15" hidden="false" customHeight="true" outlineLevel="0" collapsed="false">
      <c r="A458" s="70" t="s">
        <v>257</v>
      </c>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row>
    <row r="459" customFormat="false" ht="15" hidden="false" customHeight="true" outlineLevel="0" collapsed="false">
      <c r="A459" s="22" t="s">
        <v>246</v>
      </c>
      <c r="B459" s="13" t="n">
        <f aca="false">IF(B396="","",$B$432)</f>
        <v>146586</v>
      </c>
      <c r="C459" s="13" t="n">
        <f aca="false">IF(C396="","",B396)</f>
        <v>378187</v>
      </c>
      <c r="D459" s="13" t="n">
        <f aca="false">IF(D396="","",C396)</f>
        <v>110882</v>
      </c>
      <c r="E459" s="13" t="n">
        <f aca="false">IF(E396="","",D396)</f>
        <v>171148</v>
      </c>
      <c r="F459" s="13" t="n">
        <f aca="false">IF(F396="","",E396)</f>
        <v>368691</v>
      </c>
      <c r="G459" s="13" t="n">
        <f aca="false">IF(G396="","",F396)</f>
        <v>343251</v>
      </c>
      <c r="H459" s="13" t="n">
        <f aca="false">IF(H396="","",G396)</f>
        <v>665368</v>
      </c>
      <c r="I459" s="13" t="n">
        <f aca="false">IF(I396="","",H396)</f>
        <v>122223</v>
      </c>
      <c r="J459" s="13" t="str">
        <f aca="false">IF(J396="","",I396)</f>
        <v/>
      </c>
      <c r="K459" s="13" t="str">
        <f aca="false">IF(K396="","",J396)</f>
        <v/>
      </c>
      <c r="L459" s="13" t="str">
        <f aca="false">IF(L396="","",K396)</f>
        <v/>
      </c>
      <c r="M459" s="13" t="str">
        <f aca="false">IF(M396="","",L396)</f>
        <v/>
      </c>
      <c r="N459" s="13" t="str">
        <f aca="false">IF(N396="","",M396)</f>
        <v/>
      </c>
      <c r="O459" s="13" t="str">
        <f aca="false">IF(O396="","",N396)</f>
        <v/>
      </c>
      <c r="P459" s="13" t="str">
        <f aca="false">IF(P396="","",O396)</f>
        <v/>
      </c>
      <c r="Q459" s="13" t="str">
        <f aca="false">IF(Q396="","",P396)</f>
        <v/>
      </c>
      <c r="R459" s="13" t="str">
        <f aca="false">IF(R396="","",Q396)</f>
        <v/>
      </c>
      <c r="S459" s="13" t="str">
        <f aca="false">IF(S396="","",R396)</f>
        <v/>
      </c>
      <c r="T459" s="13" t="str">
        <f aca="false">IF(T396="","",S396)</f>
        <v/>
      </c>
      <c r="U459" s="13" t="str">
        <f aca="false">IF(U396="","",T396)</f>
        <v/>
      </c>
      <c r="V459" s="13" t="str">
        <f aca="false">IF(V396="","",U396)</f>
        <v/>
      </c>
      <c r="W459" s="13" t="str">
        <f aca="false">IF(W396="","",V396)</f>
        <v/>
      </c>
      <c r="X459" s="13" t="str">
        <f aca="false">IF(X396="","",W396)</f>
        <v/>
      </c>
      <c r="Y459" s="13" t="str">
        <f aca="false">IF(Y396="","",X396)</f>
        <v/>
      </c>
      <c r="Z459" s="13" t="str">
        <f aca="false">IF(Z396="","",Y396)</f>
        <v/>
      </c>
      <c r="AA459" s="13" t="str">
        <f aca="false">IF(AA396="","",Z396)</f>
        <v/>
      </c>
      <c r="AB459" s="13" t="str">
        <f aca="false">IF(AB396="","",AA396)</f>
        <v/>
      </c>
      <c r="AC459" s="13" t="str">
        <f aca="false">IF(AC396="","",AB396)</f>
        <v/>
      </c>
      <c r="AD459" s="13" t="str">
        <f aca="false">IF(AD396="","",AC396)</f>
        <v/>
      </c>
      <c r="AE459" s="13" t="str">
        <f aca="false">IF(AE396="","",AD396)</f>
        <v/>
      </c>
      <c r="AF459" s="13" t="str">
        <f aca="false">IF(AF396="","",AE396)</f>
        <v/>
      </c>
      <c r="AG459" s="13" t="str">
        <f aca="false">IF(AG396="","",AF396)</f>
        <v/>
      </c>
      <c r="AH459" s="13" t="str">
        <f aca="false">IF(AH396="","",AG396)</f>
        <v/>
      </c>
      <c r="AI459" s="13" t="str">
        <f aca="false">IF(AI396="","",AH396)</f>
        <v/>
      </c>
      <c r="AJ459" s="13" t="str">
        <f aca="false">IF(AJ396="","",AI396)</f>
        <v/>
      </c>
      <c r="AK459" s="13" t="str">
        <f aca="false">IF(AK396="","",AJ396)</f>
        <v/>
      </c>
      <c r="AL459" s="13" t="str">
        <f aca="false">IF(AL396="","",AK396)</f>
        <v/>
      </c>
      <c r="AM459" s="13" t="str">
        <f aca="false">IF(AM396="","",AL396)</f>
        <v/>
      </c>
      <c r="AN459" s="13" t="str">
        <f aca="false">IF(AN396="","",AM396)</f>
        <v/>
      </c>
      <c r="AO459" s="13" t="str">
        <f aca="false">IF(AO396="","",AN396)</f>
        <v/>
      </c>
      <c r="AP459" s="13" t="str">
        <f aca="false">IF(AP396="","",AO396)</f>
        <v/>
      </c>
      <c r="AQ459" s="13" t="str">
        <f aca="false">IF(AQ396="","",AP396)</f>
        <v/>
      </c>
      <c r="AR459" s="13" t="str">
        <f aca="false">IF(AR396="","",AQ396)</f>
        <v/>
      </c>
      <c r="AS459" s="13" t="str">
        <f aca="false">IF(AS396="","",AR396)</f>
        <v/>
      </c>
      <c r="AT459" s="13" t="str">
        <f aca="false">IF(AT396="","",AS396)</f>
        <v/>
      </c>
      <c r="AU459" s="13" t="str">
        <f aca="false">IF(AU396="","",AT396)</f>
        <v/>
      </c>
      <c r="AV459" s="13" t="str">
        <f aca="false">IF(AV396="","",AU396)</f>
        <v/>
      </c>
      <c r="AW459" s="13" t="str">
        <f aca="false">IF(AW396="","",AV396)</f>
        <v/>
      </c>
      <c r="AX459" s="13" t="str">
        <f aca="false">IF(AX396="","",AW396)</f>
        <v/>
      </c>
      <c r="AY459" s="13" t="str">
        <f aca="false">IF(AY396="","",AX396)</f>
        <v/>
      </c>
      <c r="AZ459" s="13" t="str">
        <f aca="false">IF(AZ396="","",AY396)</f>
        <v/>
      </c>
      <c r="BA459" s="13" t="str">
        <f aca="false">IF(BA396="","",AZ396)</f>
        <v/>
      </c>
      <c r="BB459" s="13" t="str">
        <f aca="false">IF(BB396="","",BA396)</f>
        <v/>
      </c>
      <c r="BC459" s="13" t="str">
        <f aca="false">IF(BC396="","",BB396)</f>
        <v/>
      </c>
      <c r="BD459" s="13" t="str">
        <f aca="false">IF(BD396="","",BC396)</f>
        <v/>
      </c>
      <c r="BE459" s="13" t="str">
        <f aca="false">IF(BE396="","",BD396)</f>
        <v/>
      </c>
      <c r="BF459" s="13" t="str">
        <f aca="false">IF(BF396="","",BE396)</f>
        <v/>
      </c>
      <c r="BG459" s="13" t="str">
        <f aca="false">IF(BG396="","",BF396)</f>
        <v/>
      </c>
      <c r="BH459" s="13" t="str">
        <f aca="false">IF(BH396="","",BG396)</f>
        <v/>
      </c>
      <c r="BI459" s="13" t="str">
        <f aca="false">IF(BI396="","",BH396)</f>
        <v/>
      </c>
      <c r="BJ459" s="13" t="str">
        <f aca="false">IF(BJ396="","",BI396)</f>
        <v/>
      </c>
      <c r="BK459" s="13" t="str">
        <f aca="false">IF(BK396="","",BJ396)</f>
        <v/>
      </c>
      <c r="BL459" s="13" t="str">
        <f aca="false">IF(BL396="","",BK396)</f>
        <v/>
      </c>
      <c r="BM459" s="13" t="str">
        <f aca="false">IF(BM396="","",BL396)</f>
        <v/>
      </c>
      <c r="BN459" s="13" t="str">
        <f aca="false">IF(BN396="","",BM396)</f>
        <v/>
      </c>
      <c r="BO459" s="13" t="str">
        <f aca="false">IF(BO396="","",BN396)</f>
        <v/>
      </c>
      <c r="BP459" s="13" t="str">
        <f aca="false">IF(BP396="","",BO396)</f>
        <v/>
      </c>
      <c r="BQ459" s="13" t="str">
        <f aca="false">IF(BQ396="","",BP396)</f>
        <v/>
      </c>
      <c r="BR459" s="13" t="str">
        <f aca="false">IF(BR396="","",BQ396)</f>
        <v/>
      </c>
      <c r="BS459" s="13" t="str">
        <f aca="false">IF(BS396="","",BR396)</f>
        <v/>
      </c>
      <c r="BT459" s="13" t="str">
        <f aca="false">IF(BT396="","",BS396)</f>
        <v/>
      </c>
      <c r="BU459" s="13" t="str">
        <f aca="false">IF(BU396="","",BT396)</f>
        <v/>
      </c>
      <c r="BV459" s="13" t="str">
        <f aca="false">IF(BV396="","",BU396)</f>
        <v/>
      </c>
      <c r="BW459" s="13" t="str">
        <f aca="false">IF(BW396="","",BV396)</f>
        <v/>
      </c>
      <c r="BX459" s="13" t="str">
        <f aca="false">IF(BX396="","",BW396)</f>
        <v/>
      </c>
      <c r="BY459" s="13" t="str">
        <f aca="false">IF(BY396="","",BX396)</f>
        <v/>
      </c>
      <c r="BZ459" s="13" t="str">
        <f aca="false">IF(BZ396="","",BY396)</f>
        <v/>
      </c>
      <c r="CA459" s="13" t="str">
        <f aca="false">IF(CA396="","",BZ396)</f>
        <v/>
      </c>
      <c r="CB459" s="13" t="str">
        <f aca="false">IF(CB396="","",CA396)</f>
        <v/>
      </c>
      <c r="CC459" s="13" t="str">
        <f aca="false">IF(CC396="","",CB396)</f>
        <v/>
      </c>
      <c r="CD459" s="13" t="str">
        <f aca="false">IF(CD396="","",CC396)</f>
        <v/>
      </c>
      <c r="CE459" s="13" t="str">
        <f aca="false">IF(CE396="","",CD396)</f>
        <v/>
      </c>
      <c r="CF459" s="13" t="str">
        <f aca="false">IF(CF396="","",CE396)</f>
        <v/>
      </c>
      <c r="CG459" s="13" t="str">
        <f aca="false">IF(CG396="","",CF396)</f>
        <v/>
      </c>
      <c r="CH459" s="13" t="str">
        <f aca="false">IF(CH396="","",CG396)</f>
        <v/>
      </c>
      <c r="CI459" s="13" t="str">
        <f aca="false">IF(CI396="","",CH396)</f>
        <v/>
      </c>
      <c r="CJ459" s="13" t="str">
        <f aca="false">IF(CJ396="","",CI396)</f>
        <v/>
      </c>
      <c r="CK459" s="13" t="str">
        <f aca="false">IF(CK396="","",CJ396)</f>
        <v/>
      </c>
      <c r="CL459" s="13" t="str">
        <f aca="false">IF(CL396="","",CK396)</f>
        <v/>
      </c>
      <c r="CM459" s="13" t="str">
        <f aca="false">IF(CM396="","",CL396)</f>
        <v/>
      </c>
      <c r="CN459" s="13" t="str">
        <f aca="false">IF(CN396="","",CM396)</f>
        <v/>
      </c>
      <c r="CO459" s="13" t="str">
        <f aca="false">IF(CO396="","",CN396)</f>
        <v/>
      </c>
      <c r="CP459" s="13" t="str">
        <f aca="false">IF(CP396="","",CO396)</f>
        <v/>
      </c>
      <c r="CQ459" s="13" t="str">
        <f aca="false">IF(CQ396="","",CP396)</f>
        <v/>
      </c>
      <c r="CR459" s="13" t="str">
        <f aca="false">IF(CR396="","",CQ396)</f>
        <v/>
      </c>
      <c r="CS459" s="13" t="str">
        <f aca="false">IF(CS396="","",CR396)</f>
        <v/>
      </c>
      <c r="CT459" s="13" t="str">
        <f aca="false">IF(CT396="","",CS396)</f>
        <v/>
      </c>
      <c r="CU459" s="13" t="str">
        <f aca="false">IF(CU396="","",CT396)</f>
        <v/>
      </c>
      <c r="CV459" s="13" t="str">
        <f aca="false">IF(CV396="","",CU396)</f>
        <v/>
      </c>
      <c r="CW459" s="13" t="str">
        <f aca="false">IF(CW396="","",CV396)</f>
        <v/>
      </c>
      <c r="CX459" s="13" t="str">
        <f aca="false">IF(CX396="","",CW396)</f>
        <v/>
      </c>
      <c r="CY459" s="13" t="str">
        <f aca="false">IF(CY396="","",CX396)</f>
        <v/>
      </c>
      <c r="CZ459" s="13" t="str">
        <f aca="false">IF(CZ396="","",CY396)</f>
        <v/>
      </c>
      <c r="DA459" s="13" t="str">
        <f aca="false">IF(DA396="","",CZ396)</f>
        <v/>
      </c>
      <c r="DB459" s="13" t="str">
        <f aca="false">IF(DB396="","",DA396)</f>
        <v/>
      </c>
      <c r="DC459" s="13" t="str">
        <f aca="false">IF(DC396="","",DB396)</f>
        <v/>
      </c>
      <c r="DD459" s="13" t="str">
        <f aca="false">IF(DD396="","",DC396)</f>
        <v/>
      </c>
      <c r="DE459" s="13" t="str">
        <f aca="false">IF(DE396="","",DD396)</f>
        <v/>
      </c>
    </row>
    <row r="460" customFormat="false" ht="15" hidden="false" customHeight="true" outlineLevel="0" collapsed="false">
      <c r="A460" s="22" t="s">
        <v>258</v>
      </c>
      <c r="B460" s="13" t="n">
        <f aca="false">IF(B$4="Actuals",B293,"")</f>
        <v>-164713.14</v>
      </c>
      <c r="C460" s="13" t="n">
        <f aca="false">IF(C$4="Actuals",C293,"")</f>
        <v>-158387.42</v>
      </c>
      <c r="D460" s="13" t="n">
        <f aca="false">IF(D$4="Actuals",D293,"")</f>
        <v>-220909.52</v>
      </c>
      <c r="E460" s="13" t="n">
        <f aca="false">IF(E$4="Actuals",E293,"")</f>
        <v>-161790.14</v>
      </c>
      <c r="F460" s="13" t="n">
        <f aca="false">IF(F$4="Actuals",F293,"")</f>
        <v>-215914.94</v>
      </c>
      <c r="G460" s="13" t="n">
        <f aca="false">IF(G$4="Actuals",G293,"")</f>
        <v>-113826.21</v>
      </c>
      <c r="H460" s="13" t="n">
        <f aca="false">IF(H$4="Actuals",H293,"")</f>
        <v>-118383.36</v>
      </c>
      <c r="I460" s="13" t="n">
        <f aca="false">IF(I$4="Actuals",I293,"")</f>
        <v>-3786.68999999997</v>
      </c>
      <c r="J460" s="13" t="str">
        <f aca="false">IF(J$4="Actuals",J293,"")</f>
        <v/>
      </c>
      <c r="K460" s="13" t="str">
        <f aca="false">IF(K$4="Actuals",K293,"")</f>
        <v/>
      </c>
      <c r="L460" s="13" t="str">
        <f aca="false">IF(L$4="Actuals",L293,"")</f>
        <v/>
      </c>
      <c r="M460" s="13" t="str">
        <f aca="false">IF(M$4="Actuals",M293,"")</f>
        <v/>
      </c>
      <c r="N460" s="13" t="str">
        <f aca="false">IF(N$4="Actuals",N293,"")</f>
        <v/>
      </c>
      <c r="O460" s="13" t="str">
        <f aca="false">IF(O$4="Actuals",O293,"")</f>
        <v/>
      </c>
      <c r="P460" s="13" t="str">
        <f aca="false">IF(P$4="Actuals",P293,"")</f>
        <v/>
      </c>
      <c r="Q460" s="13" t="str">
        <f aca="false">IF(Q$4="Actuals",Q293,"")</f>
        <v/>
      </c>
      <c r="R460" s="13" t="str">
        <f aca="false">IF(R$4="Actuals",R293,"")</f>
        <v/>
      </c>
      <c r="S460" s="13" t="str">
        <f aca="false">IF(S$4="Actuals",S293,"")</f>
        <v/>
      </c>
      <c r="T460" s="13" t="str">
        <f aca="false">IF(T$4="Actuals",T293,"")</f>
        <v/>
      </c>
      <c r="U460" s="13" t="str">
        <f aca="false">IF(U$4="Actuals",U293,"")</f>
        <v/>
      </c>
      <c r="V460" s="13" t="str">
        <f aca="false">IF(V$4="Actuals",V293,"")</f>
        <v/>
      </c>
      <c r="W460" s="13" t="str">
        <f aca="false">IF(W$4="Actuals",W293,"")</f>
        <v/>
      </c>
      <c r="X460" s="13" t="str">
        <f aca="false">IF(X$4="Actuals",X293,"")</f>
        <v/>
      </c>
      <c r="Y460" s="13" t="str">
        <f aca="false">IF(Y$4="Actuals",Y293,"")</f>
        <v/>
      </c>
      <c r="Z460" s="13" t="str">
        <f aca="false">IF(Z$4="Actuals",Z293,"")</f>
        <v/>
      </c>
      <c r="AA460" s="13" t="str">
        <f aca="false">IF(AA$4="Actuals",AA293,"")</f>
        <v/>
      </c>
      <c r="AB460" s="13" t="str">
        <f aca="false">IF(AB$4="Actuals",AB293,"")</f>
        <v/>
      </c>
      <c r="AC460" s="13" t="str">
        <f aca="false">IF(AC$4="Actuals",AC293,"")</f>
        <v/>
      </c>
      <c r="AD460" s="13" t="str">
        <f aca="false">IF(AD$4="Actuals",AD293,"")</f>
        <v/>
      </c>
      <c r="AE460" s="13" t="str">
        <f aca="false">IF(AE$4="Actuals",AE293,"")</f>
        <v/>
      </c>
      <c r="AF460" s="13" t="str">
        <f aca="false">IF(AF$4="Actuals",AF293,"")</f>
        <v/>
      </c>
      <c r="AG460" s="13" t="str">
        <f aca="false">IF(AG$4="Actuals",AG293,"")</f>
        <v/>
      </c>
      <c r="AH460" s="13" t="str">
        <f aca="false">IF(AH$4="Actuals",AH293,"")</f>
        <v/>
      </c>
      <c r="AI460" s="13" t="str">
        <f aca="false">IF(AI$4="Actuals",AI293,"")</f>
        <v/>
      </c>
      <c r="AJ460" s="13" t="str">
        <f aca="false">IF(AJ$4="Actuals",AJ293,"")</f>
        <v/>
      </c>
      <c r="AK460" s="13" t="str">
        <f aca="false">IF(AK$4="Actuals",AK293,"")</f>
        <v/>
      </c>
      <c r="AL460" s="13" t="str">
        <f aca="false">IF(AL$4="Actuals",AL293,"")</f>
        <v/>
      </c>
      <c r="AM460" s="13" t="str">
        <f aca="false">IF(AM$4="Actuals",AM293,"")</f>
        <v/>
      </c>
      <c r="AN460" s="13" t="str">
        <f aca="false">IF(AN$4="Actuals",AN293,"")</f>
        <v/>
      </c>
      <c r="AO460" s="13" t="str">
        <f aca="false">IF(AO$4="Actuals",AO293,"")</f>
        <v/>
      </c>
      <c r="AP460" s="13" t="str">
        <f aca="false">IF(AP$4="Actuals",AP293,"")</f>
        <v/>
      </c>
      <c r="AQ460" s="13" t="str">
        <f aca="false">IF(AQ$4="Actuals",AQ293,"")</f>
        <v/>
      </c>
      <c r="AR460" s="13" t="str">
        <f aca="false">IF(AR$4="Actuals",AR293,"")</f>
        <v/>
      </c>
      <c r="AS460" s="13" t="str">
        <f aca="false">IF(AS$4="Actuals",AS293,"")</f>
        <v/>
      </c>
      <c r="AT460" s="13" t="str">
        <f aca="false">IF(AT$4="Actuals",AT293,"")</f>
        <v/>
      </c>
      <c r="AU460" s="13" t="str">
        <f aca="false">IF(AU$4="Actuals",AU293,"")</f>
        <v/>
      </c>
      <c r="AV460" s="13" t="str">
        <f aca="false">IF(AV$4="Actuals",AV293,"")</f>
        <v/>
      </c>
      <c r="AW460" s="13" t="str">
        <f aca="false">IF(AW$4="Actuals",AW293,"")</f>
        <v/>
      </c>
      <c r="AX460" s="13" t="str">
        <f aca="false">IF(AX$4="Actuals",AX293,"")</f>
        <v/>
      </c>
      <c r="AY460" s="13" t="str">
        <f aca="false">IF(AY$4="Actuals",AY293,"")</f>
        <v/>
      </c>
      <c r="AZ460" s="13" t="str">
        <f aca="false">IF(AZ$4="Actuals",AZ293,"")</f>
        <v/>
      </c>
      <c r="BA460" s="13" t="str">
        <f aca="false">IF(BA$4="Actuals",BA293,"")</f>
        <v/>
      </c>
      <c r="BB460" s="13" t="str">
        <f aca="false">IF(BB$4="Actuals",BB293,"")</f>
        <v/>
      </c>
      <c r="BC460" s="13" t="str">
        <f aca="false">IF(BC$4="Actuals",BC293,"")</f>
        <v/>
      </c>
      <c r="BD460" s="13" t="str">
        <f aca="false">IF(BD$4="Actuals",BD293,"")</f>
        <v/>
      </c>
      <c r="BE460" s="13" t="str">
        <f aca="false">IF(BE$4="Actuals",BE293,"")</f>
        <v/>
      </c>
      <c r="BF460" s="13" t="str">
        <f aca="false">IF(BF$4="Actuals",BF293,"")</f>
        <v/>
      </c>
      <c r="BG460" s="13" t="str">
        <f aca="false">IF(BG$4="Actuals",BG293,"")</f>
        <v/>
      </c>
      <c r="BH460" s="13" t="str">
        <f aca="false">IF(BH$4="Actuals",BH293,"")</f>
        <v/>
      </c>
      <c r="BI460" s="13" t="str">
        <f aca="false">IF(BI$4="Actuals",BI293,"")</f>
        <v/>
      </c>
      <c r="BJ460" s="13" t="str">
        <f aca="false">IF(BJ$4="Actuals",BJ293,"")</f>
        <v/>
      </c>
      <c r="BK460" s="13" t="str">
        <f aca="false">IF(BK$4="Actuals",BK293,"")</f>
        <v/>
      </c>
      <c r="BL460" s="13" t="str">
        <f aca="false">IF(BL$4="Actuals",BL293,"")</f>
        <v/>
      </c>
      <c r="BM460" s="13" t="str">
        <f aca="false">IF(BM$4="Actuals",BM293,"")</f>
        <v/>
      </c>
      <c r="BN460" s="13" t="str">
        <f aca="false">IF(BN$4="Actuals",BN293,"")</f>
        <v/>
      </c>
      <c r="BO460" s="13" t="str">
        <f aca="false">IF(BO$4="Actuals",BO293,"")</f>
        <v/>
      </c>
      <c r="BP460" s="13" t="str">
        <f aca="false">IF(BP$4="Actuals",BP293,"")</f>
        <v/>
      </c>
      <c r="BQ460" s="13" t="str">
        <f aca="false">IF(BQ$4="Actuals",BQ293,"")</f>
        <v/>
      </c>
      <c r="BR460" s="13" t="str">
        <f aca="false">IF(BR$4="Actuals",BR293,"")</f>
        <v/>
      </c>
      <c r="BS460" s="13" t="str">
        <f aca="false">IF(BS$4="Actuals",BS293,"")</f>
        <v/>
      </c>
      <c r="BT460" s="13" t="str">
        <f aca="false">IF(BT$4="Actuals",BT293,"")</f>
        <v/>
      </c>
      <c r="BU460" s="13" t="str">
        <f aca="false">IF(BU$4="Actuals",BU293,"")</f>
        <v/>
      </c>
      <c r="BV460" s="13" t="str">
        <f aca="false">IF(BV$4="Actuals",BV293,"")</f>
        <v/>
      </c>
      <c r="BW460" s="13" t="str">
        <f aca="false">IF(BW$4="Actuals",BW293,"")</f>
        <v/>
      </c>
      <c r="BX460" s="13" t="str">
        <f aca="false">IF(BX$4="Actuals",BX293,"")</f>
        <v/>
      </c>
      <c r="BY460" s="13" t="str">
        <f aca="false">IF(BY$4="Actuals",BY293,"")</f>
        <v/>
      </c>
      <c r="BZ460" s="13" t="str">
        <f aca="false">IF(BZ$4="Actuals",BZ293,"")</f>
        <v/>
      </c>
      <c r="CA460" s="13" t="str">
        <f aca="false">IF(CA$4="Actuals",CA293,"")</f>
        <v/>
      </c>
      <c r="CB460" s="13" t="str">
        <f aca="false">IF(CB$4="Actuals",CB293,"")</f>
        <v/>
      </c>
      <c r="CC460" s="13" t="str">
        <f aca="false">IF(CC$4="Actuals",CC293,"")</f>
        <v/>
      </c>
      <c r="CD460" s="13" t="str">
        <f aca="false">IF(CD$4="Actuals",CD293,"")</f>
        <v/>
      </c>
      <c r="CE460" s="13" t="str">
        <f aca="false">IF(CE$4="Actuals",CE293,"")</f>
        <v/>
      </c>
      <c r="CF460" s="13" t="str">
        <f aca="false">IF(CF$4="Actuals",CF293,"")</f>
        <v/>
      </c>
      <c r="CG460" s="13" t="str">
        <f aca="false">IF(CG$4="Actuals",CG293,"")</f>
        <v/>
      </c>
      <c r="CH460" s="13" t="str">
        <f aca="false">IF(CH$4="Actuals",CH293,"")</f>
        <v/>
      </c>
      <c r="CI460" s="13" t="str">
        <f aca="false">IF(CI$4="Actuals",CI293,"")</f>
        <v/>
      </c>
      <c r="CJ460" s="13" t="str">
        <f aca="false">IF(CJ$4="Actuals",CJ293,"")</f>
        <v/>
      </c>
      <c r="CK460" s="13" t="str">
        <f aca="false">IF(CK$4="Actuals",CK293,"")</f>
        <v/>
      </c>
      <c r="CL460" s="13" t="str">
        <f aca="false">IF(CL$4="Actuals",CL293,"")</f>
        <v/>
      </c>
      <c r="CM460" s="13" t="str">
        <f aca="false">IF(CM$4="Actuals",CM293,"")</f>
        <v/>
      </c>
      <c r="CN460" s="13" t="str">
        <f aca="false">IF(CN$4="Actuals",CN293,"")</f>
        <v/>
      </c>
      <c r="CO460" s="13" t="str">
        <f aca="false">IF(CO$4="Actuals",CO293,"")</f>
        <v/>
      </c>
      <c r="CP460" s="13" t="str">
        <f aca="false">IF(CP$4="Actuals",CP293,"")</f>
        <v/>
      </c>
      <c r="CQ460" s="13" t="str">
        <f aca="false">IF(CQ$4="Actuals",CQ293,"")</f>
        <v/>
      </c>
      <c r="CR460" s="13" t="str">
        <f aca="false">IF(CR$4="Actuals",CR293,"")</f>
        <v/>
      </c>
      <c r="CS460" s="13" t="str">
        <f aca="false">IF(CS$4="Actuals",CS293,"")</f>
        <v/>
      </c>
      <c r="CT460" s="13" t="str">
        <f aca="false">IF(CT$4="Actuals",CT293,"")</f>
        <v/>
      </c>
      <c r="CU460" s="13" t="str">
        <f aca="false">IF(CU$4="Actuals",CU293,"")</f>
        <v/>
      </c>
      <c r="CV460" s="13" t="str">
        <f aca="false">IF(CV$4="Actuals",CV293,"")</f>
        <v/>
      </c>
      <c r="CW460" s="13" t="str">
        <f aca="false">IF(CW$4="Actuals",CW293,"")</f>
        <v/>
      </c>
      <c r="CX460" s="13" t="str">
        <f aca="false">IF(CX$4="Actuals",CX293,"")</f>
        <v/>
      </c>
      <c r="CY460" s="13" t="str">
        <f aca="false">IF(CY$4="Actuals",CY293,"")</f>
        <v/>
      </c>
      <c r="CZ460" s="13" t="str">
        <f aca="false">IF(CZ$4="Actuals",CZ293,"")</f>
        <v/>
      </c>
      <c r="DA460" s="13" t="str">
        <f aca="false">IF(DA$4="Actuals",DA293,"")</f>
        <v/>
      </c>
      <c r="DB460" s="13" t="str">
        <f aca="false">IF(DB$4="Actuals",DB293,"")</f>
        <v/>
      </c>
      <c r="DC460" s="13" t="str">
        <f aca="false">IF(DC$4="Actuals",DC293,"")</f>
        <v/>
      </c>
      <c r="DD460" s="13" t="str">
        <f aca="false">IF(DD$4="Actuals",DD293,"")</f>
        <v/>
      </c>
      <c r="DE460" s="13" t="str">
        <f aca="false">IF(DE$4="Actuals",DE293,"")</f>
        <v/>
      </c>
    </row>
    <row r="461" customFormat="false" ht="15" hidden="false" customHeight="true" outlineLevel="0" collapsed="false">
      <c r="A461" s="22" t="s">
        <v>259</v>
      </c>
      <c r="B461" s="13" t="n">
        <f aca="false">IF(B396="","",B455-$B$434)</f>
        <v>720514</v>
      </c>
      <c r="C461" s="13" t="n">
        <f aca="false">IF(C396="","",C455-B455)</f>
        <v>33333</v>
      </c>
      <c r="D461" s="13" t="n">
        <f aca="false">IF(D396="","",D455-C455)</f>
        <v>164667</v>
      </c>
      <c r="E461" s="13" t="n">
        <f aca="false">IF(E396="","",E455-D455)</f>
        <v>-244551</v>
      </c>
      <c r="F461" s="13" t="n">
        <f aca="false">IF(F396="","",F455-E455)</f>
        <v>299315</v>
      </c>
      <c r="G461" s="13" t="n">
        <f aca="false">IF(G396="","",G455-F455)</f>
        <v>1117180</v>
      </c>
      <c r="H461" s="13" t="n">
        <f aca="false">IF(H396="","",H455-G455)</f>
        <v>-354431</v>
      </c>
      <c r="I461" s="13" t="n">
        <f aca="false">IF(I396="","",I455-H455)</f>
        <v>-1153572</v>
      </c>
      <c r="J461" s="13" t="str">
        <f aca="false">IF(J396="","",J455-I455)</f>
        <v/>
      </c>
      <c r="K461" s="13" t="str">
        <f aca="false">IF(K396="","",K455-J455)</f>
        <v/>
      </c>
      <c r="L461" s="13" t="str">
        <f aca="false">IF(L396="","",L455-K455)</f>
        <v/>
      </c>
      <c r="M461" s="13" t="str">
        <f aca="false">IF(M396="","",M455-L455)</f>
        <v/>
      </c>
      <c r="N461" s="13" t="str">
        <f aca="false">IF(N396="","",N455-M455)</f>
        <v/>
      </c>
      <c r="O461" s="13" t="str">
        <f aca="false">IF(O396="","",O455-N455)</f>
        <v/>
      </c>
      <c r="P461" s="13" t="str">
        <f aca="false">IF(P396="","",P455-O455)</f>
        <v/>
      </c>
      <c r="Q461" s="13" t="str">
        <f aca="false">IF(Q396="","",Q455-P455)</f>
        <v/>
      </c>
      <c r="R461" s="13" t="str">
        <f aca="false">IF(R396="","",R455-Q455)</f>
        <v/>
      </c>
      <c r="S461" s="13" t="str">
        <f aca="false">IF(S396="","",S455-R455)</f>
        <v/>
      </c>
      <c r="T461" s="13" t="str">
        <f aca="false">IF(T396="","",T455-S455)</f>
        <v/>
      </c>
      <c r="U461" s="13" t="str">
        <f aca="false">IF(U396="","",U455-T455)</f>
        <v/>
      </c>
      <c r="V461" s="13" t="str">
        <f aca="false">IF(V396="","",V455-U455)</f>
        <v/>
      </c>
      <c r="W461" s="13" t="str">
        <f aca="false">IF(W396="","",W455-V455)</f>
        <v/>
      </c>
      <c r="X461" s="13" t="str">
        <f aca="false">IF(X396="","",X455-W455)</f>
        <v/>
      </c>
      <c r="Y461" s="13" t="str">
        <f aca="false">IF(Y396="","",Y455-X455)</f>
        <v/>
      </c>
      <c r="Z461" s="13" t="str">
        <f aca="false">IF(Z396="","",Z455-Y455)</f>
        <v/>
      </c>
      <c r="AA461" s="13" t="str">
        <f aca="false">IF(AA396="","",AA455-Z455)</f>
        <v/>
      </c>
      <c r="AB461" s="13" t="str">
        <f aca="false">IF(AB396="","",AB455-AA455)</f>
        <v/>
      </c>
      <c r="AC461" s="13" t="str">
        <f aca="false">IF(AC396="","",AC455-AB455)</f>
        <v/>
      </c>
      <c r="AD461" s="13" t="str">
        <f aca="false">IF(AD396="","",AD455-AC455)</f>
        <v/>
      </c>
      <c r="AE461" s="13" t="str">
        <f aca="false">IF(AE396="","",AE455-AD455)</f>
        <v/>
      </c>
      <c r="AF461" s="13" t="str">
        <f aca="false">IF(AF396="","",AF455-AE455)</f>
        <v/>
      </c>
      <c r="AG461" s="13" t="str">
        <f aca="false">IF(AG396="","",AG455-AF455)</f>
        <v/>
      </c>
      <c r="AH461" s="13" t="str">
        <f aca="false">IF(AH396="","",AH455-AG455)</f>
        <v/>
      </c>
      <c r="AI461" s="13" t="str">
        <f aca="false">IF(AI396="","",AI455-AH455)</f>
        <v/>
      </c>
      <c r="AJ461" s="13" t="str">
        <f aca="false">IF(AJ396="","",AJ455-AI455)</f>
        <v/>
      </c>
      <c r="AK461" s="13" t="str">
        <f aca="false">IF(AK396="","",AK455-AJ455)</f>
        <v/>
      </c>
      <c r="AL461" s="13" t="str">
        <f aca="false">IF(AL396="","",AL455-AK455)</f>
        <v/>
      </c>
      <c r="AM461" s="13" t="str">
        <f aca="false">IF(AM396="","",AM455-AL455)</f>
        <v/>
      </c>
      <c r="AN461" s="13" t="str">
        <f aca="false">IF(AN396="","",AN455-AM455)</f>
        <v/>
      </c>
      <c r="AO461" s="13" t="str">
        <f aca="false">IF(AO396="","",AO455-AN455)</f>
        <v/>
      </c>
      <c r="AP461" s="13" t="str">
        <f aca="false">IF(AP396="","",AP455-AO455)</f>
        <v/>
      </c>
      <c r="AQ461" s="13" t="str">
        <f aca="false">IF(AQ396="","",AQ455-AP455)</f>
        <v/>
      </c>
      <c r="AR461" s="13" t="str">
        <f aca="false">IF(AR396="","",AR455-AQ455)</f>
        <v/>
      </c>
      <c r="AS461" s="13" t="str">
        <f aca="false">IF(AS396="","",AS455-AR455)</f>
        <v/>
      </c>
      <c r="AT461" s="13" t="str">
        <f aca="false">IF(AT396="","",AT455-AS455)</f>
        <v/>
      </c>
      <c r="AU461" s="13" t="str">
        <f aca="false">IF(AU396="","",AU455-AT455)</f>
        <v/>
      </c>
      <c r="AV461" s="13" t="str">
        <f aca="false">IF(AV396="","",AV455-AU455)</f>
        <v/>
      </c>
      <c r="AW461" s="13" t="str">
        <f aca="false">IF(AW396="","",AW455-AV455)</f>
        <v/>
      </c>
      <c r="AX461" s="13" t="str">
        <f aca="false">IF(AX396="","",AX455-AW455)</f>
        <v/>
      </c>
      <c r="AY461" s="13" t="str">
        <f aca="false">IF(AY396="","",AY455-AX455)</f>
        <v/>
      </c>
      <c r="AZ461" s="13" t="str">
        <f aca="false">IF(AZ396="","",AZ455-AY455)</f>
        <v/>
      </c>
      <c r="BA461" s="13" t="str">
        <f aca="false">IF(BA396="","",BA455-AZ455)</f>
        <v/>
      </c>
      <c r="BB461" s="13" t="str">
        <f aca="false">IF(BB396="","",BB455-BA455)</f>
        <v/>
      </c>
      <c r="BC461" s="13" t="str">
        <f aca="false">IF(BC396="","",BC455-BB455)</f>
        <v/>
      </c>
      <c r="BD461" s="13" t="str">
        <f aca="false">IF(BD396="","",BD455-BC455)</f>
        <v/>
      </c>
      <c r="BE461" s="13" t="str">
        <f aca="false">IF(BE396="","",BE455-BD455)</f>
        <v/>
      </c>
      <c r="BF461" s="13" t="str">
        <f aca="false">IF(BF396="","",BF455-BE455)</f>
        <v/>
      </c>
      <c r="BG461" s="13" t="str">
        <f aca="false">IF(BG396="","",BG455-BF455)</f>
        <v/>
      </c>
      <c r="BH461" s="13" t="str">
        <f aca="false">IF(BH396="","",BH455-BG455)</f>
        <v/>
      </c>
      <c r="BI461" s="13" t="str">
        <f aca="false">IF(BI396="","",BI455-BH455)</f>
        <v/>
      </c>
      <c r="BJ461" s="13" t="str">
        <f aca="false">IF(BJ396="","",BJ455-BI455)</f>
        <v/>
      </c>
      <c r="BK461" s="13" t="str">
        <f aca="false">IF(BK396="","",BK455-BJ455)</f>
        <v/>
      </c>
      <c r="BL461" s="13" t="str">
        <f aca="false">IF(BL396="","",BL455-BK455)</f>
        <v/>
      </c>
      <c r="BM461" s="13" t="str">
        <f aca="false">IF(BM396="","",BM455-BL455)</f>
        <v/>
      </c>
      <c r="BN461" s="13" t="str">
        <f aca="false">IF(BN396="","",BN455-BM455)</f>
        <v/>
      </c>
      <c r="BO461" s="13" t="str">
        <f aca="false">IF(BO396="","",BO455-BN455)</f>
        <v/>
      </c>
      <c r="BP461" s="13" t="str">
        <f aca="false">IF(BP396="","",BP455-BO455)</f>
        <v/>
      </c>
      <c r="BQ461" s="13" t="str">
        <f aca="false">IF(BQ396="","",BQ455-BP455)</f>
        <v/>
      </c>
      <c r="BR461" s="13" t="str">
        <f aca="false">IF(BR396="","",BR455-BQ455)</f>
        <v/>
      </c>
      <c r="BS461" s="13" t="str">
        <f aca="false">IF(BS396="","",BS455-BR455)</f>
        <v/>
      </c>
      <c r="BT461" s="13" t="str">
        <f aca="false">IF(BT396="","",BT455-BS455)</f>
        <v/>
      </c>
      <c r="BU461" s="13" t="str">
        <f aca="false">IF(BU396="","",BU455-BT455)</f>
        <v/>
      </c>
      <c r="BV461" s="13" t="str">
        <f aca="false">IF(BV396="","",BV455-BU455)</f>
        <v/>
      </c>
      <c r="BW461" s="13" t="str">
        <f aca="false">IF(BW396="","",BW455-BV455)</f>
        <v/>
      </c>
      <c r="BX461" s="13" t="str">
        <f aca="false">IF(BX396="","",BX455-BW455)</f>
        <v/>
      </c>
      <c r="BY461" s="13" t="str">
        <f aca="false">IF(BY396="","",BY455-BX455)</f>
        <v/>
      </c>
      <c r="BZ461" s="13" t="str">
        <f aca="false">IF(BZ396="","",BZ455-BY455)</f>
        <v/>
      </c>
      <c r="CA461" s="13" t="str">
        <f aca="false">IF(CA396="","",CA455-BZ455)</f>
        <v/>
      </c>
      <c r="CB461" s="13" t="str">
        <f aca="false">IF(CB396="","",CB455-CA455)</f>
        <v/>
      </c>
      <c r="CC461" s="13" t="str">
        <f aca="false">IF(CC396="","",CC455-CB455)</f>
        <v/>
      </c>
      <c r="CD461" s="13" t="str">
        <f aca="false">IF(CD396="","",CD455-CC455)</f>
        <v/>
      </c>
      <c r="CE461" s="13" t="str">
        <f aca="false">IF(CE396="","",CE455-CD455)</f>
        <v/>
      </c>
      <c r="CF461" s="13" t="str">
        <f aca="false">IF(CF396="","",CF455-CE455)</f>
        <v/>
      </c>
      <c r="CG461" s="13" t="str">
        <f aca="false">IF(CG396="","",CG455-CF455)</f>
        <v/>
      </c>
      <c r="CH461" s="13" t="str">
        <f aca="false">IF(CH396="","",CH455-CG455)</f>
        <v/>
      </c>
      <c r="CI461" s="13" t="str">
        <f aca="false">IF(CI396="","",CI455-CH455)</f>
        <v/>
      </c>
      <c r="CJ461" s="13" t="str">
        <f aca="false">IF(CJ396="","",CJ455-CI455)</f>
        <v/>
      </c>
      <c r="CK461" s="13" t="str">
        <f aca="false">IF(CK396="","",CK455-CJ455)</f>
        <v/>
      </c>
      <c r="CL461" s="13" t="str">
        <f aca="false">IF(CL396="","",CL455-CK455)</f>
        <v/>
      </c>
      <c r="CM461" s="13" t="str">
        <f aca="false">IF(CM396="","",CM455-CL455)</f>
        <v/>
      </c>
      <c r="CN461" s="13" t="str">
        <f aca="false">IF(CN396="","",CN455-CM455)</f>
        <v/>
      </c>
      <c r="CO461" s="13" t="str">
        <f aca="false">IF(CO396="","",CO455-CN455)</f>
        <v/>
      </c>
      <c r="CP461" s="13" t="str">
        <f aca="false">IF(CP396="","",CP455-CO455)</f>
        <v/>
      </c>
      <c r="CQ461" s="13" t="str">
        <f aca="false">IF(CQ396="","",CQ455-CP455)</f>
        <v/>
      </c>
      <c r="CR461" s="13" t="str">
        <f aca="false">IF(CR396="","",CR455-CQ455)</f>
        <v/>
      </c>
      <c r="CS461" s="13" t="str">
        <f aca="false">IF(CS396="","",CS455-CR455)</f>
        <v/>
      </c>
      <c r="CT461" s="13" t="str">
        <f aca="false">IF(CT396="","",CT455-CS455)</f>
        <v/>
      </c>
      <c r="CU461" s="13" t="str">
        <f aca="false">IF(CU396="","",CU455-CT455)</f>
        <v/>
      </c>
      <c r="CV461" s="13" t="str">
        <f aca="false">IF(CV396="","",CV455-CU455)</f>
        <v/>
      </c>
      <c r="CW461" s="13" t="str">
        <f aca="false">IF(CW396="","",CW455-CV455)</f>
        <v/>
      </c>
      <c r="CX461" s="13" t="str">
        <f aca="false">IF(CX396="","",CX455-CW455)</f>
        <v/>
      </c>
      <c r="CY461" s="13" t="str">
        <f aca="false">IF(CY396="","",CY455-CX455)</f>
        <v/>
      </c>
      <c r="CZ461" s="13" t="str">
        <f aca="false">IF(CZ396="","",CZ455-CY455)</f>
        <v/>
      </c>
      <c r="DA461" s="13" t="str">
        <f aca="false">IF(DA396="","",DA455-CZ455)</f>
        <v/>
      </c>
      <c r="DB461" s="13" t="str">
        <f aca="false">IF(DB396="","",DB455-DA455)</f>
        <v/>
      </c>
      <c r="DC461" s="13" t="str">
        <f aca="false">IF(DC396="","",DC455-DB455)</f>
        <v/>
      </c>
      <c r="DD461" s="13" t="str">
        <f aca="false">IF(DD396="","",DD455-DC455)</f>
        <v/>
      </c>
      <c r="DE461" s="13" t="str">
        <f aca="false">IF(DE396="","",DE455-DD455)</f>
        <v/>
      </c>
    </row>
    <row r="462" customFormat="false" ht="15" hidden="false" customHeight="true" outlineLevel="0" collapsed="false">
      <c r="A462" s="22" t="s">
        <v>260</v>
      </c>
      <c r="B462" s="13" t="n">
        <f aca="false">IF(B396="","",-(B454-$B$433))</f>
        <v>-63760</v>
      </c>
      <c r="C462" s="13" t="n">
        <f aca="false">IF(C396="","",-(C454-B454))</f>
        <v>-5500</v>
      </c>
      <c r="D462" s="13" t="n">
        <f aca="false">IF(D396="","",-(D454-C454))</f>
        <v>89104</v>
      </c>
      <c r="E462" s="13" t="n">
        <f aca="false">IF(E396="","",-(E454-D454))</f>
        <v>218702</v>
      </c>
      <c r="F462" s="13" t="n">
        <f aca="false">IF(F396="","",-(F454-E454))</f>
        <v>9500</v>
      </c>
      <c r="G462" s="13" t="n">
        <f aca="false">IF(G396="","",-(G454-F454))</f>
        <v>50000</v>
      </c>
      <c r="H462" s="13" t="n">
        <f aca="false">IF(H396="","",-(H454-G454))</f>
        <v>79304</v>
      </c>
      <c r="I462" s="13" t="n">
        <f aca="false">IF(I396="","",-(I454-H454))</f>
        <v>-153347</v>
      </c>
      <c r="J462" s="13" t="str">
        <f aca="false">IF(J396="","",-(J454-I454))</f>
        <v/>
      </c>
      <c r="K462" s="13" t="str">
        <f aca="false">IF(K396="","",-(K454-J454))</f>
        <v/>
      </c>
      <c r="L462" s="13" t="str">
        <f aca="false">IF(L396="","",-(L454-K454))</f>
        <v/>
      </c>
      <c r="M462" s="13" t="str">
        <f aca="false">IF(M396="","",-(M454-L454))</f>
        <v/>
      </c>
      <c r="N462" s="13" t="str">
        <f aca="false">IF(N396="","",-(N454-M454))</f>
        <v/>
      </c>
      <c r="O462" s="13" t="str">
        <f aca="false">IF(O396="","",-(O454-N454))</f>
        <v/>
      </c>
      <c r="P462" s="13" t="str">
        <f aca="false">IF(P396="","",-(P454-O454))</f>
        <v/>
      </c>
      <c r="Q462" s="13" t="str">
        <f aca="false">IF(Q396="","",-(Q454-P454))</f>
        <v/>
      </c>
      <c r="R462" s="13" t="str">
        <f aca="false">IF(R396="","",-(R454-Q454))</f>
        <v/>
      </c>
      <c r="S462" s="13" t="str">
        <f aca="false">IF(S396="","",-(S454-R454))</f>
        <v/>
      </c>
      <c r="T462" s="13" t="str">
        <f aca="false">IF(T396="","",-(T454-S454))</f>
        <v/>
      </c>
      <c r="U462" s="13" t="str">
        <f aca="false">IF(U396="","",-(U454-T454))</f>
        <v/>
      </c>
      <c r="V462" s="13" t="str">
        <f aca="false">IF(V396="","",-(V454-U454))</f>
        <v/>
      </c>
      <c r="W462" s="13" t="str">
        <f aca="false">IF(W396="","",-(W454-V454))</f>
        <v/>
      </c>
      <c r="X462" s="13" t="str">
        <f aca="false">IF(X396="","",-(X454-W454))</f>
        <v/>
      </c>
      <c r="Y462" s="13" t="str">
        <f aca="false">IF(Y396="","",-(Y454-X454))</f>
        <v/>
      </c>
      <c r="Z462" s="13" t="str">
        <f aca="false">IF(Z396="","",-(Z454-Y454))</f>
        <v/>
      </c>
      <c r="AA462" s="13" t="str">
        <f aca="false">IF(AA396="","",-(AA454-Z454))</f>
        <v/>
      </c>
      <c r="AB462" s="13" t="str">
        <f aca="false">IF(AB396="","",-(AB454-AA454))</f>
        <v/>
      </c>
      <c r="AC462" s="13" t="str">
        <f aca="false">IF(AC396="","",-(AC454-AB454))</f>
        <v/>
      </c>
      <c r="AD462" s="13" t="str">
        <f aca="false">IF(AD396="","",-(AD454-AC454))</f>
        <v/>
      </c>
      <c r="AE462" s="13" t="str">
        <f aca="false">IF(AE396="","",-(AE454-AD454))</f>
        <v/>
      </c>
      <c r="AF462" s="13" t="str">
        <f aca="false">IF(AF396="","",-(AF454-AE454))</f>
        <v/>
      </c>
      <c r="AG462" s="13" t="str">
        <f aca="false">IF(AG396="","",-(AG454-AF454))</f>
        <v/>
      </c>
      <c r="AH462" s="13" t="str">
        <f aca="false">IF(AH396="","",-(AH454-AG454))</f>
        <v/>
      </c>
      <c r="AI462" s="13" t="str">
        <f aca="false">IF(AI396="","",-(AI454-AH454))</f>
        <v/>
      </c>
      <c r="AJ462" s="13" t="str">
        <f aca="false">IF(AJ396="","",-(AJ454-AI454))</f>
        <v/>
      </c>
      <c r="AK462" s="13" t="str">
        <f aca="false">IF(AK396="","",-(AK454-AJ454))</f>
        <v/>
      </c>
      <c r="AL462" s="13" t="str">
        <f aca="false">IF(AL396="","",-(AL454-AK454))</f>
        <v/>
      </c>
      <c r="AM462" s="13" t="str">
        <f aca="false">IF(AM396="","",-(AM454-AL454))</f>
        <v/>
      </c>
      <c r="AN462" s="13" t="str">
        <f aca="false">IF(AN396="","",-(AN454-AM454))</f>
        <v/>
      </c>
      <c r="AO462" s="13" t="str">
        <f aca="false">IF(AO396="","",-(AO454-AN454))</f>
        <v/>
      </c>
      <c r="AP462" s="13" t="str">
        <f aca="false">IF(AP396="","",-(AP454-AO454))</f>
        <v/>
      </c>
      <c r="AQ462" s="13" t="str">
        <f aca="false">IF(AQ396="","",-(AQ454-AP454))</f>
        <v/>
      </c>
      <c r="AR462" s="13" t="str">
        <f aca="false">IF(AR396="","",-(AR454-AQ454))</f>
        <v/>
      </c>
      <c r="AS462" s="13" t="str">
        <f aca="false">IF(AS396="","",-(AS454-AR454))</f>
        <v/>
      </c>
      <c r="AT462" s="13" t="str">
        <f aca="false">IF(AT396="","",-(AT454-AS454))</f>
        <v/>
      </c>
      <c r="AU462" s="13" t="str">
        <f aca="false">IF(AU396="","",-(AU454-AT454))</f>
        <v/>
      </c>
      <c r="AV462" s="13" t="str">
        <f aca="false">IF(AV396="","",-(AV454-AU454))</f>
        <v/>
      </c>
      <c r="AW462" s="13" t="str">
        <f aca="false">IF(AW396="","",-(AW454-AV454))</f>
        <v/>
      </c>
      <c r="AX462" s="13" t="str">
        <f aca="false">IF(AX396="","",-(AX454-AW454))</f>
        <v/>
      </c>
      <c r="AY462" s="13" t="str">
        <f aca="false">IF(AY396="","",-(AY454-AX454))</f>
        <v/>
      </c>
      <c r="AZ462" s="13" t="str">
        <f aca="false">IF(AZ396="","",-(AZ454-AY454))</f>
        <v/>
      </c>
      <c r="BA462" s="13" t="str">
        <f aca="false">IF(BA396="","",-(BA454-AZ454))</f>
        <v/>
      </c>
      <c r="BB462" s="13" t="str">
        <f aca="false">IF(BB396="","",-(BB454-BA454))</f>
        <v/>
      </c>
      <c r="BC462" s="13" t="str">
        <f aca="false">IF(BC396="","",-(BC454-BB454))</f>
        <v/>
      </c>
      <c r="BD462" s="13" t="str">
        <f aca="false">IF(BD396="","",-(BD454-BC454))</f>
        <v/>
      </c>
      <c r="BE462" s="13" t="str">
        <f aca="false">IF(BE396="","",-(BE454-BD454))</f>
        <v/>
      </c>
      <c r="BF462" s="13" t="str">
        <f aca="false">IF(BF396="","",-(BF454-BE454))</f>
        <v/>
      </c>
      <c r="BG462" s="13" t="str">
        <f aca="false">IF(BG396="","",-(BG454-BF454))</f>
        <v/>
      </c>
      <c r="BH462" s="13" t="str">
        <f aca="false">IF(BH396="","",-(BH454-BG454))</f>
        <v/>
      </c>
      <c r="BI462" s="13" t="str">
        <f aca="false">IF(BI396="","",-(BI454-BH454))</f>
        <v/>
      </c>
      <c r="BJ462" s="13" t="str">
        <f aca="false">IF(BJ396="","",-(BJ454-BI454))</f>
        <v/>
      </c>
      <c r="BK462" s="13" t="str">
        <f aca="false">IF(BK396="","",-(BK454-BJ454))</f>
        <v/>
      </c>
      <c r="BL462" s="13" t="str">
        <f aca="false">IF(BL396="","",-(BL454-BK454))</f>
        <v/>
      </c>
      <c r="BM462" s="13" t="str">
        <f aca="false">IF(BM396="","",-(BM454-BL454))</f>
        <v/>
      </c>
      <c r="BN462" s="13" t="str">
        <f aca="false">IF(BN396="","",-(BN454-BM454))</f>
        <v/>
      </c>
      <c r="BO462" s="13" t="str">
        <f aca="false">IF(BO396="","",-(BO454-BN454))</f>
        <v/>
      </c>
      <c r="BP462" s="13" t="str">
        <f aca="false">IF(BP396="","",-(BP454-BO454))</f>
        <v/>
      </c>
      <c r="BQ462" s="13" t="str">
        <f aca="false">IF(BQ396="","",-(BQ454-BP454))</f>
        <v/>
      </c>
      <c r="BR462" s="13" t="str">
        <f aca="false">IF(BR396="","",-(BR454-BQ454))</f>
        <v/>
      </c>
      <c r="BS462" s="13" t="str">
        <f aca="false">IF(BS396="","",-(BS454-BR454))</f>
        <v/>
      </c>
      <c r="BT462" s="13" t="str">
        <f aca="false">IF(BT396="","",-(BT454-BS454))</f>
        <v/>
      </c>
      <c r="BU462" s="13" t="str">
        <f aca="false">IF(BU396="","",-(BU454-BT454))</f>
        <v/>
      </c>
      <c r="BV462" s="13" t="str">
        <f aca="false">IF(BV396="","",-(BV454-BU454))</f>
        <v/>
      </c>
      <c r="BW462" s="13" t="str">
        <f aca="false">IF(BW396="","",-(BW454-BV454))</f>
        <v/>
      </c>
      <c r="BX462" s="13" t="str">
        <f aca="false">IF(BX396="","",-(BX454-BW454))</f>
        <v/>
      </c>
      <c r="BY462" s="13" t="str">
        <f aca="false">IF(BY396="","",-(BY454-BX454))</f>
        <v/>
      </c>
      <c r="BZ462" s="13" t="str">
        <f aca="false">IF(BZ396="","",-(BZ454-BY454))</f>
        <v/>
      </c>
      <c r="CA462" s="13" t="str">
        <f aca="false">IF(CA396="","",-(CA454-BZ454))</f>
        <v/>
      </c>
      <c r="CB462" s="13" t="str">
        <f aca="false">IF(CB396="","",-(CB454-CA454))</f>
        <v/>
      </c>
      <c r="CC462" s="13" t="str">
        <f aca="false">IF(CC396="","",-(CC454-CB454))</f>
        <v/>
      </c>
      <c r="CD462" s="13" t="str">
        <f aca="false">IF(CD396="","",-(CD454-CC454))</f>
        <v/>
      </c>
      <c r="CE462" s="13" t="str">
        <f aca="false">IF(CE396="","",-(CE454-CD454))</f>
        <v/>
      </c>
      <c r="CF462" s="13" t="str">
        <f aca="false">IF(CF396="","",-(CF454-CE454))</f>
        <v/>
      </c>
      <c r="CG462" s="13" t="str">
        <f aca="false">IF(CG396="","",-(CG454-CF454))</f>
        <v/>
      </c>
      <c r="CH462" s="13" t="str">
        <f aca="false">IF(CH396="","",-(CH454-CG454))</f>
        <v/>
      </c>
      <c r="CI462" s="13" t="str">
        <f aca="false">IF(CI396="","",-(CI454-CH454))</f>
        <v/>
      </c>
      <c r="CJ462" s="13" t="str">
        <f aca="false">IF(CJ396="","",-(CJ454-CI454))</f>
        <v/>
      </c>
      <c r="CK462" s="13" t="str">
        <f aca="false">IF(CK396="","",-(CK454-CJ454))</f>
        <v/>
      </c>
      <c r="CL462" s="13" t="str">
        <f aca="false">IF(CL396="","",-(CL454-CK454))</f>
        <v/>
      </c>
      <c r="CM462" s="13" t="str">
        <f aca="false">IF(CM396="","",-(CM454-CL454))</f>
        <v/>
      </c>
      <c r="CN462" s="13" t="str">
        <f aca="false">IF(CN396="","",-(CN454-CM454))</f>
        <v/>
      </c>
      <c r="CO462" s="13" t="str">
        <f aca="false">IF(CO396="","",-(CO454-CN454))</f>
        <v/>
      </c>
      <c r="CP462" s="13" t="str">
        <f aca="false">IF(CP396="","",-(CP454-CO454))</f>
        <v/>
      </c>
      <c r="CQ462" s="13" t="str">
        <f aca="false">IF(CQ396="","",-(CQ454-CP454))</f>
        <v/>
      </c>
      <c r="CR462" s="13" t="str">
        <f aca="false">IF(CR396="","",-(CR454-CQ454))</f>
        <v/>
      </c>
      <c r="CS462" s="13" t="str">
        <f aca="false">IF(CS396="","",-(CS454-CR454))</f>
        <v/>
      </c>
      <c r="CT462" s="13" t="str">
        <f aca="false">IF(CT396="","",-(CT454-CS454))</f>
        <v/>
      </c>
      <c r="CU462" s="13" t="str">
        <f aca="false">IF(CU396="","",-(CU454-CT454))</f>
        <v/>
      </c>
      <c r="CV462" s="13" t="str">
        <f aca="false">IF(CV396="","",-(CV454-CU454))</f>
        <v/>
      </c>
      <c r="CW462" s="13" t="str">
        <f aca="false">IF(CW396="","",-(CW454-CV454))</f>
        <v/>
      </c>
      <c r="CX462" s="13" t="str">
        <f aca="false">IF(CX396="","",-(CX454-CW454))</f>
        <v/>
      </c>
      <c r="CY462" s="13" t="str">
        <f aca="false">IF(CY396="","",-(CY454-CX454))</f>
        <v/>
      </c>
      <c r="CZ462" s="13" t="str">
        <f aca="false">IF(CZ396="","",-(CZ454-CY454))</f>
        <v/>
      </c>
      <c r="DA462" s="13" t="str">
        <f aca="false">IF(DA396="","",-(DA454-CZ454))</f>
        <v/>
      </c>
      <c r="DB462" s="13" t="str">
        <f aca="false">IF(DB396="","",-(DB454-DA454))</f>
        <v/>
      </c>
      <c r="DC462" s="13" t="str">
        <f aca="false">IF(DC396="","",-(DC454-DB454))</f>
        <v/>
      </c>
      <c r="DD462" s="13" t="str">
        <f aca="false">IF(DD396="","",-(DD454-DC454))</f>
        <v/>
      </c>
      <c r="DE462" s="13" t="str">
        <f aca="false">IF(DE396="","",-(DE454-DD454))</f>
        <v/>
      </c>
    </row>
    <row r="463" customFormat="false" ht="15" hidden="false" customHeight="true" outlineLevel="0" collapsed="false">
      <c r="A463" s="22" t="s">
        <v>261</v>
      </c>
      <c r="B463" s="13" t="n">
        <f aca="false">IF(B396="","",B456-$B$435)</f>
        <v>0</v>
      </c>
      <c r="C463" s="13" t="n">
        <f aca="false">IF(C396="","",C456-B456)</f>
        <v>0</v>
      </c>
      <c r="D463" s="13" t="n">
        <f aca="false">IF(D396="","",D456-C456)</f>
        <v>0</v>
      </c>
      <c r="E463" s="13" t="n">
        <f aca="false">IF(E396="","",E456-D456)</f>
        <v>0</v>
      </c>
      <c r="F463" s="13" t="n">
        <f aca="false">IF(F396="","",F456-E456)</f>
        <v>0</v>
      </c>
      <c r="G463" s="13" t="n">
        <f aca="false">IF(G396="","",G456-F456)</f>
        <v>-299000</v>
      </c>
      <c r="H463" s="13" t="n">
        <f aca="false">IF(H396="","",H456-G456)</f>
        <v>0</v>
      </c>
      <c r="I463" s="13" t="n">
        <f aca="false">IF(I396="","",I456-H456)</f>
        <v>0</v>
      </c>
      <c r="J463" s="13" t="str">
        <f aca="false">IF(J396="","",J456-I456)</f>
        <v/>
      </c>
      <c r="K463" s="13" t="str">
        <f aca="false">IF(K396="","",K456-J456)</f>
        <v/>
      </c>
      <c r="L463" s="13" t="str">
        <f aca="false">IF(L396="","",L456-K456)</f>
        <v/>
      </c>
      <c r="M463" s="13" t="str">
        <f aca="false">IF(M396="","",M456-L456)</f>
        <v/>
      </c>
      <c r="N463" s="13" t="str">
        <f aca="false">IF(N396="","",N456-M456)</f>
        <v/>
      </c>
      <c r="O463" s="13" t="str">
        <f aca="false">IF(O396="","",O456-N456)</f>
        <v/>
      </c>
      <c r="P463" s="13" t="str">
        <f aca="false">IF(P396="","",P456-O456)</f>
        <v/>
      </c>
      <c r="Q463" s="13" t="str">
        <f aca="false">IF(Q396="","",Q456-P456)</f>
        <v/>
      </c>
      <c r="R463" s="13" t="str">
        <f aca="false">IF(R396="","",R456-Q456)</f>
        <v/>
      </c>
      <c r="S463" s="13" t="str">
        <f aca="false">IF(S396="","",S456-R456)</f>
        <v/>
      </c>
      <c r="T463" s="13" t="str">
        <f aca="false">IF(T396="","",T456-S456)</f>
        <v/>
      </c>
      <c r="U463" s="13" t="str">
        <f aca="false">IF(U396="","",U456-T456)</f>
        <v/>
      </c>
      <c r="V463" s="13" t="str">
        <f aca="false">IF(V396="","",V456-U456)</f>
        <v/>
      </c>
      <c r="W463" s="13" t="str">
        <f aca="false">IF(W396="","",W456-V456)</f>
        <v/>
      </c>
      <c r="X463" s="13" t="str">
        <f aca="false">IF(X396="","",X456-W456)</f>
        <v/>
      </c>
      <c r="Y463" s="13" t="str">
        <f aca="false">IF(Y396="","",Y456-X456)</f>
        <v/>
      </c>
      <c r="Z463" s="13" t="str">
        <f aca="false">IF(Z396="","",Z456-Y456)</f>
        <v/>
      </c>
      <c r="AA463" s="13" t="str">
        <f aca="false">IF(AA396="","",AA456-Z456)</f>
        <v/>
      </c>
      <c r="AB463" s="13" t="str">
        <f aca="false">IF(AB396="","",AB456-AA456)</f>
        <v/>
      </c>
      <c r="AC463" s="13" t="str">
        <f aca="false">IF(AC396="","",AC456-AB456)</f>
        <v/>
      </c>
      <c r="AD463" s="13" t="str">
        <f aca="false">IF(AD396="","",AD456-AC456)</f>
        <v/>
      </c>
      <c r="AE463" s="13" t="str">
        <f aca="false">IF(AE396="","",AE456-AD456)</f>
        <v/>
      </c>
      <c r="AF463" s="13" t="str">
        <f aca="false">IF(AF396="","",AF456-AE456)</f>
        <v/>
      </c>
      <c r="AG463" s="13" t="str">
        <f aca="false">IF(AG396="","",AG456-AF456)</f>
        <v/>
      </c>
      <c r="AH463" s="13" t="str">
        <f aca="false">IF(AH396="","",AH456-AG456)</f>
        <v/>
      </c>
      <c r="AI463" s="13" t="str">
        <f aca="false">IF(AI396="","",AI456-AH456)</f>
        <v/>
      </c>
      <c r="AJ463" s="13" t="str">
        <f aca="false">IF(AJ396="","",AJ456-AI456)</f>
        <v/>
      </c>
      <c r="AK463" s="13" t="str">
        <f aca="false">IF(AK396="","",AK456-AJ456)</f>
        <v/>
      </c>
      <c r="AL463" s="13" t="str">
        <f aca="false">IF(AL396="","",AL456-AK456)</f>
        <v/>
      </c>
      <c r="AM463" s="13" t="str">
        <f aca="false">IF(AM396="","",AM456-AL456)</f>
        <v/>
      </c>
      <c r="AN463" s="13" t="str">
        <f aca="false">IF(AN396="","",AN456-AM456)</f>
        <v/>
      </c>
      <c r="AO463" s="13" t="str">
        <f aca="false">IF(AO396="","",AO456-AN456)</f>
        <v/>
      </c>
      <c r="AP463" s="13" t="str">
        <f aca="false">IF(AP396="","",AP456-AO456)</f>
        <v/>
      </c>
      <c r="AQ463" s="13" t="str">
        <f aca="false">IF(AQ396="","",AQ456-AP456)</f>
        <v/>
      </c>
      <c r="AR463" s="13" t="str">
        <f aca="false">IF(AR396="","",AR456-AQ456)</f>
        <v/>
      </c>
      <c r="AS463" s="13" t="str">
        <f aca="false">IF(AS396="","",AS456-AR456)</f>
        <v/>
      </c>
      <c r="AT463" s="13" t="str">
        <f aca="false">IF(AT396="","",AT456-AS456)</f>
        <v/>
      </c>
      <c r="AU463" s="13" t="str">
        <f aca="false">IF(AU396="","",AU456-AT456)</f>
        <v/>
      </c>
      <c r="AV463" s="13" t="str">
        <f aca="false">IF(AV396="","",AV456-AU456)</f>
        <v/>
      </c>
      <c r="AW463" s="13" t="str">
        <f aca="false">IF(AW396="","",AW456-AV456)</f>
        <v/>
      </c>
      <c r="AX463" s="13" t="str">
        <f aca="false">IF(AX396="","",AX456-AW456)</f>
        <v/>
      </c>
      <c r="AY463" s="13" t="str">
        <f aca="false">IF(AY396="","",AY456-AX456)</f>
        <v/>
      </c>
      <c r="AZ463" s="13" t="str">
        <f aca="false">IF(AZ396="","",AZ456-AY456)</f>
        <v/>
      </c>
      <c r="BA463" s="13" t="str">
        <f aca="false">IF(BA396="","",BA456-AZ456)</f>
        <v/>
      </c>
      <c r="BB463" s="13" t="str">
        <f aca="false">IF(BB396="","",BB456-BA456)</f>
        <v/>
      </c>
      <c r="BC463" s="13" t="str">
        <f aca="false">IF(BC396="","",BC456-BB456)</f>
        <v/>
      </c>
      <c r="BD463" s="13" t="str">
        <f aca="false">IF(BD396="","",BD456-BC456)</f>
        <v/>
      </c>
      <c r="BE463" s="13" t="str">
        <f aca="false">IF(BE396="","",BE456-BD456)</f>
        <v/>
      </c>
      <c r="BF463" s="13" t="str">
        <f aca="false">IF(BF396="","",BF456-BE456)</f>
        <v/>
      </c>
      <c r="BG463" s="13" t="str">
        <f aca="false">IF(BG396="","",BG456-BF456)</f>
        <v/>
      </c>
      <c r="BH463" s="13" t="str">
        <f aca="false">IF(BH396="","",BH456-BG456)</f>
        <v/>
      </c>
      <c r="BI463" s="13" t="str">
        <f aca="false">IF(BI396="","",BI456-BH456)</f>
        <v/>
      </c>
      <c r="BJ463" s="13" t="str">
        <f aca="false">IF(BJ396="","",BJ456-BI456)</f>
        <v/>
      </c>
      <c r="BK463" s="13" t="str">
        <f aca="false">IF(BK396="","",BK456-BJ456)</f>
        <v/>
      </c>
      <c r="BL463" s="13" t="str">
        <f aca="false">IF(BL396="","",BL456-BK456)</f>
        <v/>
      </c>
      <c r="BM463" s="13" t="str">
        <f aca="false">IF(BM396="","",BM456-BL456)</f>
        <v/>
      </c>
      <c r="BN463" s="13" t="str">
        <f aca="false">IF(BN396="","",BN456-BM456)</f>
        <v/>
      </c>
      <c r="BO463" s="13" t="str">
        <f aca="false">IF(BO396="","",BO456-BN456)</f>
        <v/>
      </c>
      <c r="BP463" s="13" t="str">
        <f aca="false">IF(BP396="","",BP456-BO456)</f>
        <v/>
      </c>
      <c r="BQ463" s="13" t="str">
        <f aca="false">IF(BQ396="","",BQ456-BP456)</f>
        <v/>
      </c>
      <c r="BR463" s="13" t="str">
        <f aca="false">IF(BR396="","",BR456-BQ456)</f>
        <v/>
      </c>
      <c r="BS463" s="13" t="str">
        <f aca="false">IF(BS396="","",BS456-BR456)</f>
        <v/>
      </c>
      <c r="BT463" s="13" t="str">
        <f aca="false">IF(BT396="","",BT456-BS456)</f>
        <v/>
      </c>
      <c r="BU463" s="13" t="str">
        <f aca="false">IF(BU396="","",BU456-BT456)</f>
        <v/>
      </c>
      <c r="BV463" s="13" t="str">
        <f aca="false">IF(BV396="","",BV456-BU456)</f>
        <v/>
      </c>
      <c r="BW463" s="13" t="str">
        <f aca="false">IF(BW396="","",BW456-BV456)</f>
        <v/>
      </c>
      <c r="BX463" s="13" t="str">
        <f aca="false">IF(BX396="","",BX456-BW456)</f>
        <v/>
      </c>
      <c r="BY463" s="13" t="str">
        <f aca="false">IF(BY396="","",BY456-BX456)</f>
        <v/>
      </c>
      <c r="BZ463" s="13" t="str">
        <f aca="false">IF(BZ396="","",BZ456-BY456)</f>
        <v/>
      </c>
      <c r="CA463" s="13" t="str">
        <f aca="false">IF(CA396="","",CA456-BZ456)</f>
        <v/>
      </c>
      <c r="CB463" s="13" t="str">
        <f aca="false">IF(CB396="","",CB456-CA456)</f>
        <v/>
      </c>
      <c r="CC463" s="13" t="str">
        <f aca="false">IF(CC396="","",CC456-CB456)</f>
        <v/>
      </c>
      <c r="CD463" s="13" t="str">
        <f aca="false">IF(CD396="","",CD456-CC456)</f>
        <v/>
      </c>
      <c r="CE463" s="13" t="str">
        <f aca="false">IF(CE396="","",CE456-CD456)</f>
        <v/>
      </c>
      <c r="CF463" s="13" t="str">
        <f aca="false">IF(CF396="","",CF456-CE456)</f>
        <v/>
      </c>
      <c r="CG463" s="13" t="str">
        <f aca="false">IF(CG396="","",CG456-CF456)</f>
        <v/>
      </c>
      <c r="CH463" s="13" t="str">
        <f aca="false">IF(CH396="","",CH456-CG456)</f>
        <v/>
      </c>
      <c r="CI463" s="13" t="str">
        <f aca="false">IF(CI396="","",CI456-CH456)</f>
        <v/>
      </c>
      <c r="CJ463" s="13" t="str">
        <f aca="false">IF(CJ396="","",CJ456-CI456)</f>
        <v/>
      </c>
      <c r="CK463" s="13" t="str">
        <f aca="false">IF(CK396="","",CK456-CJ456)</f>
        <v/>
      </c>
      <c r="CL463" s="13" t="str">
        <f aca="false">IF(CL396="","",CL456-CK456)</f>
        <v/>
      </c>
      <c r="CM463" s="13" t="str">
        <f aca="false">IF(CM396="","",CM456-CL456)</f>
        <v/>
      </c>
      <c r="CN463" s="13" t="str">
        <f aca="false">IF(CN396="","",CN456-CM456)</f>
        <v/>
      </c>
      <c r="CO463" s="13" t="str">
        <f aca="false">IF(CO396="","",CO456-CN456)</f>
        <v/>
      </c>
      <c r="CP463" s="13" t="str">
        <f aca="false">IF(CP396="","",CP456-CO456)</f>
        <v/>
      </c>
      <c r="CQ463" s="13" t="str">
        <f aca="false">IF(CQ396="","",CQ456-CP456)</f>
        <v/>
      </c>
      <c r="CR463" s="13" t="str">
        <f aca="false">IF(CR396="","",CR456-CQ456)</f>
        <v/>
      </c>
      <c r="CS463" s="13" t="str">
        <f aca="false">IF(CS396="","",CS456-CR456)</f>
        <v/>
      </c>
      <c r="CT463" s="13" t="str">
        <f aca="false">IF(CT396="","",CT456-CS456)</f>
        <v/>
      </c>
      <c r="CU463" s="13" t="str">
        <f aca="false">IF(CU396="","",CU456-CT456)</f>
        <v/>
      </c>
      <c r="CV463" s="13" t="str">
        <f aca="false">IF(CV396="","",CV456-CU456)</f>
        <v/>
      </c>
      <c r="CW463" s="13" t="str">
        <f aca="false">IF(CW396="","",CW456-CV456)</f>
        <v/>
      </c>
      <c r="CX463" s="13" t="str">
        <f aca="false">IF(CX396="","",CX456-CW456)</f>
        <v/>
      </c>
      <c r="CY463" s="13" t="str">
        <f aca="false">IF(CY396="","",CY456-CX456)</f>
        <v/>
      </c>
      <c r="CZ463" s="13" t="str">
        <f aca="false">IF(CZ396="","",CZ456-CY456)</f>
        <v/>
      </c>
      <c r="DA463" s="13" t="str">
        <f aca="false">IF(DA396="","",DA456-CZ456)</f>
        <v/>
      </c>
      <c r="DB463" s="13" t="str">
        <f aca="false">IF(DB396="","",DB456-DA456)</f>
        <v/>
      </c>
      <c r="DC463" s="13" t="str">
        <f aca="false">IF(DC396="","",DC456-DB456)</f>
        <v/>
      </c>
      <c r="DD463" s="13" t="str">
        <f aca="false">IF(DD396="","",DD456-DC456)</f>
        <v/>
      </c>
      <c r="DE463" s="13" t="str">
        <f aca="false">IF(DE396="","",DE456-DD456)</f>
        <v/>
      </c>
    </row>
    <row r="464" customFormat="false" ht="15" hidden="false" customHeight="true" outlineLevel="0" collapsed="false">
      <c r="A464" s="22" t="s">
        <v>262</v>
      </c>
      <c r="B464" s="13" t="n">
        <f aca="false">IF(B396="","",B396-B459-B460-B461-B462-B463)</f>
        <v>-260439.86</v>
      </c>
      <c r="C464" s="13" t="n">
        <f aca="false">IF(C396="","",C396-C459-C460-C461-C462-C463)</f>
        <v>-136750.58</v>
      </c>
      <c r="D464" s="13" t="n">
        <f aca="false">IF(D396="","",D396-D459-D460-D461-D462-D463)</f>
        <v>27404.52</v>
      </c>
      <c r="E464" s="13" t="n">
        <f aca="false">IF(E396="","",E396-E459-E460-E461-E462-E463)</f>
        <v>385182.14</v>
      </c>
      <c r="F464" s="13" t="n">
        <f aca="false">IF(F396="","",F396-F459-F460-F461-F462-F463)</f>
        <v>-118340.06</v>
      </c>
      <c r="G464" s="13" t="n">
        <f aca="false">IF(G396="","",G396-G459-G460-G461-G462-G463)</f>
        <v>-432236.79</v>
      </c>
      <c r="H464" s="13" t="n">
        <f aca="false">IF(H396="","",H396-H459-H460-H461-H462-H463)</f>
        <v>-149634.64</v>
      </c>
      <c r="I464" s="13" t="n">
        <f aca="false">IF(I396="","",I396-I459-I460-I461-I462-I463)</f>
        <v>1846672.69</v>
      </c>
      <c r="J464" s="13" t="str">
        <f aca="false">IF(J396="","",J396-J459-J460-J461-J462-J463)</f>
        <v/>
      </c>
      <c r="K464" s="13" t="str">
        <f aca="false">IF(K396="","",K396-K459-K460-K461-K462-K463)</f>
        <v/>
      </c>
      <c r="L464" s="13" t="str">
        <f aca="false">IF(L396="","",L396-L459-L460-L461-L462-L463)</f>
        <v/>
      </c>
      <c r="M464" s="13" t="str">
        <f aca="false">IF(M396="","",M396-M459-M460-M461-M462-M463)</f>
        <v/>
      </c>
      <c r="N464" s="13" t="str">
        <f aca="false">IF(N396="","",N396-N459-N460-N461-N462-N463)</f>
        <v/>
      </c>
      <c r="O464" s="13" t="str">
        <f aca="false">IF(O396="","",O396-O459-O460-O461-O462-O463)</f>
        <v/>
      </c>
      <c r="P464" s="13" t="str">
        <f aca="false">IF(P396="","",P396-P459-P460-P461-P462-P463)</f>
        <v/>
      </c>
      <c r="Q464" s="13" t="str">
        <f aca="false">IF(Q396="","",Q396-Q459-Q460-Q461-Q462-Q463)</f>
        <v/>
      </c>
      <c r="R464" s="13" t="str">
        <f aca="false">IF(R396="","",R396-R459-R460-R461-R462-R463)</f>
        <v/>
      </c>
      <c r="S464" s="13" t="str">
        <f aca="false">IF(S396="","",S396-S459-S460-S461-S462-S463)</f>
        <v/>
      </c>
      <c r="T464" s="13" t="str">
        <f aca="false">IF(T396="","",T396-T459-T460-T461-T462-T463)</f>
        <v/>
      </c>
      <c r="U464" s="13" t="str">
        <f aca="false">IF(U396="","",U396-U459-U460-U461-U462-U463)</f>
        <v/>
      </c>
      <c r="V464" s="13" t="str">
        <f aca="false">IF(V396="","",V396-V459-V460-V461-V462-V463)</f>
        <v/>
      </c>
      <c r="W464" s="13" t="str">
        <f aca="false">IF(W396="","",W396-W459-W460-W461-W462-W463)</f>
        <v/>
      </c>
      <c r="X464" s="13" t="str">
        <f aca="false">IF(X396="","",X396-X459-X460-X461-X462-X463)</f>
        <v/>
      </c>
      <c r="Y464" s="13" t="str">
        <f aca="false">IF(Y396="","",Y396-Y459-Y460-Y461-Y462-Y463)</f>
        <v/>
      </c>
      <c r="Z464" s="13" t="str">
        <f aca="false">IF(Z396="","",Z396-Z459-Z460-Z461-Z462-Z463)</f>
        <v/>
      </c>
      <c r="AA464" s="13" t="str">
        <f aca="false">IF(AA396="","",AA396-AA459-AA460-AA461-AA462-AA463)</f>
        <v/>
      </c>
      <c r="AB464" s="13" t="str">
        <f aca="false">IF(AB396="","",AB396-AB459-AB460-AB461-AB462-AB463)</f>
        <v/>
      </c>
      <c r="AC464" s="13" t="str">
        <f aca="false">IF(AC396="","",AC396-AC459-AC460-AC461-AC462-AC463)</f>
        <v/>
      </c>
      <c r="AD464" s="13" t="str">
        <f aca="false">IF(AD396="","",AD396-AD459-AD460-AD461-AD462-AD463)</f>
        <v/>
      </c>
      <c r="AE464" s="13" t="str">
        <f aca="false">IF(AE396="","",AE396-AE459-AE460-AE461-AE462-AE463)</f>
        <v/>
      </c>
      <c r="AF464" s="13" t="str">
        <f aca="false">IF(AF396="","",AF396-AF459-AF460-AF461-AF462-AF463)</f>
        <v/>
      </c>
      <c r="AG464" s="13" t="str">
        <f aca="false">IF(AG396="","",AG396-AG459-AG460-AG461-AG462-AG463)</f>
        <v/>
      </c>
      <c r="AH464" s="13" t="str">
        <f aca="false">IF(AH396="","",AH396-AH459-AH460-AH461-AH462-AH463)</f>
        <v/>
      </c>
      <c r="AI464" s="13" t="str">
        <f aca="false">IF(AI396="","",AI396-AI459-AI460-AI461-AI462-AI463)</f>
        <v/>
      </c>
      <c r="AJ464" s="13" t="str">
        <f aca="false">IF(AJ396="","",AJ396-AJ459-AJ460-AJ461-AJ462-AJ463)</f>
        <v/>
      </c>
      <c r="AK464" s="13" t="str">
        <f aca="false">IF(AK396="","",AK396-AK459-AK460-AK461-AK462-AK463)</f>
        <v/>
      </c>
      <c r="AL464" s="13" t="str">
        <f aca="false">IF(AL396="","",AL396-AL459-AL460-AL461-AL462-AL463)</f>
        <v/>
      </c>
      <c r="AM464" s="13" t="str">
        <f aca="false">IF(AM396="","",AM396-AM459-AM460-AM461-AM462-AM463)</f>
        <v/>
      </c>
      <c r="AN464" s="13" t="str">
        <f aca="false">IF(AN396="","",AN396-AN459-AN460-AN461-AN462-AN463)</f>
        <v/>
      </c>
      <c r="AO464" s="13" t="str">
        <f aca="false">IF(AO396="","",AO396-AO459-AO460-AO461-AO462-AO463)</f>
        <v/>
      </c>
      <c r="AP464" s="13" t="str">
        <f aca="false">IF(AP396="","",AP396-AP459-AP460-AP461-AP462-AP463)</f>
        <v/>
      </c>
      <c r="AQ464" s="13" t="str">
        <f aca="false">IF(AQ396="","",AQ396-AQ459-AQ460-AQ461-AQ462-AQ463)</f>
        <v/>
      </c>
      <c r="AR464" s="13" t="str">
        <f aca="false">IF(AR396="","",AR396-AR459-AR460-AR461-AR462-AR463)</f>
        <v/>
      </c>
      <c r="AS464" s="13" t="str">
        <f aca="false">IF(AS396="","",AS396-AS459-AS460-AS461-AS462-AS463)</f>
        <v/>
      </c>
      <c r="AT464" s="13" t="str">
        <f aca="false">IF(AT396="","",AT396-AT459-AT460-AT461-AT462-AT463)</f>
        <v/>
      </c>
      <c r="AU464" s="13" t="str">
        <f aca="false">IF(AU396="","",AU396-AU459-AU460-AU461-AU462-AU463)</f>
        <v/>
      </c>
      <c r="AV464" s="13" t="str">
        <f aca="false">IF(AV396="","",AV396-AV459-AV460-AV461-AV462-AV463)</f>
        <v/>
      </c>
      <c r="AW464" s="13" t="str">
        <f aca="false">IF(AW396="","",AW396-AW459-AW460-AW461-AW462-AW463)</f>
        <v/>
      </c>
      <c r="AX464" s="13" t="str">
        <f aca="false">IF(AX396="","",AX396-AX459-AX460-AX461-AX462-AX463)</f>
        <v/>
      </c>
      <c r="AY464" s="13" t="str">
        <f aca="false">IF(AY396="","",AY396-AY459-AY460-AY461-AY462-AY463)</f>
        <v/>
      </c>
      <c r="AZ464" s="13" t="str">
        <f aca="false">IF(AZ396="","",AZ396-AZ459-AZ460-AZ461-AZ462-AZ463)</f>
        <v/>
      </c>
      <c r="BA464" s="13" t="str">
        <f aca="false">IF(BA396="","",BA396-BA459-BA460-BA461-BA462-BA463)</f>
        <v/>
      </c>
      <c r="BB464" s="13" t="str">
        <f aca="false">IF(BB396="","",BB396-BB459-BB460-BB461-BB462-BB463)</f>
        <v/>
      </c>
      <c r="BC464" s="13" t="str">
        <f aca="false">IF(BC396="","",BC396-BC459-BC460-BC461-BC462-BC463)</f>
        <v/>
      </c>
      <c r="BD464" s="13" t="str">
        <f aca="false">IF(BD396="","",BD396-BD459-BD460-BD461-BD462-BD463)</f>
        <v/>
      </c>
      <c r="BE464" s="13" t="str">
        <f aca="false">IF(BE396="","",BE396-BE459-BE460-BE461-BE462-BE463)</f>
        <v/>
      </c>
      <c r="BF464" s="13" t="str">
        <f aca="false">IF(BF396="","",BF396-BF459-BF460-BF461-BF462-BF463)</f>
        <v/>
      </c>
      <c r="BG464" s="13" t="str">
        <f aca="false">IF(BG396="","",BG396-BG459-BG460-BG461-BG462-BG463)</f>
        <v/>
      </c>
      <c r="BH464" s="13" t="str">
        <f aca="false">IF(BH396="","",BH396-BH459-BH460-BH461-BH462-BH463)</f>
        <v/>
      </c>
      <c r="BI464" s="13" t="str">
        <f aca="false">IF(BI396="","",BI396-BI459-BI460-BI461-BI462-BI463)</f>
        <v/>
      </c>
      <c r="BJ464" s="13" t="str">
        <f aca="false">IF(BJ396="","",BJ396-BJ459-BJ460-BJ461-BJ462-BJ463)</f>
        <v/>
      </c>
      <c r="BK464" s="13" t="str">
        <f aca="false">IF(BK396="","",BK396-BK459-BK460-BK461-BK462-BK463)</f>
        <v/>
      </c>
      <c r="BL464" s="13" t="str">
        <f aca="false">IF(BL396="","",BL396-BL459-BL460-BL461-BL462-BL463)</f>
        <v/>
      </c>
      <c r="BM464" s="13" t="str">
        <f aca="false">IF(BM396="","",BM396-BM459-BM460-BM461-BM462-BM463)</f>
        <v/>
      </c>
      <c r="BN464" s="13" t="str">
        <f aca="false">IF(BN396="","",BN396-BN459-BN460-BN461-BN462-BN463)</f>
        <v/>
      </c>
      <c r="BO464" s="13" t="str">
        <f aca="false">IF(BO396="","",BO396-BO459-BO460-BO461-BO462-BO463)</f>
        <v/>
      </c>
      <c r="BP464" s="13" t="str">
        <f aca="false">IF(BP396="","",BP396-BP459-BP460-BP461-BP462-BP463)</f>
        <v/>
      </c>
      <c r="BQ464" s="13" t="str">
        <f aca="false">IF(BQ396="","",BQ396-BQ459-BQ460-BQ461-BQ462-BQ463)</f>
        <v/>
      </c>
      <c r="BR464" s="13" t="str">
        <f aca="false">IF(BR396="","",BR396-BR459-BR460-BR461-BR462-BR463)</f>
        <v/>
      </c>
      <c r="BS464" s="13" t="str">
        <f aca="false">IF(BS396="","",BS396-BS459-BS460-BS461-BS462-BS463)</f>
        <v/>
      </c>
      <c r="BT464" s="13" t="str">
        <f aca="false">IF(BT396="","",BT396-BT459-BT460-BT461-BT462-BT463)</f>
        <v/>
      </c>
      <c r="BU464" s="13" t="str">
        <f aca="false">IF(BU396="","",BU396-BU459-BU460-BU461-BU462-BU463)</f>
        <v/>
      </c>
      <c r="BV464" s="13" t="str">
        <f aca="false">IF(BV396="","",BV396-BV459-BV460-BV461-BV462-BV463)</f>
        <v/>
      </c>
      <c r="BW464" s="13" t="str">
        <f aca="false">IF(BW396="","",BW396-BW459-BW460-BW461-BW462-BW463)</f>
        <v/>
      </c>
      <c r="BX464" s="13" t="str">
        <f aca="false">IF(BX396="","",BX396-BX459-BX460-BX461-BX462-BX463)</f>
        <v/>
      </c>
      <c r="BY464" s="13" t="str">
        <f aca="false">IF(BY396="","",BY396-BY459-BY460-BY461-BY462-BY463)</f>
        <v/>
      </c>
      <c r="BZ464" s="13" t="str">
        <f aca="false">IF(BZ396="","",BZ396-BZ459-BZ460-BZ461-BZ462-BZ463)</f>
        <v/>
      </c>
      <c r="CA464" s="13" t="str">
        <f aca="false">IF(CA396="","",CA396-CA459-CA460-CA461-CA462-CA463)</f>
        <v/>
      </c>
      <c r="CB464" s="13" t="str">
        <f aca="false">IF(CB396="","",CB396-CB459-CB460-CB461-CB462-CB463)</f>
        <v/>
      </c>
      <c r="CC464" s="13" t="str">
        <f aca="false">IF(CC396="","",CC396-CC459-CC460-CC461-CC462-CC463)</f>
        <v/>
      </c>
      <c r="CD464" s="13" t="str">
        <f aca="false">IF(CD396="","",CD396-CD459-CD460-CD461-CD462-CD463)</f>
        <v/>
      </c>
      <c r="CE464" s="13" t="str">
        <f aca="false">IF(CE396="","",CE396-CE459-CE460-CE461-CE462-CE463)</f>
        <v/>
      </c>
      <c r="CF464" s="13" t="str">
        <f aca="false">IF(CF396="","",CF396-CF459-CF460-CF461-CF462-CF463)</f>
        <v/>
      </c>
      <c r="CG464" s="13" t="str">
        <f aca="false">IF(CG396="","",CG396-CG459-CG460-CG461-CG462-CG463)</f>
        <v/>
      </c>
      <c r="CH464" s="13" t="str">
        <f aca="false">IF(CH396="","",CH396-CH459-CH460-CH461-CH462-CH463)</f>
        <v/>
      </c>
      <c r="CI464" s="13" t="str">
        <f aca="false">IF(CI396="","",CI396-CI459-CI460-CI461-CI462-CI463)</f>
        <v/>
      </c>
      <c r="CJ464" s="13" t="str">
        <f aca="false">IF(CJ396="","",CJ396-CJ459-CJ460-CJ461-CJ462-CJ463)</f>
        <v/>
      </c>
      <c r="CK464" s="13" t="str">
        <f aca="false">IF(CK396="","",CK396-CK459-CK460-CK461-CK462-CK463)</f>
        <v/>
      </c>
      <c r="CL464" s="13" t="str">
        <f aca="false">IF(CL396="","",CL396-CL459-CL460-CL461-CL462-CL463)</f>
        <v/>
      </c>
      <c r="CM464" s="13" t="str">
        <f aca="false">IF(CM396="","",CM396-CM459-CM460-CM461-CM462-CM463)</f>
        <v/>
      </c>
      <c r="CN464" s="13" t="str">
        <f aca="false">IF(CN396="","",CN396-CN459-CN460-CN461-CN462-CN463)</f>
        <v/>
      </c>
      <c r="CO464" s="13" t="str">
        <f aca="false">IF(CO396="","",CO396-CO459-CO460-CO461-CO462-CO463)</f>
        <v/>
      </c>
      <c r="CP464" s="13" t="str">
        <f aca="false">IF(CP396="","",CP396-CP459-CP460-CP461-CP462-CP463)</f>
        <v/>
      </c>
      <c r="CQ464" s="13" t="str">
        <f aca="false">IF(CQ396="","",CQ396-CQ459-CQ460-CQ461-CQ462-CQ463)</f>
        <v/>
      </c>
      <c r="CR464" s="13" t="str">
        <f aca="false">IF(CR396="","",CR396-CR459-CR460-CR461-CR462-CR463)</f>
        <v/>
      </c>
      <c r="CS464" s="13" t="str">
        <f aca="false">IF(CS396="","",CS396-CS459-CS460-CS461-CS462-CS463)</f>
        <v/>
      </c>
      <c r="CT464" s="13" t="str">
        <f aca="false">IF(CT396="","",CT396-CT459-CT460-CT461-CT462-CT463)</f>
        <v/>
      </c>
      <c r="CU464" s="13" t="str">
        <f aca="false">IF(CU396="","",CU396-CU459-CU460-CU461-CU462-CU463)</f>
        <v/>
      </c>
      <c r="CV464" s="13" t="str">
        <f aca="false">IF(CV396="","",CV396-CV459-CV460-CV461-CV462-CV463)</f>
        <v/>
      </c>
      <c r="CW464" s="13" t="str">
        <f aca="false">IF(CW396="","",CW396-CW459-CW460-CW461-CW462-CW463)</f>
        <v/>
      </c>
      <c r="CX464" s="13" t="str">
        <f aca="false">IF(CX396="","",CX396-CX459-CX460-CX461-CX462-CX463)</f>
        <v/>
      </c>
      <c r="CY464" s="13" t="str">
        <f aca="false">IF(CY396="","",CY396-CY459-CY460-CY461-CY462-CY463)</f>
        <v/>
      </c>
      <c r="CZ464" s="13" t="str">
        <f aca="false">IF(CZ396="","",CZ396-CZ459-CZ460-CZ461-CZ462-CZ463)</f>
        <v/>
      </c>
      <c r="DA464" s="13" t="str">
        <f aca="false">IF(DA396="","",DA396-DA459-DA460-DA461-DA462-DA463)</f>
        <v/>
      </c>
      <c r="DB464" s="13" t="str">
        <f aca="false">IF(DB396="","",DB396-DB459-DB460-DB461-DB462-DB463)</f>
        <v/>
      </c>
      <c r="DC464" s="13" t="str">
        <f aca="false">IF(DC396="","",DC396-DC459-DC460-DC461-DC462-DC463)</f>
        <v/>
      </c>
      <c r="DD464" s="13" t="str">
        <f aca="false">IF(DD396="","",DD396-DD459-DD460-DD461-DD462-DD463)</f>
        <v/>
      </c>
      <c r="DE464" s="13" t="str">
        <f aca="false">IF(DE396="","",DE396-DE459-DE460-DE461-DE462-DE463)</f>
        <v/>
      </c>
    </row>
    <row r="465" customFormat="false" ht="15" hidden="false" customHeight="true" outlineLevel="0" collapsed="false">
      <c r="A465" s="67" t="s">
        <v>251</v>
      </c>
      <c r="B465" s="68" t="n">
        <f aca="false">IF(B396="","",B396)</f>
        <v>378187</v>
      </c>
      <c r="C465" s="68" t="n">
        <f aca="false">IF(C396="","",C396)</f>
        <v>110882</v>
      </c>
      <c r="D465" s="68" t="n">
        <f aca="false">IF(D396="","",D396)</f>
        <v>171148</v>
      </c>
      <c r="E465" s="68" t="n">
        <f aca="false">IF(E396="","",E396)</f>
        <v>368691</v>
      </c>
      <c r="F465" s="68" t="n">
        <f aca="false">IF(F396="","",F396)</f>
        <v>343251</v>
      </c>
      <c r="G465" s="68" t="n">
        <f aca="false">IF(G396="","",G396)</f>
        <v>665368</v>
      </c>
      <c r="H465" s="68" t="n">
        <f aca="false">IF(H396="","",H396)</f>
        <v>122223</v>
      </c>
      <c r="I465" s="68" t="n">
        <f aca="false">IF(I396="","",I396)</f>
        <v>658190</v>
      </c>
      <c r="J465" s="68" t="str">
        <f aca="false">IF(J396="","",J396)</f>
        <v/>
      </c>
      <c r="K465" s="68" t="str">
        <f aca="false">IF(K396="","",K396)</f>
        <v/>
      </c>
      <c r="L465" s="68" t="str">
        <f aca="false">IF(L396="","",L396)</f>
        <v/>
      </c>
      <c r="M465" s="68" t="str">
        <f aca="false">IF(M396="","",M396)</f>
        <v/>
      </c>
      <c r="N465" s="68" t="str">
        <f aca="false">IF(N396="","",N396)</f>
        <v/>
      </c>
      <c r="O465" s="68" t="str">
        <f aca="false">IF(O396="","",O396)</f>
        <v/>
      </c>
      <c r="P465" s="68" t="str">
        <f aca="false">IF(P396="","",P396)</f>
        <v/>
      </c>
      <c r="Q465" s="68" t="str">
        <f aca="false">IF(Q396="","",Q396)</f>
        <v/>
      </c>
      <c r="R465" s="68" t="str">
        <f aca="false">IF(R396="","",R396)</f>
        <v/>
      </c>
      <c r="S465" s="68" t="str">
        <f aca="false">IF(S396="","",S396)</f>
        <v/>
      </c>
      <c r="T465" s="68" t="str">
        <f aca="false">IF(T396="","",T396)</f>
        <v/>
      </c>
      <c r="U465" s="68" t="str">
        <f aca="false">IF(U396="","",U396)</f>
        <v/>
      </c>
      <c r="V465" s="68" t="str">
        <f aca="false">IF(V396="","",V396)</f>
        <v/>
      </c>
      <c r="W465" s="68" t="str">
        <f aca="false">IF(W396="","",W396)</f>
        <v/>
      </c>
      <c r="X465" s="68" t="str">
        <f aca="false">IF(X396="","",X396)</f>
        <v/>
      </c>
      <c r="Y465" s="68" t="str">
        <f aca="false">IF(Y396="","",Y396)</f>
        <v/>
      </c>
      <c r="Z465" s="68" t="str">
        <f aca="false">IF(Z396="","",Z396)</f>
        <v/>
      </c>
      <c r="AA465" s="68" t="str">
        <f aca="false">IF(AA396="","",AA396)</f>
        <v/>
      </c>
      <c r="AB465" s="68" t="str">
        <f aca="false">IF(AB396="","",AB396)</f>
        <v/>
      </c>
      <c r="AC465" s="68" t="str">
        <f aca="false">IF(AC396="","",AC396)</f>
        <v/>
      </c>
      <c r="AD465" s="68" t="str">
        <f aca="false">IF(AD396="","",AD396)</f>
        <v/>
      </c>
      <c r="AE465" s="68" t="str">
        <f aca="false">IF(AE396="","",AE396)</f>
        <v/>
      </c>
      <c r="AF465" s="68" t="str">
        <f aca="false">IF(AF396="","",AF396)</f>
        <v/>
      </c>
      <c r="AG465" s="68" t="str">
        <f aca="false">IF(AG396="","",AG396)</f>
        <v/>
      </c>
      <c r="AH465" s="68" t="str">
        <f aca="false">IF(AH396="","",AH396)</f>
        <v/>
      </c>
      <c r="AI465" s="68" t="str">
        <f aca="false">IF(AI396="","",AI396)</f>
        <v/>
      </c>
      <c r="AJ465" s="68" t="str">
        <f aca="false">IF(AJ396="","",AJ396)</f>
        <v/>
      </c>
      <c r="AK465" s="68" t="str">
        <f aca="false">IF(AK396="","",AK396)</f>
        <v/>
      </c>
      <c r="AL465" s="68" t="str">
        <f aca="false">IF(AL396="","",AL396)</f>
        <v/>
      </c>
      <c r="AM465" s="68" t="str">
        <f aca="false">IF(AM396="","",AM396)</f>
        <v/>
      </c>
      <c r="AN465" s="68" t="str">
        <f aca="false">IF(AN396="","",AN396)</f>
        <v/>
      </c>
      <c r="AO465" s="68" t="str">
        <f aca="false">IF(AO396="","",AO396)</f>
        <v/>
      </c>
      <c r="AP465" s="68" t="str">
        <f aca="false">IF(AP396="","",AP396)</f>
        <v/>
      </c>
      <c r="AQ465" s="68" t="str">
        <f aca="false">IF(AQ396="","",AQ396)</f>
        <v/>
      </c>
      <c r="AR465" s="68" t="str">
        <f aca="false">IF(AR396="","",AR396)</f>
        <v/>
      </c>
      <c r="AS465" s="68" t="str">
        <f aca="false">IF(AS396="","",AS396)</f>
        <v/>
      </c>
      <c r="AT465" s="68" t="str">
        <f aca="false">IF(AT396="","",AT396)</f>
        <v/>
      </c>
      <c r="AU465" s="68" t="str">
        <f aca="false">IF(AU396="","",AU396)</f>
        <v/>
      </c>
      <c r="AV465" s="68" t="str">
        <f aca="false">IF(AV396="","",AV396)</f>
        <v/>
      </c>
      <c r="AW465" s="68" t="str">
        <f aca="false">IF(AW396="","",AW396)</f>
        <v/>
      </c>
      <c r="AX465" s="68" t="str">
        <f aca="false">IF(AX396="","",AX396)</f>
        <v/>
      </c>
      <c r="AY465" s="68" t="str">
        <f aca="false">IF(AY396="","",AY396)</f>
        <v/>
      </c>
      <c r="AZ465" s="68" t="str">
        <f aca="false">IF(AZ396="","",AZ396)</f>
        <v/>
      </c>
      <c r="BA465" s="68" t="str">
        <f aca="false">IF(BA396="","",BA396)</f>
        <v/>
      </c>
      <c r="BB465" s="68" t="str">
        <f aca="false">IF(BB396="","",BB396)</f>
        <v/>
      </c>
      <c r="BC465" s="68" t="str">
        <f aca="false">IF(BC396="","",BC396)</f>
        <v/>
      </c>
      <c r="BD465" s="68" t="str">
        <f aca="false">IF(BD396="","",BD396)</f>
        <v/>
      </c>
      <c r="BE465" s="68" t="str">
        <f aca="false">IF(BE396="","",BE396)</f>
        <v/>
      </c>
      <c r="BF465" s="68" t="str">
        <f aca="false">IF(BF396="","",BF396)</f>
        <v/>
      </c>
      <c r="BG465" s="68" t="str">
        <f aca="false">IF(BG396="","",BG396)</f>
        <v/>
      </c>
      <c r="BH465" s="68" t="str">
        <f aca="false">IF(BH396="","",BH396)</f>
        <v/>
      </c>
      <c r="BI465" s="68" t="str">
        <f aca="false">IF(BI396="","",BI396)</f>
        <v/>
      </c>
      <c r="BJ465" s="68" t="str">
        <f aca="false">IF(BJ396="","",BJ396)</f>
        <v/>
      </c>
      <c r="BK465" s="68" t="str">
        <f aca="false">IF(BK396="","",BK396)</f>
        <v/>
      </c>
      <c r="BL465" s="68" t="str">
        <f aca="false">IF(BL396="","",BL396)</f>
        <v/>
      </c>
      <c r="BM465" s="68" t="str">
        <f aca="false">IF(BM396="","",BM396)</f>
        <v/>
      </c>
      <c r="BN465" s="68" t="str">
        <f aca="false">IF(BN396="","",BN396)</f>
        <v/>
      </c>
      <c r="BO465" s="68" t="str">
        <f aca="false">IF(BO396="","",BO396)</f>
        <v/>
      </c>
      <c r="BP465" s="68" t="str">
        <f aca="false">IF(BP396="","",BP396)</f>
        <v/>
      </c>
      <c r="BQ465" s="68" t="str">
        <f aca="false">IF(BQ396="","",BQ396)</f>
        <v/>
      </c>
      <c r="BR465" s="68" t="str">
        <f aca="false">IF(BR396="","",BR396)</f>
        <v/>
      </c>
      <c r="BS465" s="68" t="str">
        <f aca="false">IF(BS396="","",BS396)</f>
        <v/>
      </c>
      <c r="BT465" s="68" t="str">
        <f aca="false">IF(BT396="","",BT396)</f>
        <v/>
      </c>
      <c r="BU465" s="68" t="str">
        <f aca="false">IF(BU396="","",BU396)</f>
        <v/>
      </c>
      <c r="BV465" s="68" t="str">
        <f aca="false">IF(BV396="","",BV396)</f>
        <v/>
      </c>
      <c r="BW465" s="68" t="str">
        <f aca="false">IF(BW396="","",BW396)</f>
        <v/>
      </c>
      <c r="BX465" s="68" t="str">
        <f aca="false">IF(BX396="","",BX396)</f>
        <v/>
      </c>
      <c r="BY465" s="68" t="str">
        <f aca="false">IF(BY396="","",BY396)</f>
        <v/>
      </c>
      <c r="BZ465" s="68" t="str">
        <f aca="false">IF(BZ396="","",BZ396)</f>
        <v/>
      </c>
      <c r="CA465" s="68" t="str">
        <f aca="false">IF(CA396="","",CA396)</f>
        <v/>
      </c>
      <c r="CB465" s="68" t="str">
        <f aca="false">IF(CB396="","",CB396)</f>
        <v/>
      </c>
      <c r="CC465" s="68" t="str">
        <f aca="false">IF(CC396="","",CC396)</f>
        <v/>
      </c>
      <c r="CD465" s="68" t="str">
        <f aca="false">IF(CD396="","",CD396)</f>
        <v/>
      </c>
      <c r="CE465" s="68" t="str">
        <f aca="false">IF(CE396="","",CE396)</f>
        <v/>
      </c>
      <c r="CF465" s="68" t="str">
        <f aca="false">IF(CF396="","",CF396)</f>
        <v/>
      </c>
      <c r="CG465" s="68" t="str">
        <f aca="false">IF(CG396="","",CG396)</f>
        <v/>
      </c>
      <c r="CH465" s="68" t="str">
        <f aca="false">IF(CH396="","",CH396)</f>
        <v/>
      </c>
      <c r="CI465" s="68" t="str">
        <f aca="false">IF(CI396="","",CI396)</f>
        <v/>
      </c>
      <c r="CJ465" s="68" t="str">
        <f aca="false">IF(CJ396="","",CJ396)</f>
        <v/>
      </c>
      <c r="CK465" s="68" t="str">
        <f aca="false">IF(CK396="","",CK396)</f>
        <v/>
      </c>
      <c r="CL465" s="68" t="str">
        <f aca="false">IF(CL396="","",CL396)</f>
        <v/>
      </c>
      <c r="CM465" s="68" t="str">
        <f aca="false">IF(CM396="","",CM396)</f>
        <v/>
      </c>
      <c r="CN465" s="68" t="str">
        <f aca="false">IF(CN396="","",CN396)</f>
        <v/>
      </c>
      <c r="CO465" s="68" t="str">
        <f aca="false">IF(CO396="","",CO396)</f>
        <v/>
      </c>
      <c r="CP465" s="68" t="str">
        <f aca="false">IF(CP396="","",CP396)</f>
        <v/>
      </c>
      <c r="CQ465" s="68" t="str">
        <f aca="false">IF(CQ396="","",CQ396)</f>
        <v/>
      </c>
      <c r="CR465" s="68" t="str">
        <f aca="false">IF(CR396="","",CR396)</f>
        <v/>
      </c>
      <c r="CS465" s="68" t="str">
        <f aca="false">IF(CS396="","",CS396)</f>
        <v/>
      </c>
      <c r="CT465" s="68" t="str">
        <f aca="false">IF(CT396="","",CT396)</f>
        <v/>
      </c>
      <c r="CU465" s="68" t="str">
        <f aca="false">IF(CU396="","",CU396)</f>
        <v/>
      </c>
      <c r="CV465" s="68" t="str">
        <f aca="false">IF(CV396="","",CV396)</f>
        <v/>
      </c>
      <c r="CW465" s="68" t="str">
        <f aca="false">IF(CW396="","",CW396)</f>
        <v/>
      </c>
      <c r="CX465" s="68" t="str">
        <f aca="false">IF(CX396="","",CX396)</f>
        <v/>
      </c>
      <c r="CY465" s="68" t="str">
        <f aca="false">IF(CY396="","",CY396)</f>
        <v/>
      </c>
      <c r="CZ465" s="68" t="str">
        <f aca="false">IF(CZ396="","",CZ396)</f>
        <v/>
      </c>
      <c r="DA465" s="68" t="str">
        <f aca="false">IF(DA396="","",DA396)</f>
        <v/>
      </c>
      <c r="DB465" s="68" t="str">
        <f aca="false">IF(DB396="","",DB396)</f>
        <v/>
      </c>
      <c r="DC465" s="68" t="str">
        <f aca="false">IF(DC396="","",DC396)</f>
        <v/>
      </c>
      <c r="DD465" s="68" t="str">
        <f aca="false">IF(DD396="","",DD396)</f>
        <v/>
      </c>
      <c r="DE465" s="68" t="str">
        <f aca="false">IF(DE396="","",DE396)</f>
        <v/>
      </c>
    </row>
    <row r="467" customFormat="false" ht="15" hidden="false" customHeight="true" outlineLevel="0" collapsed="false">
      <c r="A467" s="75" t="s">
        <v>200</v>
      </c>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row>
    <row r="468" customFormat="false" ht="15" hidden="false" customHeight="true" outlineLevel="0" collapsed="false">
      <c r="A468" s="70" t="s">
        <v>263</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5" hidden="false" customHeight="true" outlineLevel="0" collapsed="false">
      <c r="A469" s="70" t="s">
        <v>264</v>
      </c>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row>
    <row r="470" customFormat="false" ht="15" hidden="false" customHeight="true" outlineLevel="0" collapsed="false">
      <c r="A470" s="70" t="s">
        <v>265</v>
      </c>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266</v>
      </c>
      <c r="B1" s="76"/>
      <c r="C1" s="76"/>
      <c r="D1" s="76"/>
      <c r="E1" s="76"/>
      <c r="F1" s="3"/>
      <c r="G1" s="3"/>
      <c r="H1" s="3"/>
      <c r="I1" s="3"/>
    </row>
    <row r="2" customFormat="false" ht="15" hidden="false" customHeight="true" outlineLevel="0" collapsed="false">
      <c r="A2" s="15" t="s">
        <v>267</v>
      </c>
      <c r="B2" s="49" t="s">
        <v>268</v>
      </c>
      <c r="C2" s="49" t="s">
        <v>269</v>
      </c>
      <c r="D2" s="49" t="s">
        <v>270</v>
      </c>
      <c r="E2" s="49" t="s">
        <v>271</v>
      </c>
      <c r="F2" s="49" t="s">
        <v>272</v>
      </c>
      <c r="G2" s="49" t="s">
        <v>273</v>
      </c>
      <c r="H2" s="49" t="s">
        <v>274</v>
      </c>
      <c r="I2" s="49" t="s">
        <v>275</v>
      </c>
      <c r="J2" s="49" t="s">
        <v>276</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277</v>
      </c>
      <c r="B4" s="13" t="n">
        <f aca="false">SUM(Model!B10:M10)</f>
        <v>3703516.02158282</v>
      </c>
      <c r="C4" s="13" t="n">
        <f aca="false">SUM(Model!N10:Y10)</f>
        <v>7558987.35750429</v>
      </c>
      <c r="D4" s="13" t="n">
        <f aca="false">SUM(Model!Z10:AK10)</f>
        <v>7933856.9181191</v>
      </c>
      <c r="E4" s="13" t="n">
        <f aca="false">SUM(Model!AL10:AW10)</f>
        <v>3204430.77979157</v>
      </c>
      <c r="F4" s="13" t="n">
        <f aca="false">SUM(Model!AX10:BI10)</f>
        <v>1133255.11019527</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278</v>
      </c>
      <c r="B5" s="13" t="n">
        <f aca="false">SUM(Model!B11:M11)</f>
        <v>2786561.17066546</v>
      </c>
      <c r="C5" s="13" t="n">
        <f aca="false">SUM(Model!N11:Y11)</f>
        <v>5733446.21577108</v>
      </c>
      <c r="D5" s="13" t="n">
        <f aca="false">SUM(Model!Z11:AK11)</f>
        <v>5950369.22811546</v>
      </c>
      <c r="E5" s="13" t="n">
        <f aca="false">SUM(Model!AL11:AW11)</f>
        <v>2403312.11959933</v>
      </c>
      <c r="F5" s="13" t="n">
        <f aca="false">SUM(Model!AX11:BI11)</f>
        <v>849937.214414347</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279</v>
      </c>
      <c r="B6" s="13" t="n">
        <f aca="false">SUM(Model!B57:M57)</f>
        <v>50474848.5016335</v>
      </c>
      <c r="C6" s="13" t="n">
        <f aca="false">SUM(Model!N57:Y57)</f>
        <v>101130176.294598</v>
      </c>
      <c r="D6" s="13" t="n">
        <f aca="false">SUM(Model!Z57:AK57)</f>
        <v>108464221.658013</v>
      </c>
      <c r="E6" s="13" t="n">
        <f aca="false">SUM(Model!AL57:AW57)</f>
        <v>34486695.8523163</v>
      </c>
      <c r="F6" s="13" t="n">
        <f aca="false">SUM(Model!AX57:BI57)</f>
        <v>11275557.5955424</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56964925.6938817</v>
      </c>
      <c r="C7" s="30" t="n">
        <f aca="false">SUM(Model!N58:Y58)</f>
        <v>114422609.867874</v>
      </c>
      <c r="D7" s="30" t="n">
        <f aca="false">SUM(Model!Z58:AK58)</f>
        <v>122348447.804248</v>
      </c>
      <c r="E7" s="30" t="n">
        <f aca="false">SUM(Model!AL58:AW58)</f>
        <v>40094438.7517072</v>
      </c>
      <c r="F7" s="30" t="n">
        <f aca="false">SUM(Model!AX58:BI58)</f>
        <v>13258749.920152</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-49332865.1604259</v>
      </c>
      <c r="C8" s="13" t="n">
        <f aca="false">SUM(Model!N104:Y104)</f>
        <v>-101447192.154598</v>
      </c>
      <c r="D8" s="13" t="n">
        <f aca="false">SUM(Model!Z104:AK104)</f>
        <v>-108464221.658013</v>
      </c>
      <c r="E8" s="13" t="n">
        <f aca="false">SUM(Model!AL104:AW104)</f>
        <v>-34486695.8523163</v>
      </c>
      <c r="F8" s="13" t="n">
        <f aca="false">SUM(Model!AX104:BI104)</f>
        <v>-11275557.5955424</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280</v>
      </c>
      <c r="B9" s="13" t="n">
        <f aca="false">SUM(Model!B150:M150)</f>
        <v>1557253.76231527</v>
      </c>
      <c r="C9" s="13" t="n">
        <f aca="false">SUM(Model!N150:Y150)</f>
        <v>1335117.32512315</v>
      </c>
      <c r="D9" s="13" t="n">
        <f aca="false">SUM(Model!Z150:AK150)</f>
        <v>611152.197044335</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281</v>
      </c>
      <c r="B10" s="13" t="n">
        <f aca="false">SUM(Model!B196:M196)</f>
        <v>-1069700.04530973</v>
      </c>
      <c r="C10" s="13" t="n">
        <f aca="false">SUM(Model!N196:Y196)</f>
        <v>-1601028.19237685</v>
      </c>
      <c r="D10" s="13" t="n">
        <f aca="false">SUM(Model!Z196:AK196)</f>
        <v>-732873.342955665</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5" hidden="false" customHeight="true" outlineLevel="0" collapsed="false">
      <c r="A11" s="22" t="s">
        <v>282</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5" hidden="false" customHeight="true" outlineLevel="0" collapsed="false">
      <c r="A12" s="22" t="s">
        <v>283</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6235649.97254232</v>
      </c>
      <c r="C13" s="32" t="n">
        <f aca="false">SUM(Model!N199:Y199)</f>
        <v>11421780.4108985</v>
      </c>
      <c r="D13" s="32" t="n">
        <f aca="false">SUM(Model!Z199:AK199)</f>
        <v>13151352.8032789</v>
      </c>
      <c r="E13" s="32" t="n">
        <f aca="false">SUM(Model!AL199:AW199)</f>
        <v>5607742.89939089</v>
      </c>
      <c r="F13" s="32" t="n">
        <f aca="false">SUM(Model!AX199:BI199)</f>
        <v>1983192.32460961</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0.109464725821841</v>
      </c>
      <c r="C14" s="78" t="n">
        <f aca="false">IFERROR(C13/C7,0)</f>
        <v>0.0998210093624636</v>
      </c>
      <c r="D14" s="78" t="n">
        <f aca="false">IFERROR(D13/D7,0)</f>
        <v>0.107490965674697</v>
      </c>
      <c r="E14" s="78" t="n">
        <f aca="false">IFERROR(E13/E7,0)</f>
        <v>0.139863359457853</v>
      </c>
      <c r="F14" s="78" t="n">
        <f aca="false">IFERROR(F13/F7,0)</f>
        <v>0.14957611664395</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284</v>
      </c>
      <c r="B17" s="13" t="n">
        <f aca="false">SUM(Model!B203:M204)+SUM(Model!B206:M210)</f>
        <v>-3040954.88</v>
      </c>
      <c r="C17" s="13" t="n">
        <f aca="false">SUM(Model!N203:Y204)+SUM(Model!N206:Y210)</f>
        <v>-5824335.18076667</v>
      </c>
      <c r="D17" s="13" t="n">
        <f aca="false">SUM(Model!Z203:AK204)+SUM(Model!Z206:AK210)</f>
        <v>-5839564.954382</v>
      </c>
      <c r="E17" s="13" t="n">
        <f aca="false">SUM(Model!AL203:AW204)+SUM(Model!AL206:AW210)</f>
        <v>-4370096.95496964</v>
      </c>
      <c r="F17" s="13" t="n">
        <f aca="false">SUM(Model!AX203:BI204)+SUM(Model!AX206:BI210)</f>
        <v>-4116242.78858303</v>
      </c>
      <c r="G17" s="13" t="n">
        <f aca="false">SUM(Model!BJ203:BU204)+SUM(Model!BJ206:BU210)</f>
        <v>-4198567.64435469</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285</v>
      </c>
      <c r="B18" s="13" t="n">
        <f aca="false">SUM(Model!B211:M233)+SUM(Model!B235:M235)</f>
        <v>-1026942.93</v>
      </c>
      <c r="C18" s="13" t="n">
        <f aca="false">SUM(Model!N211:Y233)+SUM(Model!N235:Y235)</f>
        <v>-1031498.4492</v>
      </c>
      <c r="D18" s="13" t="n">
        <f aca="false">SUM(Model!Z211:AK233)+SUM(Model!Z235:AK235)</f>
        <v>-822138.418184</v>
      </c>
      <c r="E18" s="13" t="n">
        <f aca="false">SUM(Model!AL211:AW233)+SUM(Model!AL235:AW235)</f>
        <v>-893350.417316911</v>
      </c>
      <c r="F18" s="13" t="n">
        <f aca="false">SUM(Model!AX211:BI233)+SUM(Model!AX235:BI235)</f>
        <v>-803332.810278634</v>
      </c>
      <c r="G18" s="13" t="n">
        <f aca="false">SUM(Model!BJ211:BU233)+SUM(Model!BJ235:BU235)</f>
        <v>-819399.466484206</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286</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287</v>
      </c>
      <c r="B20" s="13" t="n">
        <f aca="false">SUM(Model!B234:M234)</f>
        <v>0</v>
      </c>
      <c r="C20" s="13" t="n">
        <f aca="false">SUM(Model!N234:Y234)</f>
        <v>-213230.020825</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-4071730.31</v>
      </c>
      <c r="C21" s="30" t="n">
        <f aca="false">SUM(Model!N236:Y236)</f>
        <v>-7069063.65079167</v>
      </c>
      <c r="D21" s="30" t="n">
        <f aca="false">SUM(Model!Z236:AK236)</f>
        <v>-6661703.372566</v>
      </c>
      <c r="E21" s="30" t="n">
        <f aca="false">SUM(Model!AL236:AW236)</f>
        <v>-5263447.37228655</v>
      </c>
      <c r="F21" s="30" t="n">
        <f aca="false">SUM(Model!AX236:BI236)</f>
        <v>-4919575.59886167</v>
      </c>
      <c r="G21" s="30" t="n">
        <f aca="false">SUM(Model!BJ236:BU236)</f>
        <v>-5017967.1108389</v>
      </c>
      <c r="H21" s="30" t="n">
        <f aca="false">SUM(Model!BV236:CG236)</f>
        <v>-5118326.45305568</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2163919.66254232</v>
      </c>
      <c r="C22" s="30" t="n">
        <f aca="false">SUM(Model!N237:Y237)</f>
        <v>4352716.76010685</v>
      </c>
      <c r="D22" s="30" t="n">
        <f aca="false">SUM(Model!Z237:AK237)</f>
        <v>6489649.4307129</v>
      </c>
      <c r="E22" s="30" t="n">
        <f aca="false">SUM(Model!AL237:AW237)</f>
        <v>344295.52710434</v>
      </c>
      <c r="F22" s="30" t="n">
        <f aca="false">SUM(Model!AX237:BI237)</f>
        <v>-2936383.27425205</v>
      </c>
      <c r="G22" s="30" t="n">
        <f aca="false">SUM(Model!BJ237:BU237)</f>
        <v>-5017967.1108389</v>
      </c>
      <c r="H22" s="30" t="n">
        <f aca="false">SUM(Model!BV237:CG237)</f>
        <v>-5118326.45305568</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0.0379868776476739</v>
      </c>
      <c r="C23" s="78" t="n">
        <f aca="false">IFERROR(C22/C7,0)</f>
        <v>0.0380407051118047</v>
      </c>
      <c r="D23" s="78" t="n">
        <f aca="false">IFERROR(D22/D7,0)</f>
        <v>0.0530423519642527</v>
      </c>
      <c r="E23" s="78" t="n">
        <f aca="false">IFERROR(E22/E7,0)</f>
        <v>0.00858711426880068</v>
      </c>
      <c r="F23" s="78" t="n">
        <f aca="false">IFERROR(F22/F7,0)</f>
        <v>-0.221467581177396</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716620.984090226</v>
      </c>
      <c r="D25" s="80" t="n">
        <f aca="false">Model!Z261+Model!AA261+Model!AB261+Model!AC261+Model!AD261+Model!AE261+Model!AF261+Model!AG261+Model!AH261+Model!AI261+Model!AJ261+Model!AK261</f>
        <v>1888501.08555263</v>
      </c>
      <c r="E25" s="80" t="n">
        <f aca="false">Model!AL261+Model!AM261+Model!AN261+Model!AO261+Model!AP261+Model!AQ261+Model!AR261+Model!AS261+Model!AT261+Model!AU261+Model!AV261+Model!AW261</f>
        <v>1495059.0065</v>
      </c>
      <c r="F25" s="80" t="n">
        <f aca="false">Model!AX261+Model!AY261+Model!AZ261+Model!BA261+Model!BB261+Model!BC261+Model!BD261+Model!BE261+Model!BF261+Model!BG261+Model!BH261+Model!BI261</f>
        <v>1826812.922</v>
      </c>
      <c r="G25" s="80" t="n">
        <f aca="false">Model!BJ261+Model!BK261+Model!BL261+Model!BM261+Model!BN261+Model!BO261+Model!BP261+Model!BQ261+Model!BR261+Model!BS261+Model!BT261+Model!BU261</f>
        <v>890965.433</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-2370106.59333333</v>
      </c>
      <c r="C26" s="13" t="n">
        <f aca="false">Model!N292+Model!O292+Model!P292+Model!Q292+Model!R292+Model!S292+Model!T292+Model!U292+Model!V292+Model!W292+Model!X292+Model!Y292</f>
        <v>-2247724.504</v>
      </c>
      <c r="D26" s="13" t="n">
        <f aca="false">Model!Z292+Model!AA292+Model!AB292+Model!AC292+Model!AD292+Model!AE292+Model!AF292+Model!AG292+Model!AH292+Model!AI292+Model!AJ292+Model!AK292</f>
        <v>-2291478.99408</v>
      </c>
      <c r="E26" s="13" t="n">
        <f aca="false">Model!AL292+Model!AM292+Model!AN292+Model!AO292+Model!AP292+Model!AQ292+Model!AR292+Model!AS292+Model!AT292+Model!AU292+Model!AV292+Model!AW292</f>
        <v>-2499473.5739616</v>
      </c>
      <c r="F26" s="13" t="n">
        <f aca="false">Model!AX292+Model!AY292+Model!AZ292+Model!BA292+Model!BB292+Model!BC292+Model!BD292+Model!BE292+Model!BF292+Model!BG292+Model!BH292+Model!BI292</f>
        <v>-3658587.74544083</v>
      </c>
      <c r="G26" s="13" t="n">
        <f aca="false">Model!BJ292+Model!BK292+Model!BL292+Model!BM292+Model!BN292+Model!BO292+Model!BP292+Model!BQ292+Model!BR292+Model!BS292+Model!BT292+Model!BU292</f>
        <v>-2853611.01034965</v>
      </c>
      <c r="H26" s="13" t="n">
        <f aca="false">Model!BV292+Model!BW292+Model!BX292+Model!BY292+Model!BZ292+Model!CA292+Model!CB292+Model!CC292+Model!CD292+Model!CE292+Model!CF292+Model!CG292</f>
        <v>-3006895.62755664</v>
      </c>
      <c r="I26" s="13" t="n">
        <f aca="false">Model!CH292+Model!CI292+Model!CJ292+Model!CK292+Model!CL292+Model!CM292+Model!CN292+Model!CO292+Model!CP292+Model!CQ292+Model!CR292+Model!CS292</f>
        <v>-3330037.09350129</v>
      </c>
      <c r="J26" s="13" t="n">
        <f aca="false">Model!CT292+Model!CU292+Model!CV292+Model!CW292+Model!CX292+Model!CY292+Model!CZ292+Model!DA292+Model!DB292+Model!DC292+Model!DD292+Model!DE292</f>
        <v>-2700032.05290775</v>
      </c>
    </row>
    <row r="27" customFormat="false" ht="15" hidden="false" customHeight="true" outlineLevel="0" collapsed="false">
      <c r="A27" s="36" t="s">
        <v>138</v>
      </c>
      <c r="B27" s="37" t="n">
        <f aca="false">Model!E293+Model!F293+Model!G293+Model!H293+Model!I293+Model!J293+Model!K293+Model!L293+Model!M293+Model!B293+Model!C293+Model!D293</f>
        <v>-1754300.95333333</v>
      </c>
      <c r="C27" s="37" t="n">
        <f aca="false">Model!N293+Model!O293+Model!P293+Model!Q293+Model!R293+Model!S293+Model!T293+Model!U293+Model!V293+Model!W293+Model!X293+Model!Y293</f>
        <v>-1531103.51990977</v>
      </c>
      <c r="D27" s="37" t="n">
        <f aca="false">Model!Z293+Model!AA293+Model!AB293+Model!AC293+Model!AD293+Model!AE293+Model!AF293+Model!AG293+Model!AH293+Model!AI293+Model!AJ293+Model!AK293</f>
        <v>-402977.908527369</v>
      </c>
      <c r="E27" s="37" t="n">
        <f aca="false">Model!AL293+Model!AM293+Model!AN293+Model!AO293+Model!AP293+Model!AQ293+Model!AR293+Model!AS293+Model!AT293+Model!AU293+Model!AV293+Model!AW293</f>
        <v>-1004414.5674616</v>
      </c>
      <c r="F27" s="37" t="n">
        <f aca="false">Model!AX293+Model!AY293+Model!AZ293+Model!BA293+Model!BB293+Model!BC293+Model!BD293+Model!BE293+Model!BF293+Model!BG293+Model!BH293+Model!BI293</f>
        <v>-1831774.82344083</v>
      </c>
      <c r="G27" s="37" t="n">
        <f aca="false">Model!BJ293+Model!BK293+Model!BL293+Model!BM293+Model!BN293+Model!BO293+Model!BP293+Model!BQ293+Model!BR293+Model!BS293+Model!BT293+Model!BU293</f>
        <v>-1962645.57734965</v>
      </c>
      <c r="H27" s="37" t="n">
        <f aca="false">Model!BV293+Model!BW293+Model!BX293+Model!BY293+Model!BZ293+Model!CA293+Model!CB293+Model!CC293+Model!CD293+Model!CE293+Model!CF293+Model!CG293</f>
        <v>-2186902.62755664</v>
      </c>
      <c r="I27" s="37" t="n">
        <f aca="false">Model!CH293+Model!CI293+Model!CJ293+Model!CK293+Model!CL293+Model!CM293+Model!CN293+Model!CO293+Model!CP293+Model!CQ293+Model!CR293+Model!CS293</f>
        <v>-1019877.0935013</v>
      </c>
      <c r="J27" s="37" t="n">
        <f aca="false">Model!CT293+Model!CU293+Model!CV293+Model!CW293+Model!CX293+Model!CY293+Model!CZ293+Model!DA293+Model!DB293+Model!DC293+Model!DD293+Model!DE293</f>
        <v>72159.9470922463</v>
      </c>
    </row>
    <row r="28" customFormat="false" ht="15" hidden="false" customHeight="true" outlineLevel="0" collapsed="false">
      <c r="A28" s="3"/>
      <c r="B28" s="13"/>
      <c r="C28" s="13"/>
      <c r="D28" s="13"/>
      <c r="E28" s="13"/>
      <c r="F28" s="13"/>
      <c r="G28" s="13"/>
      <c r="H28" s="13"/>
      <c r="I28" s="81"/>
      <c r="J28" s="81"/>
    </row>
    <row r="29" customFormat="false" ht="15" hidden="false" customHeight="true" outlineLevel="0" collapsed="false">
      <c r="A29" s="36" t="s">
        <v>288</v>
      </c>
      <c r="B29" s="37" t="n">
        <f aca="false">Model!E302+Model!F302+Model!G302+Model!H302+Model!I302+Model!J302+Model!K302+Model!L302+Model!M302+Model!B302+Model!C302+Model!D302</f>
        <v>409618.70920899</v>
      </c>
      <c r="C29" s="37" t="n">
        <f aca="false">Model!N302+Model!O302+Model!P302+Model!Q302+Model!R302+Model!S302+Model!T302+Model!U302+Model!V302+Model!W302+Model!X302+Model!Y302</f>
        <v>2821613.24019707</v>
      </c>
      <c r="D29" s="37" t="n">
        <f aca="false">Model!Z302+Model!AA302+Model!AB302+Model!AC302+Model!AD302+Model!AE302+Model!AF302+Model!AG302+Model!AH302+Model!AI302+Model!AJ302+Model!AK302</f>
        <v>6086671.52218553</v>
      </c>
      <c r="E29" s="37" t="n">
        <f aca="false">Model!AL302+Model!AM302+Model!AN302+Model!AO302+Model!AP302+Model!AQ302+Model!AR302+Model!AS302+Model!AT302+Model!AU302+Model!AV302+Model!AW302</f>
        <v>-660119.04035726</v>
      </c>
      <c r="F29" s="37" t="n">
        <f aca="false">Model!AX302+Model!AY302+Model!AZ302+Model!BA302+Model!BB302+Model!BC302+Model!BD302+Model!BE302+Model!BF302+Model!BG302+Model!BH302+Model!BI302</f>
        <v>-4768158.09769289</v>
      </c>
      <c r="G29" s="37" t="n">
        <f aca="false">Model!BJ302+Model!BK302+Model!BL302+Model!BM302+Model!BN302+Model!BO302+Model!BP302+Model!BQ302+Model!BR302+Model!BS302+Model!BT302+Model!BU302</f>
        <v>-6980612.68818855</v>
      </c>
      <c r="H29" s="37" t="n">
        <f aca="false">Model!BV302+Model!BW302+Model!BX302+Model!BY302+Model!BZ302+Model!CA302+Model!CB302+Model!CC302+Model!CD302+Model!CE302+Model!CF302+Model!CG302</f>
        <v>-7305229.08061232</v>
      </c>
      <c r="I29" s="37" t="n">
        <f aca="false">Model!CH302+Model!CI302+Model!CJ302+Model!CK302+Model!CL302+Model!CM302+Model!CN302+Model!CO302+Model!CP302+Model!CQ302+Model!CR302+Model!CS302</f>
        <v>-6240570.07561809</v>
      </c>
      <c r="J29" s="37" t="n">
        <f aca="false">Model!CT302+Model!CU302+Model!CV302+Model!CW302+Model!CX302+Model!CY302+Model!CZ302+Model!DA302+Model!DB302+Model!DC302+Model!DD302+Model!DE302</f>
        <v>-4622264.55059943</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23" t="s">
        <v>289</v>
      </c>
      <c r="B31" s="25"/>
      <c r="C31" s="25"/>
      <c r="D31" s="25"/>
      <c r="E31" s="25"/>
      <c r="F31" s="25"/>
      <c r="G31" s="25"/>
      <c r="H31" s="25"/>
      <c r="I31" s="25"/>
      <c r="J31" s="25"/>
    </row>
    <row r="32" customFormat="false" ht="15" hidden="false" customHeight="true" outlineLevel="0" collapsed="false">
      <c r="A32" s="22" t="s">
        <v>290</v>
      </c>
      <c r="B32" s="13" t="n">
        <f aca="false">Model!E287+Model!F287+Model!G287+Model!H287+Model!I287+Model!J287+Model!K287+Model!L287+Model!M287+Model!B287+Model!C287+Model!D287</f>
        <v>0</v>
      </c>
      <c r="C32" s="13" t="n">
        <f aca="false">Model!N287+Model!O287+Model!P287+Model!Q287+Model!R287+Model!S287+Model!T287+Model!U287+Model!V287+Model!W287+Model!X287+Model!Y287</f>
        <v>-0</v>
      </c>
      <c r="D32" s="13" t="n">
        <f aca="false">Model!Z287+Model!AA287+Model!AB287+Model!AC287+Model!AD287+Model!AE287+Model!AF287+Model!AG287+Model!AH287+Model!AI287+Model!AJ287+Model!AK287</f>
        <v>-0</v>
      </c>
      <c r="E32" s="13" t="n">
        <f aca="false">Model!AL287+Model!AM287+Model!AN287+Model!AO287+Model!AP287+Model!AQ287+Model!AR287+Model!AS287+Model!AT287+Model!AU287+Model!AV287+Model!AW287</f>
        <v>-0</v>
      </c>
      <c r="F32" s="13" t="n">
        <f aca="false">Model!AX287+Model!AY287+Model!AZ287+Model!BA287+Model!BB287+Model!BC287+Model!BD287+Model!BE287+Model!BF287+Model!BG287+Model!BH287+Model!BI287</f>
        <v>-0</v>
      </c>
      <c r="G32" s="13" t="n">
        <f aca="false">Model!BJ287+Model!BK287+Model!BL287+Model!BM287+Model!BN287+Model!BO287+Model!BP287+Model!BQ287+Model!BR287+Model!BS287+Model!BT287+Model!BU287</f>
        <v>-0</v>
      </c>
      <c r="H32" s="13" t="n">
        <f aca="false">Model!BV287+Model!BW287+Model!BX287+Model!BY287+Model!BZ287+Model!CA287+Model!CB287+Model!CC287+Model!CD287+Model!CE287+Model!CF287+Model!CG287</f>
        <v>-0</v>
      </c>
      <c r="I32" s="13" t="n">
        <f aca="false">Model!CH287+Model!CI287+Model!CJ287+Model!CK287+Model!CL287+Model!CM287+Model!CN287+Model!CO287+Model!CP287+Model!CQ287+Model!CR287+Model!CS287</f>
        <v>-0</v>
      </c>
      <c r="J32" s="13" t="n">
        <f aca="false">Model!CT287+Model!CU287+Model!CV287+Model!CW287+Model!CX287+Model!CY287+Model!CZ287+Model!DA287+Model!DB287+Model!DC287+Model!DD287+Model!DE287</f>
        <v>-0</v>
      </c>
    </row>
    <row r="33" customFormat="false" ht="15" hidden="false" customHeight="true" outlineLevel="0" collapsed="false">
      <c r="A33" s="22" t="s">
        <v>291</v>
      </c>
      <c r="B33" s="13" t="n">
        <f aca="false">Model!E288+Model!F288+Model!G288+Model!H288+Model!I288+Model!J288+Model!K288+Model!L288+Model!M288+Model!B288+Model!C288+Model!D288</f>
        <v>0</v>
      </c>
      <c r="C33" s="13" t="n">
        <f aca="false">Model!N288+Model!O288+Model!P288+Model!Q288+Model!R288+Model!S288+Model!T288+Model!U288+Model!V288+Model!W288+Model!X288+Model!Y288</f>
        <v>-0</v>
      </c>
      <c r="D33" s="13" t="n">
        <f aca="false">Model!Z288+Model!AA288+Model!AB288+Model!AC288+Model!AD288+Model!AE288+Model!AF288+Model!AG288+Model!AH288+Model!AI288+Model!AJ288+Model!AK288</f>
        <v>-0</v>
      </c>
      <c r="E33" s="13" t="n">
        <f aca="false">Model!AL288+Model!AM288+Model!AN288+Model!AO288+Model!AP288+Model!AQ288+Model!AR288+Model!AS288+Model!AT288+Model!AU288+Model!AV288+Model!AW288</f>
        <v>-0</v>
      </c>
      <c r="F33" s="13" t="n">
        <f aca="false">Model!AX288+Model!AY288+Model!AZ288+Model!BA288+Model!BB288+Model!BC288+Model!BD288+Model!BE288+Model!BF288+Model!BG288+Model!BH288+Model!BI288</f>
        <v>-0</v>
      </c>
      <c r="G33" s="13" t="n">
        <f aca="false">Model!BJ288+Model!BK288+Model!BL288+Model!BM288+Model!BN288+Model!BO288+Model!BP288+Model!BQ288+Model!BR288+Model!BS288+Model!BT288+Model!BU288</f>
        <v>-0</v>
      </c>
      <c r="H33" s="13" t="n">
        <f aca="false">Model!BV288+Model!BW288+Model!BX288+Model!BY288+Model!BZ288+Model!CA288+Model!CB288+Model!CC288+Model!CD288+Model!CE288+Model!CF288+Model!CG288</f>
        <v>-0</v>
      </c>
      <c r="I33" s="13" t="n">
        <f aca="false">Model!CH288+Model!CI288+Model!CJ288+Model!CK288+Model!CL288+Model!CM288+Model!CN288+Model!CO288+Model!CP288+Model!CQ288+Model!CR288+Model!CS288</f>
        <v>-0</v>
      </c>
      <c r="J33" s="13" t="n">
        <f aca="false">Model!CT288+Model!CU288+Model!CV288+Model!CW288+Model!CX288+Model!CY288+Model!CZ288+Model!DA288+Model!DB288+Model!DC288+Model!DD288+Model!DE288</f>
        <v>-0</v>
      </c>
    </row>
    <row r="34" customFormat="false" ht="15" hidden="false" customHeight="true" outlineLevel="0" collapsed="false">
      <c r="A34" s="22" t="s">
        <v>292</v>
      </c>
      <c r="B34" s="13" t="n">
        <f aca="false">Model!E289+Model!F289+Model!G289+Model!H289+Model!I289+Model!J289+Model!K289+Model!L289+Model!M289+Model!B289+Model!C289+Model!D289</f>
        <v>0</v>
      </c>
      <c r="C34" s="13" t="n">
        <f aca="false">Model!N289+Model!O289+Model!P289+Model!Q289+Model!R289+Model!S289+Model!T289+Model!U289+Model!V289+Model!W289+Model!X289+Model!Y289</f>
        <v>-0</v>
      </c>
      <c r="D34" s="13" t="n">
        <f aca="false">Model!Z289+Model!AA289+Model!AB289+Model!AC289+Model!AD289+Model!AE289+Model!AF289+Model!AG289+Model!AH289+Model!AI289+Model!AJ289+Model!AK289</f>
        <v>-0</v>
      </c>
      <c r="E34" s="13" t="n">
        <f aca="false">Model!AL289+Model!AM289+Model!AN289+Model!AO289+Model!AP289+Model!AQ289+Model!AR289+Model!AS289+Model!AT289+Model!AU289+Model!AV289+Model!AW289</f>
        <v>-163365</v>
      </c>
      <c r="F34" s="13" t="n">
        <f aca="false">Model!AX289+Model!AY289+Model!AZ289+Model!BA289+Model!BB289+Model!BC289+Model!BD289+Model!BE289+Model!BF289+Model!BG289+Model!BH289+Model!BI289</f>
        <v>-281718</v>
      </c>
      <c r="G34" s="13" t="n">
        <f aca="false">Model!BJ289+Model!BK289+Model!BL289+Model!BM289+Model!BN289+Model!BO289+Model!BP289+Model!BQ289+Model!BR289+Model!BS289+Model!BT289+Model!BU289</f>
        <v>-132864.65</v>
      </c>
      <c r="H34" s="13" t="n">
        <f aca="false">Model!BV289+Model!BW289+Model!BX289+Model!BY289+Model!BZ289+Model!CA289+Model!CB289+Model!CC289+Model!CD289+Model!CE289+Model!CF289+Model!CG289</f>
        <v>-0</v>
      </c>
      <c r="I34" s="13" t="n">
        <f aca="false">Model!CH289+Model!CI289+Model!CJ289+Model!CK289+Model!CL289+Model!CM289+Model!CN289+Model!CO289+Model!CP289+Model!CQ289+Model!CR289+Model!CS289</f>
        <v>-0</v>
      </c>
      <c r="J34" s="13" t="n">
        <f aca="false">Model!CT289+Model!CU289+Model!CV289+Model!CW289+Model!CX289+Model!CY289+Model!CZ289+Model!DA289+Model!DB289+Model!DC289+Model!DD289+Model!DE289</f>
        <v>-0</v>
      </c>
    </row>
    <row r="35" customFormat="false" ht="15" hidden="false" customHeight="true" outlineLevel="0" collapsed="false">
      <c r="A35" s="22" t="s">
        <v>293</v>
      </c>
      <c r="B35" s="13" t="n">
        <f aca="false">Model!E290+Model!F290+Model!G290+Model!H290+Model!I290+Model!J290+Model!K290+Model!L290+Model!M290+Model!B290+Model!C290+Model!D290</f>
        <v>0</v>
      </c>
      <c r="C35" s="13" t="n">
        <f aca="false">Model!N290+Model!O290+Model!P290+Model!Q290+Model!R290+Model!S290+Model!T290+Model!U290+Model!V290+Model!W290+Model!X290+Model!Y290</f>
        <v>-0</v>
      </c>
      <c r="D35" s="13" t="n">
        <f aca="false">Model!Z290+Model!AA290+Model!AB290+Model!AC290+Model!AD290+Model!AE290+Model!AF290+Model!AG290+Model!AH290+Model!AI290+Model!AJ290+Model!AK290</f>
        <v>-0</v>
      </c>
      <c r="E35" s="13" t="n">
        <f aca="false">Model!AL290+Model!AM290+Model!AN290+Model!AO290+Model!AP290+Model!AQ290+Model!AR290+Model!AS290+Model!AT290+Model!AU290+Model!AV290+Model!AW290</f>
        <v>-0</v>
      </c>
      <c r="F35" s="13" t="n">
        <f aca="false">Model!AX290+Model!AY290+Model!AZ290+Model!BA290+Model!BB290+Model!BC290+Model!BD290+Model!BE290+Model!BF290+Model!BG290+Model!BH290+Model!BI290</f>
        <v>-995239</v>
      </c>
      <c r="G35" s="13" t="n">
        <f aca="false">Model!BJ290+Model!BK290+Model!BL290+Model!BM290+Model!BN290+Model!BO290+Model!BP290+Model!BQ290+Model!BR290+Model!BS290+Model!BT290+Model!BU290</f>
        <v>-292683</v>
      </c>
      <c r="H35" s="13" t="n">
        <f aca="false">Model!BV290+Model!BW290+Model!BX290+Model!BY290+Model!BZ290+Model!CA290+Model!CB290+Model!CC290+Model!CD290+Model!CE290+Model!CF290+Model!CG290</f>
        <v>-312005</v>
      </c>
      <c r="I35" s="13" t="n">
        <f aca="false">Model!CH290+Model!CI290+Model!CJ290+Model!CK290+Model!CL290+Model!CM290+Model!CN290+Model!CO290+Model!CP290+Model!CQ290+Model!CR290+Model!CS290</f>
        <v>-74753.9733935208</v>
      </c>
      <c r="J35" s="13" t="n">
        <f aca="false">Model!CT290+Model!CU290+Model!CV290+Model!CW290+Model!CX290+Model!CY290+Model!CZ290+Model!DA290+Model!DB290+Model!DC290+Model!DD290+Model!DE290</f>
        <v>-0</v>
      </c>
    </row>
    <row r="36" customFormat="false" ht="15" hidden="false" customHeight="true" outlineLevel="0" collapsed="false">
      <c r="A36" s="22" t="s">
        <v>294</v>
      </c>
      <c r="B36" s="13" t="n">
        <f aca="false">Model!E291+Model!F291+Model!G291+Model!H291+Model!I291+Model!J291+Model!K291+Model!L291+Model!M291+Model!B291+Model!C291+Model!D291</f>
        <v>0</v>
      </c>
      <c r="C36" s="13" t="n">
        <f aca="false">Model!N291+Model!O291+Model!P291+Model!Q291+Model!R291+Model!S291+Model!T291+Model!U291+Model!V291+Model!W291+Model!X291+Model!Y291</f>
        <v>-0</v>
      </c>
      <c r="D36" s="13" t="n">
        <f aca="false">Model!Z291+Model!AA291+Model!AB291+Model!AC291+Model!AD291+Model!AE291+Model!AF291+Model!AG291+Model!AH291+Model!AI291+Model!AJ291+Model!AK291</f>
        <v>-0</v>
      </c>
      <c r="E36" s="13" t="n">
        <f aca="false">Model!AL291+Model!AM291+Model!AN291+Model!AO291+Model!AP291+Model!AQ291+Model!AR291+Model!AS291+Model!AT291+Model!AU291+Model!AV291+Model!AW291</f>
        <v>-0</v>
      </c>
      <c r="F36" s="13" t="n">
        <f aca="false">Model!AX291+Model!AY291+Model!AZ291+Model!BA291+Model!BB291+Model!BC291+Model!BD291+Model!BE291+Model!BF291+Model!BG291+Model!BH291+Model!BI291</f>
        <v>-0</v>
      </c>
      <c r="G36" s="13" t="n">
        <f aca="false">Model!BJ291+Model!BK291+Model!BL291+Model!BM291+Model!BN291+Model!BO291+Model!BP291+Model!BQ291+Model!BR291+Model!BS291+Model!BT291+Model!BU291</f>
        <v>-0</v>
      </c>
      <c r="H36" s="13" t="n">
        <f aca="false">Model!BV291+Model!BW291+Model!BX291+Model!BY291+Model!BZ291+Model!CA291+Model!CB291+Model!CC291+Model!CD291+Model!CE291+Model!CF291+Model!CG291</f>
        <v>-219466</v>
      </c>
      <c r="I36" s="13" t="n">
        <f aca="false">Model!CH291+Model!CI291+Model!CJ291+Model!CK291+Model!CL291+Model!CM291+Model!CN291+Model!CO291+Model!CP291+Model!CQ291+Model!CR291+Model!CS291</f>
        <v>-731550</v>
      </c>
      <c r="J36" s="13" t="n">
        <f aca="false">Model!CT291+Model!CU291+Model!CV291+Model!CW291+Model!CX291+Model!CY291+Model!CZ291+Model!DA291+Model!DB291+Model!DC291+Model!DD291+Model!DE291</f>
        <v>-236911.848936407</v>
      </c>
    </row>
    <row r="37" customFormat="false" ht="15" hidden="false" customHeight="true" outlineLevel="0" collapsed="false">
      <c r="A37" s="3"/>
      <c r="B37" s="13"/>
      <c r="C37" s="13"/>
      <c r="D37" s="13"/>
      <c r="E37" s="13"/>
      <c r="F37" s="13"/>
      <c r="G37" s="13"/>
      <c r="H37" s="13"/>
      <c r="I37" s="81"/>
      <c r="J37" s="81"/>
    </row>
    <row r="38" customFormat="false" ht="15" hidden="false" customHeight="true" outlineLevel="0" collapsed="false">
      <c r="A38" s="23" t="s">
        <v>295</v>
      </c>
      <c r="B38" s="25"/>
      <c r="C38" s="25"/>
      <c r="D38" s="25"/>
      <c r="E38" s="25"/>
      <c r="F38" s="25"/>
      <c r="G38" s="25"/>
      <c r="H38" s="25"/>
      <c r="I38" s="25"/>
      <c r="J38" s="25"/>
    </row>
    <row r="39" customFormat="false" ht="15" hidden="false" customHeight="true" outlineLevel="0" collapsed="false">
      <c r="A39" s="22" t="s">
        <v>296</v>
      </c>
      <c r="B39" s="13" t="n">
        <f aca="false">Model!E310+Model!F310+Model!G310+Model!H310+Model!I310+Model!J310+Model!K310+Model!L310+Model!M310+Model!B310+Model!C310+Model!D310</f>
        <v>0</v>
      </c>
      <c r="C39" s="13" t="n">
        <f aca="false">Model!N310+Model!O310+Model!P310+Model!Q310+Model!R310+Model!S310+Model!T310+Model!U310+Model!V310+Model!W310+Model!X310+Model!Y310</f>
        <v>-1344000</v>
      </c>
      <c r="D39" s="13" t="n">
        <f aca="false">Model!Z310+Model!AA310+Model!AB310+Model!AC310+Model!AD310+Model!AE310+Model!AF310+Model!AG310+Model!AH310+Model!AI310+Model!AJ310+Model!AK310</f>
        <v>-651981.430278598</v>
      </c>
      <c r="E39" s="13" t="n">
        <f aca="false">Model!AL310+Model!AM310+Model!AN310+Model!AO310+Model!AP310+Model!AQ310+Model!AR310+Model!AS310+Model!AT310+Model!AU310+Model!AV310+Model!AW310</f>
        <v>0</v>
      </c>
      <c r="F39" s="13" t="n">
        <f aca="false">Model!AX310+Model!AY310+Model!AZ310+Model!BA310+Model!BB310+Model!BC310+Model!BD310+Model!BE310+Model!BF310+Model!BG310+Model!BH310+Model!BI310</f>
        <v>0</v>
      </c>
      <c r="G39" s="13" t="n">
        <f aca="false">Model!BJ310+Model!BK310+Model!BL310+Model!BM310+Model!BN310+Model!BO310+Model!BP310+Model!BQ310+Model!BR310+Model!BS310+Model!BT310+Model!BU310</f>
        <v>0</v>
      </c>
      <c r="H39" s="13" t="n">
        <f aca="false">Model!BV310+Model!BW310+Model!BX310+Model!BY310+Model!BZ310+Model!CA310+Model!CB310+Model!CC310+Model!CD310+Model!CE310+Model!CF310+Model!CG310</f>
        <v>0</v>
      </c>
      <c r="I39" s="13" t="n">
        <f aca="false">Model!CH310+Model!CI310+Model!CJ310+Model!CK310+Model!CL310+Model!CM310+Model!CN310+Model!CO310+Model!CP310+Model!CQ310+Model!CR310+Model!CS310</f>
        <v>0</v>
      </c>
      <c r="J39" s="13" t="n">
        <f aca="false">Model!CT310+Model!CU310+Model!CV310+Model!CW310+Model!CX310+Model!CY310+Model!CZ310+Model!DA310+Model!DB310+Model!DC310+Model!DD310+Model!DE310</f>
        <v>0</v>
      </c>
    </row>
    <row r="40" customFormat="false" ht="15" hidden="false" customHeight="true" outlineLevel="0" collapsed="false">
      <c r="A40" s="22" t="s">
        <v>297</v>
      </c>
      <c r="B40" s="13" t="n">
        <f aca="false">Model!M311</f>
        <v>1804127.58143555</v>
      </c>
      <c r="C40" s="13" t="n">
        <f aca="false">Model!Y311</f>
        <v>633307.759294967</v>
      </c>
      <c r="D40" s="13" t="n">
        <f aca="false">Model!AK311</f>
        <v>0</v>
      </c>
      <c r="E40" s="13" t="n">
        <f aca="false">Model!AW311</f>
        <v>0</v>
      </c>
      <c r="F40" s="13" t="n">
        <f aca="false">Model!BI311</f>
        <v>0</v>
      </c>
      <c r="G40" s="13" t="n">
        <f aca="false">Model!BU311</f>
        <v>0</v>
      </c>
      <c r="H40" s="13" t="n">
        <f aca="false">Model!CG311</f>
        <v>0</v>
      </c>
      <c r="I40" s="13" t="n">
        <f aca="false">Model!CS311</f>
        <v>0</v>
      </c>
      <c r="J40" s="13" t="n">
        <f aca="false">Model!DE311</f>
        <v>0</v>
      </c>
    </row>
    <row r="41" customFormat="false" ht="15" hidden="false" customHeight="true" outlineLevel="0" collapsed="false">
      <c r="A41" s="22" t="s">
        <v>298</v>
      </c>
      <c r="B41" s="13" t="n">
        <f aca="false">Model!E316+Model!F316+Model!G316+Model!H316+Model!I316+Model!J316+Model!K316+Model!L316+Model!M316+Model!B316+Model!C316+Model!D316</f>
        <v>0</v>
      </c>
      <c r="C41" s="13" t="n">
        <f aca="false">Model!N316+Model!O316+Model!P316+Model!Q316+Model!R316+Model!S316+Model!T316+Model!U316+Model!V316+Model!W316+Model!X316+Model!Y316</f>
        <v>0</v>
      </c>
      <c r="D41" s="13" t="n">
        <f aca="false">Model!Z316+Model!AA316+Model!AB316+Model!AC316+Model!AD316+Model!AE316+Model!AF316+Model!AG316+Model!AH316+Model!AI316+Model!AJ316+Model!AK316</f>
        <v>-250000</v>
      </c>
      <c r="E41" s="13" t="n">
        <f aca="false">Model!AL316+Model!AM316+Model!AN316+Model!AO316+Model!AP316+Model!AQ316+Model!AR316+Model!AS316+Model!AT316+Model!AU316+Model!AV316+Model!AW316</f>
        <v>-250000</v>
      </c>
      <c r="F41" s="13" t="n">
        <f aca="false">Model!AX316+Model!AY316+Model!AZ316+Model!BA316+Model!BB316+Model!BC316+Model!BD316+Model!BE316+Model!BF316+Model!BG316+Model!BH316+Model!BI316</f>
        <v>0</v>
      </c>
      <c r="G41" s="13" t="n">
        <f aca="false">Model!BJ316+Model!BK316+Model!BL316+Model!BM316+Model!BN316+Model!BO316+Model!BP316+Model!BQ316+Model!BR316+Model!BS316+Model!BT316+Model!BU316</f>
        <v>0</v>
      </c>
      <c r="H41" s="13" t="n">
        <f aca="false">Model!BV316+Model!BW316+Model!BX316+Model!BY316+Model!BZ316+Model!CA316+Model!CB316+Model!CC316+Model!CD316+Model!CE316+Model!CF316+Model!CG316</f>
        <v>0</v>
      </c>
      <c r="I41" s="13" t="n">
        <f aca="false">Model!CH316+Model!CI316+Model!CJ316+Model!CK316+Model!CL316+Model!CM316+Model!CN316+Model!CO316+Model!CP316+Model!CQ316+Model!CR316+Model!CS316</f>
        <v>0</v>
      </c>
      <c r="J41" s="13" t="n">
        <f aca="false">Model!CT316+Model!CU316+Model!CV316+Model!CW316+Model!CX316+Model!CY316+Model!CZ316+Model!DA316+Model!DB316+Model!DC316+Model!DD316+Model!DE316</f>
        <v>0</v>
      </c>
    </row>
    <row r="42" customFormat="false" ht="15" hidden="false" customHeight="true" outlineLevel="0" collapsed="false">
      <c r="A42" s="22" t="s">
        <v>299</v>
      </c>
      <c r="B42" s="13" t="n">
        <f aca="false">Model!M317</f>
        <v>1000000</v>
      </c>
      <c r="C42" s="13" t="n">
        <f aca="false">Model!Y317</f>
        <v>1000000</v>
      </c>
      <c r="D42" s="13" t="n">
        <f aca="false">Model!AK317</f>
        <v>750000</v>
      </c>
      <c r="E42" s="13" t="n">
        <f aca="false">Model!AW317</f>
        <v>500000</v>
      </c>
      <c r="F42" s="13" t="n">
        <f aca="false">Model!BI317</f>
        <v>500000</v>
      </c>
      <c r="G42" s="13" t="n">
        <f aca="false">Model!BU317</f>
        <v>500000</v>
      </c>
      <c r="H42" s="13" t="n">
        <f aca="false">Model!CG317</f>
        <v>500000</v>
      </c>
      <c r="I42" s="13" t="n">
        <f aca="false">Model!CS317</f>
        <v>500000</v>
      </c>
      <c r="J42" s="13" t="n">
        <f aca="false">Model!DE317</f>
        <v>500000</v>
      </c>
    </row>
    <row r="43" customFormat="false" ht="15" hidden="false" customHeight="true" outlineLevel="0" collapsed="false">
      <c r="A43" s="22" t="s">
        <v>300</v>
      </c>
      <c r="B43" s="13" t="n">
        <f aca="false">Model!E370+Model!F370+Model!G370+Model!H370+Model!I370+Model!J370+Model!K370+Model!L370+Model!M370+Model!B370+Model!C370+Model!D370</f>
        <v>0</v>
      </c>
      <c r="C43" s="13" t="n">
        <f aca="false">Model!N370+Model!O370+Model!P370+Model!Q370+Model!R370+Model!S370+Model!T370+Model!U370+Model!V370+Model!W370+Model!X370+Model!Y370</f>
        <v>0</v>
      </c>
      <c r="D43" s="13" t="n">
        <f aca="false">Model!Z370+Model!AA370+Model!AB370+Model!AC370+Model!AD370+Model!AE370+Model!AF370+Model!AG370+Model!AH370+Model!AI370+Model!AJ370+Model!AK370</f>
        <v>0</v>
      </c>
      <c r="E43" s="13" t="n">
        <f aca="false">Model!AL370+Model!AM370+Model!AN370+Model!AO370+Model!AP370+Model!AQ370+Model!AR370+Model!AS370+Model!AT370+Model!AU370+Model!AV370+Model!AW370</f>
        <v>0</v>
      </c>
      <c r="F43" s="13" t="n">
        <f aca="false">Model!AX370+Model!AY370+Model!AZ370+Model!BA370+Model!BB370+Model!BC370+Model!BD370+Model!BE370+Model!BF370+Model!BG370+Model!BH370+Model!BI370</f>
        <v>0</v>
      </c>
      <c r="G43" s="13" t="n">
        <f aca="false">Model!BJ370+Model!BK370+Model!BL370+Model!BM370+Model!BN370+Model!BO370+Model!BP370+Model!BQ370+Model!BR370+Model!BS370+Model!BT370+Model!BU370</f>
        <v>0</v>
      </c>
      <c r="H43" s="13" t="n">
        <f aca="false">Model!BV370+Model!BW370+Model!BX370+Model!BY370+Model!BZ370+Model!CA370+Model!CB370+Model!CC370+Model!CD370+Model!CE370+Model!CF370+Model!CG370</f>
        <v>0</v>
      </c>
      <c r="I43" s="13" t="n">
        <f aca="false">Model!CH370+Model!CI370+Model!CJ370+Model!CK370+Model!CL370+Model!CM370+Model!CN370+Model!CO370+Model!CP370+Model!CQ370+Model!CR370+Model!CS370</f>
        <v>0</v>
      </c>
      <c r="J43" s="13" t="n">
        <f aca="false">Model!CT370+Model!CU370+Model!CV370+Model!CW370+Model!CX370+Model!CY370+Model!CZ370+Model!DA370+Model!DB370+Model!DC370+Model!DD370+Model!DE370</f>
        <v>0</v>
      </c>
    </row>
    <row r="44" customFormat="false" ht="15" hidden="false" customHeight="true" outlineLevel="0" collapsed="false">
      <c r="A44" s="22" t="s">
        <v>301</v>
      </c>
      <c r="B44" s="13" t="n">
        <f aca="false">Model!M324+Model!M329+Model!M334+Model!M339</f>
        <v>2378399.92018311</v>
      </c>
      <c r="C44" s="13" t="n">
        <f aca="false">Model!Y324+Model!Y329+Model!Y334+Model!Y339</f>
        <v>1714451.09866009</v>
      </c>
      <c r="D44" s="13" t="n">
        <f aca="false">Model!AK324+Model!AK329+Model!AK334+Model!AK339</f>
        <v>1035128.51554915</v>
      </c>
      <c r="E44" s="13" t="n">
        <f aca="false">Model!AW324+Model!AW329+Model!AW334+Model!AW339</f>
        <v>1199352.08415979</v>
      </c>
      <c r="F44" s="13" t="n">
        <f aca="false">Model!BI324+Model!BI329+Model!BI334+Model!BI339</f>
        <v>975331.495449082</v>
      </c>
      <c r="G44" s="13" t="n">
        <f aca="false">Model!BU324+Model!BU329+Model!BU334+Model!BU339</f>
        <v>820735.28594806</v>
      </c>
      <c r="H44" s="13" t="n">
        <f aca="false">Model!CG324+Model!CG329+Model!CG334+Model!CG339</f>
        <v>621470.381107174</v>
      </c>
      <c r="I44" s="13" t="n">
        <f aca="false">Model!CS324+Model!CS329+Model!CS334+Model!CS339</f>
        <v>233637.0833122</v>
      </c>
      <c r="J44" s="13" t="n">
        <f aca="false">Model!DE324+Model!DE329+Model!DE334+Model!DE339</f>
        <v>0</v>
      </c>
    </row>
    <row r="45" customFormat="false" ht="15" hidden="false" customHeight="true" outlineLevel="0" collapsed="false">
      <c r="A45" s="3"/>
      <c r="B45" s="13"/>
      <c r="C45" s="13"/>
      <c r="D45" s="13"/>
      <c r="E45" s="13"/>
      <c r="F45" s="13"/>
      <c r="G45" s="13"/>
      <c r="H45" s="13"/>
      <c r="I45" s="81"/>
      <c r="J45" s="81"/>
    </row>
    <row r="46" customFormat="false" ht="15" hidden="false" customHeight="true" outlineLevel="0" collapsed="false">
      <c r="A46" s="22" t="s">
        <v>302</v>
      </c>
      <c r="B46" s="13" t="n">
        <f aca="false">Model!M350</f>
        <v>93841157.4299332</v>
      </c>
      <c r="C46" s="13" t="n">
        <f aca="false">Model!Y350</f>
        <v>101419054.905732</v>
      </c>
      <c r="D46" s="13" t="n">
        <f aca="false">Model!AK350</f>
        <v>48459510.652485</v>
      </c>
      <c r="E46" s="13" t="n">
        <f aca="false">Model!AW350</f>
        <v>13258584.501624</v>
      </c>
      <c r="F46" s="13" t="n">
        <f aca="false">Model!BI350</f>
        <v>0</v>
      </c>
      <c r="G46" s="13" t="n">
        <f aca="false">Model!BU350</f>
        <v>0</v>
      </c>
      <c r="H46" s="13" t="n">
        <f aca="false">Model!CG350</f>
        <v>0</v>
      </c>
      <c r="I46" s="13" t="n">
        <f aca="false">Model!CS350</f>
        <v>0</v>
      </c>
      <c r="J46" s="13" t="n">
        <f aca="false">Model!DE350</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82" t="s">
        <v>188</v>
      </c>
      <c r="B48" s="83" t="n">
        <f aca="false">Model!M363</f>
        <v>2168054.84711936</v>
      </c>
      <c r="C48" s="83" t="n">
        <f aca="false">Model!Y363</f>
        <v>4415467.61553319</v>
      </c>
      <c r="D48" s="83" t="n">
        <f aca="false">Model!AK363</f>
        <v>11282333.3093572</v>
      </c>
      <c r="E48" s="83" t="n">
        <f aca="false">Model!AW363</f>
        <v>12799087.3100259</v>
      </c>
      <c r="F48" s="83" t="n">
        <f aca="false">Model!BI363</f>
        <v>10170140.3354675</v>
      </c>
      <c r="G48" s="83" t="n">
        <f aca="false">Model!BU363</f>
        <v>5152173.22462861</v>
      </c>
      <c r="H48" s="83" t="n">
        <f aca="false">Model!CG363</f>
        <v>33846.7715729334</v>
      </c>
      <c r="I48" s="83" t="n">
        <f aca="false">Model!CS363</f>
        <v>-5186846.21054386</v>
      </c>
      <c r="J48" s="83" t="n">
        <f aca="false">Model!DE363</f>
        <v>-9881270.70823554</v>
      </c>
    </row>
    <row r="49" customFormat="false" ht="15" hidden="false" customHeight="true" outlineLevel="0" collapsed="false">
      <c r="A49" s="82" t="s">
        <v>195</v>
      </c>
      <c r="B49" s="83" t="n">
        <f aca="false">Model!M371</f>
        <v>61600.4666666667</v>
      </c>
      <c r="C49" s="83" t="n">
        <f aca="false">Model!Y371</f>
        <v>-2813503.05324311</v>
      </c>
      <c r="D49" s="83" t="n">
        <f aca="false">Model!AK371</f>
        <v>-4118462.39204908</v>
      </c>
      <c r="E49" s="83" t="n">
        <f aca="false">Model!AW371</f>
        <v>-5372876.95951068</v>
      </c>
      <c r="F49" s="83" t="n">
        <f aca="false">Model!BI371</f>
        <v>-7204651.78295151</v>
      </c>
      <c r="G49" s="83" t="n">
        <f aca="false">Model!BU371</f>
        <v>-9167297.36030116</v>
      </c>
      <c r="H49" s="83" t="n">
        <f aca="false">Model!CG371</f>
        <v>-11354199.9878578</v>
      </c>
      <c r="I49" s="83" t="n">
        <f aca="false">Model!CS371</f>
        <v>-12374077.0813591</v>
      </c>
      <c r="J49" s="83" t="n">
        <f aca="false">Model!DE371</f>
        <v>-12301917.1342669</v>
      </c>
    </row>
    <row r="50" customFormat="false" ht="15" hidden="false" customHeight="true" outlineLevel="0" collapsed="false">
      <c r="A50" s="82" t="s">
        <v>198</v>
      </c>
      <c r="B50" s="83" t="n">
        <f aca="false">Model!E375+Model!F375+Model!G375+Model!H375+Model!I375+Model!J375+Model!K375+Model!L375+Model!M375+Model!B375+Model!C375+Model!D375</f>
        <v>0</v>
      </c>
      <c r="C50" s="83" t="n">
        <f aca="false">Model!N375+Model!O375+Model!P375+Model!Q375+Model!R375+Model!S375+Model!T375+Model!U375+Model!V375+Model!W375+Model!X375+Model!Y375</f>
        <v>-206038.210732122</v>
      </c>
      <c r="D50" s="83" t="n">
        <f aca="false">Model!Z375+Model!AA375+Model!AB375+Model!AC375+Model!AD375+Model!AE375+Model!AF375+Model!AG375+Model!AH375+Model!AI375+Model!AJ375+Model!AK375</f>
        <v>-1419271.45981913</v>
      </c>
      <c r="E50" s="83" t="n">
        <f aca="false">Model!AL375+Model!AM375+Model!AN375+Model!AO375+Model!AP375+Model!AQ375+Model!AR375+Model!AS375+Model!AT375+Model!AU375+Model!AV375+Model!AW375</f>
        <v>-3061595.77565932</v>
      </c>
      <c r="F50" s="83" t="n">
        <f aca="false">Model!AX375+Model!AY375+Model!AZ375+Model!BA375+Model!BB375+Model!BC375+Model!BD375+Model!BE375+Model!BF375+Model!BG375+Model!BH375+Model!BI375</f>
        <v>0</v>
      </c>
      <c r="G50" s="83" t="n">
        <f aca="false">Model!BJ375+Model!BK375+Model!BL375+Model!BM375+Model!BN375+Model!BO375+Model!BP375+Model!BQ375+Model!BR375+Model!BS375+Model!BT375+Model!BU375</f>
        <v>0</v>
      </c>
      <c r="H50" s="83" t="n">
        <f aca="false">Model!BV375+Model!BW375+Model!BX375+Model!BY375+Model!BZ375+Model!CA375+Model!CB375+Model!CC375+Model!CD375+Model!CE375+Model!CF375+Model!CG375</f>
        <v>0</v>
      </c>
      <c r="I50" s="83" t="n">
        <f aca="false">Model!CH375+Model!CI375+Model!CJ375+Model!CK375+Model!CL375+Model!CM375+Model!CN375+Model!CO375+Model!CP375+Model!CQ375+Model!CR375+Model!CS375</f>
        <v>0</v>
      </c>
      <c r="J50" s="83" t="n">
        <f aca="false">Model!CT375+Model!CU375+Model!CV375+Model!CW375+Model!CX375+Model!CY375+Model!CZ375+Model!DA375+Model!DB375+Model!DC375+Model!DD375+Model!DE375</f>
        <v>0</v>
      </c>
    </row>
    <row r="51" customFormat="false" ht="15" hidden="false" customHeight="true" outlineLevel="0" collapsed="false">
      <c r="A51" s="27" t="s">
        <v>303</v>
      </c>
      <c r="B51" s="84" t="n">
        <f aca="false">Model!M376</f>
        <v>2229655.31378602</v>
      </c>
      <c r="C51" s="84" t="n">
        <f aca="false">Model!Y376</f>
        <v>1601964.56229008</v>
      </c>
      <c r="D51" s="84" t="n">
        <f aca="false">Model!AK376</f>
        <v>7163870.91730815</v>
      </c>
      <c r="E51" s="84" t="n">
        <f aca="false">Model!AW376</f>
        <v>7426210.35051521</v>
      </c>
      <c r="F51" s="84" t="n">
        <f aca="false">Model!BI376</f>
        <v>2965488.55251601</v>
      </c>
      <c r="G51" s="84" t="n">
        <f aca="false">Model!BU376</f>
        <v>-4015124.13567255</v>
      </c>
      <c r="H51" s="84" t="n">
        <f aca="false">Model!CG376</f>
        <v>-11320353.2162849</v>
      </c>
      <c r="I51" s="84" t="n">
        <f aca="false">Model!CS376</f>
        <v>-17560923.291903</v>
      </c>
      <c r="J51" s="84" t="n">
        <f aca="false">Model!DE376</f>
        <v>-22183187.8425024</v>
      </c>
    </row>
  </sheetData>
  <mergeCells count="1">
    <mergeCell ref="A1:E1"/>
  </mergeCells>
  <conditionalFormatting sqref="B3:J48">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304</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267</v>
      </c>
      <c r="B2" s="85" t="s">
        <v>305</v>
      </c>
      <c r="C2" s="86" t="s">
        <v>306</v>
      </c>
      <c r="D2" s="86" t="s">
        <v>307</v>
      </c>
      <c r="E2" s="86" t="s">
        <v>308</v>
      </c>
      <c r="F2" s="86" t="s">
        <v>309</v>
      </c>
      <c r="G2" s="86" t="s">
        <v>310</v>
      </c>
      <c r="H2" s="86" t="s">
        <v>311</v>
      </c>
      <c r="I2" s="86" t="s">
        <v>312</v>
      </c>
      <c r="J2" s="86" t="s">
        <v>313</v>
      </c>
      <c r="K2" s="86" t="s">
        <v>314</v>
      </c>
      <c r="L2" s="86" t="s">
        <v>315</v>
      </c>
      <c r="M2" s="86" t="s">
        <v>316</v>
      </c>
      <c r="N2" s="86" t="s">
        <v>317</v>
      </c>
      <c r="O2" s="86" t="s">
        <v>318</v>
      </c>
      <c r="P2" s="86" t="s">
        <v>319</v>
      </c>
      <c r="Q2" s="86" t="s">
        <v>320</v>
      </c>
      <c r="R2" s="86" t="s">
        <v>321</v>
      </c>
      <c r="S2" s="86" t="s">
        <v>322</v>
      </c>
      <c r="T2" s="86" t="s">
        <v>323</v>
      </c>
      <c r="U2" s="86" t="s">
        <v>324</v>
      </c>
      <c r="V2" s="86" t="s">
        <v>325</v>
      </c>
      <c r="W2" s="86" t="s">
        <v>326</v>
      </c>
      <c r="X2" s="86" t="s">
        <v>327</v>
      </c>
      <c r="Y2" s="86" t="s">
        <v>328</v>
      </c>
      <c r="Z2" s="86" t="s">
        <v>329</v>
      </c>
      <c r="AA2" s="86" t="s">
        <v>330</v>
      </c>
      <c r="AB2" s="86" t="s">
        <v>331</v>
      </c>
      <c r="AC2" s="86" t="s">
        <v>332</v>
      </c>
      <c r="AD2" s="86" t="s">
        <v>333</v>
      </c>
      <c r="AE2" s="86" t="s">
        <v>334</v>
      </c>
      <c r="AF2" s="86" t="s">
        <v>335</v>
      </c>
      <c r="AG2" s="86" t="s">
        <v>336</v>
      </c>
      <c r="AH2" s="86" t="s">
        <v>337</v>
      </c>
      <c r="AI2" s="86" t="s">
        <v>338</v>
      </c>
      <c r="AJ2" s="86" t="s">
        <v>339</v>
      </c>
      <c r="AK2" s="86" t="s">
        <v>340</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277</v>
      </c>
      <c r="B4" s="13" t="n">
        <f aca="false">SUM(Model!B10:D10)</f>
        <v>474538.45</v>
      </c>
      <c r="C4" s="13" t="n">
        <f aca="false">SUM(Model!E10:G10)</f>
        <v>854579.17</v>
      </c>
      <c r="D4" s="13" t="n">
        <f aca="false">SUM(Model!H10:J10)</f>
        <v>1218191.92322767</v>
      </c>
      <c r="E4" s="13" t="n">
        <f aca="false">SUM(Model!K10:M10)</f>
        <v>1156206.47835516</v>
      </c>
      <c r="F4" s="13" t="n">
        <f aca="false">SUM(Model!N10:P10)</f>
        <v>1438499.39149683</v>
      </c>
      <c r="G4" s="13" t="n">
        <f aca="false">SUM(Model!Q10:S10)</f>
        <v>1788830.85943008</v>
      </c>
      <c r="H4" s="13" t="n">
        <f aca="false">SUM(Model!T10:V10)</f>
        <v>2183701.70613708</v>
      </c>
      <c r="I4" s="13" t="n">
        <f aca="false">SUM(Model!W10:Y10)</f>
        <v>2147955.40044029</v>
      </c>
      <c r="J4" s="13" t="n">
        <f aca="false">SUM(Model!Z10:AB10)</f>
        <v>2274550.15875989</v>
      </c>
      <c r="K4" s="13" t="n">
        <f aca="false">SUM(Model!AC10:AE10)</f>
        <v>1797344.11582397</v>
      </c>
      <c r="L4" s="13" t="n">
        <f aca="false">SUM(Model!AF10:AH10)</f>
        <v>2090197.76194977</v>
      </c>
      <c r="M4" s="13" t="n">
        <f aca="false">SUM(Model!AI10:AK10)</f>
        <v>1771764.88158547</v>
      </c>
      <c r="N4" s="13" t="n">
        <f aca="false">SUM(Model!AL10:AN10)</f>
        <v>1083082.56909637</v>
      </c>
      <c r="O4" s="13" t="n">
        <f aca="false">SUM(Model!AO10:AQ10)</f>
        <v>770566.599760868</v>
      </c>
      <c r="P4" s="13" t="n">
        <f aca="false">SUM(Model!AR10:AT10)</f>
        <v>926272.971868368</v>
      </c>
      <c r="Q4" s="13" t="n">
        <f aca="false">SUM(Model!AU10:AW10)</f>
        <v>424508.639065961</v>
      </c>
      <c r="R4" s="13" t="n">
        <f aca="false">SUM(Model!AX10:AZ10)</f>
        <v>270274.2313018</v>
      </c>
      <c r="S4" s="13" t="n">
        <f aca="false">SUM(Model!BA10:BC10)</f>
        <v>270274.2313018</v>
      </c>
      <c r="T4" s="13" t="n">
        <f aca="false">SUM(Model!BD10:BF10)</f>
        <v>270274.2313018</v>
      </c>
      <c r="U4" s="13" t="n">
        <f aca="false">SUM(Model!BG10:BI10)</f>
        <v>322432.416289867</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278</v>
      </c>
      <c r="B5" s="13" t="n">
        <f aca="false">SUM(Model!B11:D11)</f>
        <v>319091.99</v>
      </c>
      <c r="C5" s="13" t="n">
        <f aca="false">SUM(Model!E11:G11)</f>
        <v>669542.47</v>
      </c>
      <c r="D5" s="13" t="n">
        <f aca="false">SUM(Model!H11:J11)</f>
        <v>880862.568624924</v>
      </c>
      <c r="E5" s="13" t="n">
        <f aca="false">SUM(Model!K11:M11)</f>
        <v>917064.142040531</v>
      </c>
      <c r="F5" s="13" t="n">
        <f aca="false">SUM(Model!N11:P11)</f>
        <v>1117672.77548137</v>
      </c>
      <c r="G5" s="13" t="n">
        <f aca="false">SUM(Model!Q11:S11)</f>
        <v>1358554.96726397</v>
      </c>
      <c r="H5" s="13" t="n">
        <f aca="false">SUM(Model!T11:V11)</f>
        <v>1646258.01880556</v>
      </c>
      <c r="I5" s="13" t="n">
        <f aca="false">SUM(Model!W11:Y11)</f>
        <v>1610960.45422018</v>
      </c>
      <c r="J5" s="13" t="n">
        <f aca="false">SUM(Model!Z11:AB11)</f>
        <v>1705906.12538128</v>
      </c>
      <c r="K5" s="13" t="n">
        <f aca="false">SUM(Model!AC11:AE11)</f>
        <v>1348002.44061521</v>
      </c>
      <c r="L5" s="13" t="n">
        <f aca="false">SUM(Model!AF11:AH11)</f>
        <v>1567642.30211179</v>
      </c>
      <c r="M5" s="13" t="n">
        <f aca="false">SUM(Model!AI11:AK11)</f>
        <v>1328818.36000718</v>
      </c>
      <c r="N5" s="13" t="n">
        <f aca="false">SUM(Model!AL11:AN11)</f>
        <v>812308.670525565</v>
      </c>
      <c r="O5" s="13" t="n">
        <f aca="false">SUM(Model!AO11:AQ11)</f>
        <v>577922.149593164</v>
      </c>
      <c r="P5" s="13" t="n">
        <f aca="false">SUM(Model!AR11:AT11)</f>
        <v>694701.362839164</v>
      </c>
      <c r="Q5" s="13" t="n">
        <f aca="false">SUM(Model!AU11:AW11)</f>
        <v>318379.936641432</v>
      </c>
      <c r="R5" s="13" t="n">
        <f aca="false">SUM(Model!AX11:AZ11)</f>
        <v>202704.69130384</v>
      </c>
      <c r="S5" s="13" t="n">
        <f aca="false">SUM(Model!BA11:BC11)</f>
        <v>202704.69130384</v>
      </c>
      <c r="T5" s="13" t="n">
        <f aca="false">SUM(Model!BD11:BF11)</f>
        <v>202704.69130384</v>
      </c>
      <c r="U5" s="13" t="n">
        <f aca="false">SUM(Model!BG11:BI11)</f>
        <v>241823.140502827</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279</v>
      </c>
      <c r="B6" s="13" t="n">
        <f aca="false">SUM(Model!B57:D57)</f>
        <v>6354898.1</v>
      </c>
      <c r="C6" s="13" t="n">
        <f aca="false">SUM(Model!E57:G57)</f>
        <v>12836560.87</v>
      </c>
      <c r="D6" s="13" t="n">
        <f aca="false">SUM(Model!H57:J57)</f>
        <v>16833452.2461319</v>
      </c>
      <c r="E6" s="13" t="n">
        <f aca="false">SUM(Model!K57:M57)</f>
        <v>14449937.2855016</v>
      </c>
      <c r="F6" s="13" t="n">
        <f aca="false">SUM(Model!N57:P57)</f>
        <v>17700352.3134501</v>
      </c>
      <c r="G6" s="13" t="n">
        <f aca="false">SUM(Model!Q57:S57)</f>
        <v>22341988.4015045</v>
      </c>
      <c r="H6" s="13" t="n">
        <f aca="false">SUM(Model!T57:V57)</f>
        <v>29566536.0060142</v>
      </c>
      <c r="I6" s="13" t="n">
        <f aca="false">SUM(Model!W57:Y57)</f>
        <v>31521299.5736295</v>
      </c>
      <c r="J6" s="13" t="n">
        <f aca="false">SUM(Model!Z57:AB57)</f>
        <v>32891257.6187579</v>
      </c>
      <c r="K6" s="13" t="n">
        <f aca="false">SUM(Model!AC57:AE57)</f>
        <v>27999032.6252276</v>
      </c>
      <c r="L6" s="13" t="n">
        <f aca="false">SUM(Model!AF57:AH57)</f>
        <v>27027524.8448337</v>
      </c>
      <c r="M6" s="13" t="n">
        <f aca="false">SUM(Model!AI57:AK57)</f>
        <v>20546406.5691939</v>
      </c>
      <c r="N6" s="13" t="n">
        <f aca="false">SUM(Model!AL57:AN57)</f>
        <v>14031658.921682</v>
      </c>
      <c r="O6" s="13" t="n">
        <f aca="false">SUM(Model!AO57:AQ57)</f>
        <v>9095374.56306121</v>
      </c>
      <c r="P6" s="13" t="n">
        <f aca="false">SUM(Model!AR57:AT57)</f>
        <v>6584974.58720847</v>
      </c>
      <c r="Q6" s="13" t="n">
        <f aca="false">SUM(Model!AU57:AW57)</f>
        <v>4774687.78036461</v>
      </c>
      <c r="R6" s="13" t="n">
        <f aca="false">SUM(Model!AX57:AZ57)</f>
        <v>4425063.69147436</v>
      </c>
      <c r="S6" s="13" t="n">
        <f aca="false">SUM(Model!BA57:BC57)</f>
        <v>3503558.42661836</v>
      </c>
      <c r="T6" s="13" t="n">
        <f aca="false">SUM(Model!BD57:BF57)</f>
        <v>2479535.02903436</v>
      </c>
      <c r="U6" s="13" t="n">
        <f aca="false">SUM(Model!BG57:BI57)</f>
        <v>867400.448415307</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16523207.9058973</v>
      </c>
      <c r="F7" s="88" t="n">
        <f aca="false">SUM(Model!N58:P58)</f>
        <v>20256524.4804283</v>
      </c>
      <c r="G7" s="88" t="n">
        <f aca="false">SUM(Model!Q58:S58)</f>
        <v>25489374.2281985</v>
      </c>
      <c r="H7" s="88" t="n">
        <f aca="false">SUM(Model!T58:V58)</f>
        <v>33396495.7309568</v>
      </c>
      <c r="I7" s="88" t="n">
        <f aca="false">SUM(Model!W58:Y58)</f>
        <v>35280215.4282899</v>
      </c>
      <c r="J7" s="88" t="n">
        <f aca="false">SUM(Model!Z58:AB58)</f>
        <v>36871713.9028991</v>
      </c>
      <c r="K7" s="88" t="n">
        <f aca="false">SUM(Model!AC58:AE58)</f>
        <v>31144379.1816668</v>
      </c>
      <c r="L7" s="88" t="n">
        <f aca="false">SUM(Model!AF58:AH58)</f>
        <v>30685364.9088953</v>
      </c>
      <c r="M7" s="88" t="n">
        <f aca="false">SUM(Model!AI58:AK58)</f>
        <v>23646989.8107865</v>
      </c>
      <c r="N7" s="88" t="n">
        <f aca="false">SUM(Model!AL58:AN58)</f>
        <v>15927050.161304</v>
      </c>
      <c r="O7" s="88" t="n">
        <f aca="false">SUM(Model!AO58:AQ58)</f>
        <v>10443863.3124152</v>
      </c>
      <c r="P7" s="88" t="n">
        <f aca="false">SUM(Model!AR58:AT58)</f>
        <v>8205948.921916</v>
      </c>
      <c r="Q7" s="88" t="n">
        <f aca="false">SUM(Model!AU58:AW58)</f>
        <v>5517576.356072</v>
      </c>
      <c r="R7" s="88" t="n">
        <f aca="false">SUM(Model!AX58:AZ58)</f>
        <v>4898042.61408</v>
      </c>
      <c r="S7" s="88" t="n">
        <f aca="false">SUM(Model!BA58:BC58)</f>
        <v>3976537.349224</v>
      </c>
      <c r="T7" s="88" t="n">
        <f aca="false">SUM(Model!BD58:BF58)</f>
        <v>2952513.95164</v>
      </c>
      <c r="U7" s="88" t="n">
        <f aca="false">SUM(Model!BG58:BI58)</f>
        <v>1431656.005208</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-14462598.5108384</v>
      </c>
      <c r="F8" s="13" t="n">
        <f aca="false">SUM(Model!N104:P104)</f>
        <v>-17619810.4634501</v>
      </c>
      <c r="G8" s="13" t="n">
        <f aca="false">SUM(Model!Q104:S104)</f>
        <v>-22511180.8815045</v>
      </c>
      <c r="H8" s="13" t="n">
        <f aca="false">SUM(Model!T104:V104)</f>
        <v>-29800686.5560142</v>
      </c>
      <c r="I8" s="13" t="n">
        <f aca="false">SUM(Model!W104:Y104)</f>
        <v>-31515514.2536295</v>
      </c>
      <c r="J8" s="13" t="n">
        <f aca="false">SUM(Model!Z104:AB104)</f>
        <v>-32891257.6187579</v>
      </c>
      <c r="K8" s="13" t="n">
        <f aca="false">SUM(Model!AC104:AE104)</f>
        <v>-27999032.6252276</v>
      </c>
      <c r="L8" s="13" t="n">
        <f aca="false">SUM(Model!AF104:AH104)</f>
        <v>-27027524.8448337</v>
      </c>
      <c r="M8" s="13" t="n">
        <f aca="false">SUM(Model!AI104:AK104)</f>
        <v>-20546406.5691939</v>
      </c>
      <c r="N8" s="13" t="n">
        <f aca="false">SUM(Model!AL104:AN104)</f>
        <v>-14031658.921682</v>
      </c>
      <c r="O8" s="13" t="n">
        <f aca="false">SUM(Model!AO104:AQ104)</f>
        <v>-9095374.56306121</v>
      </c>
      <c r="P8" s="13" t="n">
        <f aca="false">SUM(Model!AR104:AT104)</f>
        <v>-6584974.58720847</v>
      </c>
      <c r="Q8" s="13" t="n">
        <f aca="false">SUM(Model!AU104:AW104)</f>
        <v>-4774687.78036461</v>
      </c>
      <c r="R8" s="13" t="n">
        <f aca="false">SUM(Model!AX104:AZ104)</f>
        <v>-4425063.69147436</v>
      </c>
      <c r="S8" s="13" t="n">
        <f aca="false">SUM(Model!BA104:BC104)</f>
        <v>-3503558.42661836</v>
      </c>
      <c r="T8" s="13" t="n">
        <f aca="false">SUM(Model!BD104:BF104)</f>
        <v>-2479535.02903436</v>
      </c>
      <c r="U8" s="13" t="n">
        <f aca="false">SUM(Model!BG104:BI104)</f>
        <v>-867400.448415307</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280</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1062564.08866995</v>
      </c>
      <c r="H9" s="13" t="n">
        <f aca="false">SUM(Model!T150:V150)</f>
        <v>272553.236453202</v>
      </c>
      <c r="I9" s="13" t="n">
        <f aca="false">SUM(Model!W150:Y150)</f>
        <v>0</v>
      </c>
      <c r="J9" s="13" t="n">
        <f aca="false">SUM(Model!Z150:AB150)</f>
        <v>0</v>
      </c>
      <c r="K9" s="13" t="n">
        <f aca="false">SUM(Model!AC150:AE150)</f>
        <v>611152.197044335</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281</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-1274191.43633005</v>
      </c>
      <c r="H10" s="13" t="n">
        <f aca="false">SUM(Model!T196:V196)</f>
        <v>-326836.756046798</v>
      </c>
      <c r="I10" s="13" t="n">
        <f aca="false">SUM(Model!W196:Y196)</f>
        <v>0</v>
      </c>
      <c r="J10" s="13" t="n">
        <f aca="false">SUM(Model!Z196:AB196)</f>
        <v>0</v>
      </c>
      <c r="K10" s="13" t="n">
        <f aca="false">SUM(Model!AC196:AE196)</f>
        <v>-732873.342955665</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5" hidden="false" customHeight="true" outlineLevel="0" collapsed="false">
      <c r="A11" s="22" t="s">
        <v>282</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5" hidden="false" customHeight="true" outlineLevel="0" collapsed="false">
      <c r="A12" s="22" t="s">
        <v>283</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1582348.24927036</v>
      </c>
      <c r="F13" s="32" t="n">
        <f aca="false">SUM(Model!N199:P199)</f>
        <v>2605988.5069782</v>
      </c>
      <c r="G13" s="32" t="n">
        <f aca="false">SUM(Model!Q199:S199)</f>
        <v>1767162.010364</v>
      </c>
      <c r="H13" s="32" t="n">
        <f aca="false">SUM(Model!T199:V199)</f>
        <v>3289714.03889584</v>
      </c>
      <c r="I13" s="32" t="n">
        <f aca="false">SUM(Model!W199:Y199)</f>
        <v>3758915.85466048</v>
      </c>
      <c r="J13" s="32" t="n">
        <f aca="false">SUM(Model!Z199:AB199)</f>
        <v>3980456.28414117</v>
      </c>
      <c r="K13" s="32" t="n">
        <f aca="false">SUM(Model!AC199:AE199)</f>
        <v>2412473.21348352</v>
      </c>
      <c r="L13" s="32" t="n">
        <f aca="false">SUM(Model!AF199:AH199)</f>
        <v>3657840.06406157</v>
      </c>
      <c r="M13" s="32" t="n">
        <f aca="false">SUM(Model!AI199:AK199)</f>
        <v>3100583.24159265</v>
      </c>
      <c r="N13" s="32" t="n">
        <f aca="false">SUM(Model!AL199:AN199)</f>
        <v>1895391.23962193</v>
      </c>
      <c r="O13" s="32" t="n">
        <f aca="false">SUM(Model!AO199:AQ199)</f>
        <v>1348488.74935403</v>
      </c>
      <c r="P13" s="32" t="n">
        <f aca="false">SUM(Model!AR199:AT199)</f>
        <v>1620974.33470753</v>
      </c>
      <c r="Q13" s="32" t="n">
        <f aca="false">SUM(Model!AU199:AW199)</f>
        <v>742888.575707393</v>
      </c>
      <c r="R13" s="32" t="n">
        <f aca="false">SUM(Model!AX199:AZ199)</f>
        <v>472978.92260564</v>
      </c>
      <c r="S13" s="32" t="n">
        <f aca="false">SUM(Model!BA199:BC199)</f>
        <v>472978.92260564</v>
      </c>
      <c r="T13" s="32" t="n">
        <f aca="false">SUM(Model!BD199:BF199)</f>
        <v>472978.92260564</v>
      </c>
      <c r="U13" s="32" t="n">
        <f aca="false">SUM(Model!BG199:BI199)</f>
        <v>564255.556792693</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0.0957651963397255</v>
      </c>
      <c r="F14" s="89" t="n">
        <f aca="false">IFERROR(F13/F7,0)</f>
        <v>0.128649340092674</v>
      </c>
      <c r="G14" s="89" t="n">
        <f aca="false">IFERROR(G13/G7,0)</f>
        <v>0.0693293603265087</v>
      </c>
      <c r="H14" s="89" t="n">
        <f aca="false">IFERROR(H13/H7,0)</f>
        <v>0.0985047672485725</v>
      </c>
      <c r="I14" s="89" t="n">
        <f aca="false">IFERROR(I13/I7,0)</f>
        <v>0.106544583388409</v>
      </c>
      <c r="J14" s="89" t="n">
        <f aca="false">IFERROR(J13/J7,0)</f>
        <v>0.107954197481126</v>
      </c>
      <c r="K14" s="89" t="n">
        <f aca="false">IFERROR(K13/K7,0)</f>
        <v>0.0774609504787825</v>
      </c>
      <c r="L14" s="89" t="n">
        <f aca="false">IFERROR(L13/L7,0)</f>
        <v>0.119204711266158</v>
      </c>
      <c r="M14" s="89" t="n">
        <f aca="false">IFERROR(M13/M7,0)</f>
        <v>0.131119574474478</v>
      </c>
      <c r="N14" s="89" t="n">
        <f aca="false">IFERROR(N13/N7,0)</f>
        <v>0.119004537590202</v>
      </c>
      <c r="O14" s="89" t="n">
        <f aca="false">IFERROR(O13/O7,0)</f>
        <v>0.129117809091872</v>
      </c>
      <c r="P14" s="89" t="n">
        <f aca="false">IFERROR(P13/P7,0)</f>
        <v>0.197536488483169</v>
      </c>
      <c r="Q14" s="89" t="n">
        <f aca="false">IFERROR(Q13/Q7,0)</f>
        <v>0.134640379718508</v>
      </c>
      <c r="R14" s="89" t="n">
        <f aca="false">IFERROR(R13/R7,0)</f>
        <v>0.0965648851739277</v>
      </c>
      <c r="S14" s="89" t="n">
        <f aca="false">IFERROR(S13/S7,0)</f>
        <v>0.118942406689061</v>
      </c>
      <c r="T14" s="89" t="n">
        <f aca="false">IFERROR(T13/T7,0)</f>
        <v>0.160195321801247</v>
      </c>
      <c r="U14" s="89" t="n">
        <f aca="false">IFERROR(U13/U7,0)</f>
        <v>0.394127887383614</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284</v>
      </c>
      <c r="B17" s="13" t="n">
        <f aca="false">SUM(Model!B203:D204)+SUM(Model!B206:D210)</f>
        <v>-637683.26</v>
      </c>
      <c r="C17" s="13" t="n">
        <f aca="false">SUM(Model!E203:G204)+SUM(Model!E206:G210)</f>
        <v>-493512.62</v>
      </c>
      <c r="D17" s="13" t="n">
        <f aca="false">SUM(Model!H203:J204)+SUM(Model!H206:J210)</f>
        <v>-885920.265</v>
      </c>
      <c r="E17" s="13" t="n">
        <f aca="false">SUM(Model!K203:M204)+SUM(Model!K206:M210)</f>
        <v>-1023838.735</v>
      </c>
      <c r="F17" s="13" t="n">
        <f aca="false">SUM(Model!N203:P204)+SUM(Model!N206:P210)</f>
        <v>-1223974.15166667</v>
      </c>
      <c r="G17" s="13" t="n">
        <f aca="false">SUM(Model!Q203:S204)+SUM(Model!Q206:S210)</f>
        <v>-1468894.7597</v>
      </c>
      <c r="H17" s="13" t="n">
        <f aca="false">SUM(Model!T203:V204)+SUM(Model!T206:V210)</f>
        <v>-1565733.1347</v>
      </c>
      <c r="I17" s="13" t="n">
        <f aca="false">SUM(Model!W203:Y204)+SUM(Model!W206:Y210)</f>
        <v>-1565733.1347</v>
      </c>
      <c r="J17" s="13" t="n">
        <f aca="false">SUM(Model!Z203:AB204)+SUM(Model!Z206:AB210)</f>
        <v>-1521450.2597</v>
      </c>
      <c r="K17" s="13" t="n">
        <f aca="false">SUM(Model!AC203:AE204)+SUM(Model!AC206:AE210)</f>
        <v>-1479411.069894</v>
      </c>
      <c r="L17" s="13" t="n">
        <f aca="false">SUM(Model!AF203:AH204)+SUM(Model!AF206:AH210)</f>
        <v>-1435235.252394</v>
      </c>
      <c r="M17" s="13" t="n">
        <f aca="false">SUM(Model!AI203:AK204)+SUM(Model!AI206:AK210)</f>
        <v>-1403468.372394</v>
      </c>
      <c r="N17" s="13" t="n">
        <f aca="false">SUM(Model!AL203:AN204)+SUM(Model!AL206:AN210)</f>
        <v>-1226268.744894</v>
      </c>
      <c r="O17" s="13" t="n">
        <f aca="false">SUM(Model!AO203:AQ204)+SUM(Model!AO206:AQ210)</f>
        <v>-1103465.28664188</v>
      </c>
      <c r="P17" s="13" t="n">
        <f aca="false">SUM(Model!AR203:AT204)+SUM(Model!AR206:AT210)</f>
        <v>-1026510.01984188</v>
      </c>
      <c r="Q17" s="13" t="n">
        <f aca="false">SUM(Model!AU203:AW204)+SUM(Model!AU206:AW210)</f>
        <v>-1013852.90359188</v>
      </c>
      <c r="R17" s="13" t="n">
        <f aca="false">SUM(Model!AX203:AZ204)+SUM(Model!AX206:AZ210)</f>
        <v>-1013852.90359188</v>
      </c>
      <c r="S17" s="13" t="n">
        <f aca="false">SUM(Model!BA203:BC204)+SUM(Model!BA206:BC210)</f>
        <v>-1034129.96166372</v>
      </c>
      <c r="T17" s="13" t="n">
        <f aca="false">SUM(Model!BD203:BF204)+SUM(Model!BD206:BF210)</f>
        <v>-1034129.96166372</v>
      </c>
      <c r="U17" s="13" t="n">
        <f aca="false">SUM(Model!BG203:BI204)+SUM(Model!BG206:BI210)</f>
        <v>-1034129.96166372</v>
      </c>
      <c r="V17" s="13" t="n">
        <f aca="false">SUM(Model!BJ203:BL204)+SUM(Model!BJ206:BL210)</f>
        <v>-1034129.96166372</v>
      </c>
      <c r="W17" s="13" t="n">
        <f aca="false">SUM(Model!BM203:BO204)+SUM(Model!BM206:BO210)</f>
        <v>-1054812.56089699</v>
      </c>
      <c r="X17" s="13" t="n">
        <f aca="false">SUM(Model!BP203:BR204)+SUM(Model!BP206:BR210)</f>
        <v>-1054812.56089699</v>
      </c>
      <c r="Y17" s="13" t="n">
        <f aca="false">SUM(Model!BS203:BU204)+SUM(Model!BS206:BU210)</f>
        <v>-1054812.56089699</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285</v>
      </c>
      <c r="B18" s="13" t="n">
        <f aca="false">SUM(Model!B211:D233)+SUM(Model!B235:D235)</f>
        <v>-235164.52</v>
      </c>
      <c r="C18" s="13" t="n">
        <f aca="false">SUM(Model!E211:G233)+SUM(Model!E235:G235)</f>
        <v>-340675</v>
      </c>
      <c r="D18" s="13" t="n">
        <f aca="false">SUM(Model!H211:J233)+SUM(Model!H235:J235)</f>
        <v>-221900.59</v>
      </c>
      <c r="E18" s="13" t="n">
        <f aca="false">SUM(Model!K211:M233)+SUM(Model!K235:M235)</f>
        <v>-229202.82</v>
      </c>
      <c r="F18" s="13" t="n">
        <f aca="false">SUM(Model!N211:P233)+SUM(Model!N235:P235)</f>
        <v>-325202.82</v>
      </c>
      <c r="G18" s="13" t="n">
        <f aca="false">SUM(Model!Q211:S233)+SUM(Model!Q235:S235)</f>
        <v>-307181.8764</v>
      </c>
      <c r="H18" s="13" t="n">
        <f aca="false">SUM(Model!T211:V233)+SUM(Model!T235:V235)</f>
        <v>-208931.8764</v>
      </c>
      <c r="I18" s="13" t="n">
        <f aca="false">SUM(Model!W211:Y233)+SUM(Model!W235:Y235)</f>
        <v>-190181.8764</v>
      </c>
      <c r="J18" s="13" t="n">
        <f aca="false">SUM(Model!Z211:AB233)+SUM(Model!Z235:AB235)</f>
        <v>-205951.107169231</v>
      </c>
      <c r="K18" s="13" t="n">
        <f aca="false">SUM(Model!AC211:AE233)+SUM(Model!AC235:AE235)</f>
        <v>-215908.590851077</v>
      </c>
      <c r="L18" s="13" t="n">
        <f aca="false">SUM(Model!AF211:AH233)+SUM(Model!AF235:AH235)</f>
        <v>-206293.206235692</v>
      </c>
      <c r="M18" s="13" t="n">
        <f aca="false">SUM(Model!AI211:AK233)+SUM(Model!AI235:AK235)</f>
        <v>-193985.513928</v>
      </c>
      <c r="N18" s="13" t="n">
        <f aca="false">SUM(Model!AL211:AN233)+SUM(Model!AL235:AN235)</f>
        <v>-270523.975466462</v>
      </c>
      <c r="O18" s="13" t="n">
        <f aca="false">SUM(Model!AO211:AQ233)+SUM(Model!AO235:AQ235)</f>
        <v>-217480.608821945</v>
      </c>
      <c r="P18" s="13" t="n">
        <f aca="false">SUM(Model!AR211:AT233)+SUM(Model!AR235:AT235)</f>
        <v>-207480.608821945</v>
      </c>
      <c r="Q18" s="13" t="n">
        <f aca="false">SUM(Model!AU211:AW233)+SUM(Model!AU235:AW235)</f>
        <v>-197865.22420656</v>
      </c>
      <c r="R18" s="13" t="n">
        <f aca="false">SUM(Model!AX211:AZ233)+SUM(Model!AX235:AZ235)</f>
        <v>-197865.22420656</v>
      </c>
      <c r="S18" s="13" t="n">
        <f aca="false">SUM(Model!BA211:BC233)+SUM(Model!BA235:BC235)</f>
        <v>-201822.528690691</v>
      </c>
      <c r="T18" s="13" t="n">
        <f aca="false">SUM(Model!BD211:BF233)+SUM(Model!BD235:BF235)</f>
        <v>-201822.528690691</v>
      </c>
      <c r="U18" s="13" t="n">
        <f aca="false">SUM(Model!BG211:BI233)+SUM(Model!BG235:BI235)</f>
        <v>-201822.528690691</v>
      </c>
      <c r="V18" s="13" t="n">
        <f aca="false">SUM(Model!BJ211:BL233)+SUM(Model!BJ235:BL235)</f>
        <v>-201822.528690691</v>
      </c>
      <c r="W18" s="13" t="n">
        <f aca="false">SUM(Model!BM211:BO233)+SUM(Model!BM235:BO235)</f>
        <v>-205858.979264505</v>
      </c>
      <c r="X18" s="13" t="n">
        <f aca="false">SUM(Model!BP211:BR233)+SUM(Model!BP235:BR235)</f>
        <v>-205858.979264505</v>
      </c>
      <c r="Y18" s="13" t="n">
        <f aca="false">SUM(Model!BS211:BU233)+SUM(Model!BS235:BU235)</f>
        <v>-205858.979264505</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286</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287</v>
      </c>
      <c r="B20" s="13" t="n">
        <f aca="false">SUM(Model!B234:D234)</f>
        <v>0</v>
      </c>
      <c r="C20" s="13" t="n">
        <f aca="false">SUM(Model!E234:G234)</f>
        <v>0</v>
      </c>
      <c r="D20" s="13" t="n">
        <f aca="false">SUM(Model!H234:J234)</f>
        <v>0</v>
      </c>
      <c r="E20" s="13" t="n">
        <f aca="false">SUM(Model!K234:M234)</f>
        <v>0</v>
      </c>
      <c r="F20" s="13" t="n">
        <f aca="false">SUM(Model!N234:P234)</f>
        <v>-37973.771875</v>
      </c>
      <c r="G20" s="13" t="n">
        <f aca="false">SUM(Model!Q234:S234)</f>
        <v>-38290.0375</v>
      </c>
      <c r="H20" s="13" t="n">
        <f aca="false">SUM(Model!T234:V234)</f>
        <v>-74400.385</v>
      </c>
      <c r="I20" s="13" t="n">
        <f aca="false">SUM(Model!W234:Y234)</f>
        <v>-62565.82645</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-1253041.555</v>
      </c>
      <c r="F21" s="88" t="n">
        <f aca="false">SUM(Model!N236:P236)</f>
        <v>-1587150.74354167</v>
      </c>
      <c r="G21" s="88" t="n">
        <f aca="false">SUM(Model!Q236:S236)</f>
        <v>-1814366.6736</v>
      </c>
      <c r="H21" s="88" t="n">
        <f aca="false">SUM(Model!T236:V236)</f>
        <v>-1849065.3961</v>
      </c>
      <c r="I21" s="88" t="n">
        <f aca="false">SUM(Model!W236:Y236)</f>
        <v>-1818480.83755</v>
      </c>
      <c r="J21" s="88" t="n">
        <f aca="false">SUM(Model!Z236:AB236)</f>
        <v>-1727401.36686923</v>
      </c>
      <c r="K21" s="88" t="n">
        <f aca="false">SUM(Model!AC236:AE236)</f>
        <v>-1695319.66074508</v>
      </c>
      <c r="L21" s="88" t="n">
        <f aca="false">SUM(Model!AF236:AH236)</f>
        <v>-1641528.45862969</v>
      </c>
      <c r="M21" s="88" t="n">
        <f aca="false">SUM(Model!AI236:AK236)</f>
        <v>-1597453.886322</v>
      </c>
      <c r="N21" s="88" t="n">
        <f aca="false">SUM(Model!AL236:AN236)</f>
        <v>-1496792.72036046</v>
      </c>
      <c r="O21" s="88" t="n">
        <f aca="false">SUM(Model!AO236:AQ236)</f>
        <v>-1320945.89546382</v>
      </c>
      <c r="P21" s="88" t="n">
        <f aca="false">SUM(Model!AR236:AT236)</f>
        <v>-1233990.62866382</v>
      </c>
      <c r="Q21" s="88" t="n">
        <f aca="false">SUM(Model!AU236:AW236)</f>
        <v>-1211718.12779844</v>
      </c>
      <c r="R21" s="88" t="n">
        <f aca="false">SUM(Model!AX236:AZ236)</f>
        <v>-1211718.12779844</v>
      </c>
      <c r="S21" s="88" t="n">
        <f aca="false">SUM(Model!BA236:BC236)</f>
        <v>-1235952.49035441</v>
      </c>
      <c r="T21" s="88" t="n">
        <f aca="false">SUM(Model!BD236:BF236)</f>
        <v>-1235952.49035441</v>
      </c>
      <c r="U21" s="88" t="n">
        <f aca="false">SUM(Model!BG236:BI236)</f>
        <v>-1235952.49035441</v>
      </c>
      <c r="V21" s="88" t="n">
        <f aca="false">SUM(Model!BJ236:BL236)</f>
        <v>-1235952.49035441</v>
      </c>
      <c r="W21" s="88" t="n">
        <f aca="false">SUM(Model!BM236:BO236)</f>
        <v>-1260671.5401615</v>
      </c>
      <c r="X21" s="88" t="n">
        <f aca="false">SUM(Model!BP236:BR236)</f>
        <v>-1260671.5401615</v>
      </c>
      <c r="Y21" s="88" t="n">
        <f aca="false">SUM(Model!BS236:BU236)</f>
        <v>-1260671.5401615</v>
      </c>
      <c r="Z21" s="88" t="n">
        <f aca="false">SUM(Model!BV236:BX236)</f>
        <v>-1260671.5401615</v>
      </c>
      <c r="AA21" s="88" t="n">
        <f aca="false">SUM(Model!BY236:CA236)</f>
        <v>-1285884.97096473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1226074.35827196</v>
      </c>
      <c r="E22" s="91" t="n">
        <f aca="false">SUM(Model!K237:M237)</f>
        <v>329306.694270358</v>
      </c>
      <c r="F22" s="91" t="n">
        <f aca="false">SUM(Model!N237:P237)</f>
        <v>1018837.76343653</v>
      </c>
      <c r="G22" s="91" t="n">
        <f aca="false">SUM(Model!Q237:S237)</f>
        <v>-47204.6632360021</v>
      </c>
      <c r="H22" s="91" t="n">
        <f aca="false">SUM(Model!T237:V237)</f>
        <v>1440648.64279584</v>
      </c>
      <c r="I22" s="91" t="n">
        <f aca="false">SUM(Model!W237:Y237)</f>
        <v>1940435.01711048</v>
      </c>
      <c r="J22" s="91" t="n">
        <f aca="false">SUM(Model!Z237:AB237)</f>
        <v>2253054.91727194</v>
      </c>
      <c r="K22" s="91" t="n">
        <f aca="false">SUM(Model!AC237:AE237)</f>
        <v>717153.55273844</v>
      </c>
      <c r="L22" s="91" t="n">
        <f aca="false">SUM(Model!AF237:AH237)</f>
        <v>2016311.60543187</v>
      </c>
      <c r="M22" s="91" t="n">
        <f aca="false">SUM(Model!AI237:AK237)</f>
        <v>1503129.35527065</v>
      </c>
      <c r="N22" s="91" t="n">
        <f aca="false">SUM(Model!AL237:AN237)</f>
        <v>398598.519261471</v>
      </c>
      <c r="O22" s="91" t="n">
        <f aca="false">SUM(Model!AO237:AQ237)</f>
        <v>27542.853890208</v>
      </c>
      <c r="P22" s="91" t="n">
        <f aca="false">SUM(Model!AR237:AT237)</f>
        <v>386983.706043708</v>
      </c>
      <c r="Q22" s="91" t="n">
        <f aca="false">SUM(Model!AU237:AW237)</f>
        <v>-468829.552091047</v>
      </c>
      <c r="R22" s="91" t="n">
        <f aca="false">SUM(Model!AX237:AZ237)</f>
        <v>-738739.2051928</v>
      </c>
      <c r="S22" s="91" t="n">
        <f aca="false">SUM(Model!BA237:BC237)</f>
        <v>-762973.567748769</v>
      </c>
      <c r="T22" s="91" t="n">
        <f aca="false">SUM(Model!BD237:BF237)</f>
        <v>-762973.567748769</v>
      </c>
      <c r="U22" s="91" t="n">
        <f aca="false">SUM(Model!BG237:BI237)</f>
        <v>-671696.933561716</v>
      </c>
      <c r="V22" s="91" t="n">
        <f aca="false">SUM(Model!BJ237:BL237)</f>
        <v>-1235952.49035441</v>
      </c>
      <c r="W22" s="91" t="n">
        <f aca="false">SUM(Model!BM237:BO237)</f>
        <v>-1260671.5401615</v>
      </c>
      <c r="X22" s="91" t="n">
        <f aca="false">SUM(Model!BP237:BR237)</f>
        <v>-1260671.5401615</v>
      </c>
      <c r="Y22" s="91" t="n">
        <f aca="false">SUM(Model!BS237:BU237)</f>
        <v>-1260671.5401615</v>
      </c>
      <c r="Z22" s="91" t="n">
        <f aca="false">SUM(Model!BV237:BX237)</f>
        <v>-1260671.5401615</v>
      </c>
      <c r="AA22" s="91" t="n">
        <f aca="false">SUM(Model!BY237:CA237)</f>
        <v>-1285884.97096473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0.0647602758176804</v>
      </c>
      <c r="E23" s="89" t="n">
        <f aca="false">IFERROR(E22/E7,0)</f>
        <v>0.0199299492051314</v>
      </c>
      <c r="F23" s="89" t="n">
        <f aca="false">IFERROR(F22/F7,0)</f>
        <v>0.0502967705255128</v>
      </c>
      <c r="G23" s="89" t="n">
        <f aca="false">IFERROR(G22/G7,0)</f>
        <v>-0.00185193495977552</v>
      </c>
      <c r="H23" s="89" t="n">
        <f aca="false">IFERROR(H22/H7,0)</f>
        <v>0.0431377188313934</v>
      </c>
      <c r="I23" s="89" t="n">
        <f aca="false">IFERROR(I22/I7,0)</f>
        <v>0.0550006567010504</v>
      </c>
      <c r="J23" s="89" t="n">
        <f aca="false">IFERROR(J22/J7,0)</f>
        <v>0.0611052397294389</v>
      </c>
      <c r="K23" s="89" t="n">
        <f aca="false">IFERROR(K22/K7,0)</f>
        <v>0.0230267409908942</v>
      </c>
      <c r="L23" s="89" t="n">
        <f aca="false">IFERROR(L22/L7,0)</f>
        <v>0.0657092269040402</v>
      </c>
      <c r="M23" s="89" t="n">
        <f aca="false">IFERROR(M22/M7,0)</f>
        <v>0.0635653572525753</v>
      </c>
      <c r="N23" s="89" t="n">
        <f aca="false">IFERROR(N22/N7,0)</f>
        <v>0.0250265124567698</v>
      </c>
      <c r="O23" s="89" t="n">
        <f aca="false">IFERROR(O22/O7,0)</f>
        <v>0.00263722849163165</v>
      </c>
      <c r="P23" s="89" t="n">
        <f aca="false">IFERROR(P22/P7,0)</f>
        <v>0.0471589221095653</v>
      </c>
      <c r="Q23" s="89" t="n">
        <f aca="false">IFERROR(Q22/Q7,0)</f>
        <v>-0.0849701973902197</v>
      </c>
      <c r="R23" s="89" t="n">
        <f aca="false">IFERROR(R22/R7,0)</f>
        <v>-0.150823351979259</v>
      </c>
      <c r="S23" s="89" t="n">
        <f aca="false">IFERROR(S22/S7,0)</f>
        <v>-0.19186882977414</v>
      </c>
      <c r="T23" s="89" t="n">
        <f aca="false">IFERROR(T22/T7,0)</f>
        <v>-0.258414889902542</v>
      </c>
      <c r="U23" s="89" t="n">
        <f aca="false">IFERROR(U22/U7,0)</f>
        <v>-0.469174809534031</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143298.480827068</v>
      </c>
      <c r="G25" s="13" t="n">
        <f aca="false">Model!Q261+Model!R261+Model!S261</f>
        <v>199209.809621053</v>
      </c>
      <c r="H25" s="13" t="n">
        <f aca="false">Model!T261+Model!U261+Model!V261</f>
        <v>110640.859621053</v>
      </c>
      <c r="I25" s="13" t="n">
        <f aca="false">Model!W261+Model!X261+Model!Y261</f>
        <v>263471.834021053</v>
      </c>
      <c r="J25" s="13" t="n">
        <f aca="false">Model!Z261+Model!AA261+Model!AB261</f>
        <v>368109.244421053</v>
      </c>
      <c r="K25" s="13" t="n">
        <f aca="false">Model!AC261+Model!AD261+Model!AE261</f>
        <v>507937.690421053</v>
      </c>
      <c r="L25" s="13" t="n">
        <f aca="false">Model!AF261+Model!AG261+Model!AH261</f>
        <v>557845.497210526</v>
      </c>
      <c r="M25" s="13" t="n">
        <f aca="false">Model!AI261+Model!AJ261+Model!AK261</f>
        <v>454608.6535</v>
      </c>
      <c r="N25" s="13" t="n">
        <f aca="false">Model!AL261+Model!AM261+Model!AN261</f>
        <v>472721.8695</v>
      </c>
      <c r="O25" s="13" t="n">
        <f aca="false">Model!AO261+Model!AP261+Model!AQ261</f>
        <v>419626.173</v>
      </c>
      <c r="P25" s="13" t="n">
        <f aca="false">Model!AR261+Model!AS261+Model!AT261</f>
        <v>362634.5755</v>
      </c>
      <c r="Q25" s="13" t="n">
        <f aca="false">Model!AU261+Model!AV261+Model!AW261</f>
        <v>240076.3885</v>
      </c>
      <c r="R25" s="13" t="n">
        <f aca="false">Model!AX261+Model!AY261+Model!AZ261</f>
        <v>272385.6375</v>
      </c>
      <c r="S25" s="13" t="n">
        <f aca="false">Model!BA261+Model!BB261+Model!BC261</f>
        <v>1057109.869</v>
      </c>
      <c r="T25" s="13" t="n">
        <f aca="false">Model!BD261+Model!BE261+Model!BF261</f>
        <v>250595.43</v>
      </c>
      <c r="U25" s="13" t="n">
        <f aca="false">Model!BG261+Model!BH261+Model!BI261</f>
        <v>246721.9855</v>
      </c>
      <c r="V25" s="13" t="n">
        <f aca="false">Model!BJ261+Model!BK261+Model!BL261</f>
        <v>242850.5465</v>
      </c>
      <c r="W25" s="13" t="n">
        <f aca="false">Model!BM261+Model!BN261+Model!BO261</f>
        <v>363306.8865</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-560848.4</v>
      </c>
      <c r="F26" s="92" t="n">
        <f aca="false">Model!N292+Model!O292+Model!P292</f>
        <v>-553848.4</v>
      </c>
      <c r="G26" s="92" t="n">
        <f aca="false">Model!Q292+Model!R292+Model!S292</f>
        <v>-564625.368</v>
      </c>
      <c r="H26" s="92" t="n">
        <f aca="false">Model!T292+Model!U292+Model!V292</f>
        <v>-564625.368</v>
      </c>
      <c r="I26" s="92" t="n">
        <f aca="false">Model!W292+Model!X292+Model!Y292</f>
        <v>-564625.368</v>
      </c>
      <c r="J26" s="92" t="n">
        <f aca="false">Model!Z292+Model!AA292+Model!AB292</f>
        <v>-564625.368</v>
      </c>
      <c r="K26" s="92" t="n">
        <f aca="false">Model!AC292+Model!AD292+Model!AE292</f>
        <v>-575617.87536</v>
      </c>
      <c r="L26" s="92" t="n">
        <f aca="false">Model!AF292+Model!AG292+Model!AH292</f>
        <v>-575617.87536</v>
      </c>
      <c r="M26" s="92" t="n">
        <f aca="false">Model!AI292+Model!AJ292+Model!AK292</f>
        <v>-575617.87536</v>
      </c>
      <c r="N26" s="92" t="n">
        <f aca="false">Model!AL292+Model!AM292+Model!AN292</f>
        <v>-575617.87536</v>
      </c>
      <c r="O26" s="92" t="n">
        <f aca="false">Model!AO292+Model!AP292+Model!AQ292</f>
        <v>-586830.2328672</v>
      </c>
      <c r="P26" s="92" t="n">
        <f aca="false">Model!AR292+Model!AS292+Model!AT292</f>
        <v>-668513.2328672</v>
      </c>
      <c r="Q26" s="92" t="n">
        <f aca="false">Model!AU292+Model!AV292+Model!AW292</f>
        <v>-668512.2328672</v>
      </c>
      <c r="R26" s="92" t="n">
        <f aca="false">Model!AX292+Model!AY292+Model!AZ292</f>
        <v>-668512.2328672</v>
      </c>
      <c r="S26" s="92" t="n">
        <f aca="false">Model!BA292+Model!BB292+Model!BC292</f>
        <v>-1531787.83752454</v>
      </c>
      <c r="T26" s="92" t="n">
        <f aca="false">Model!BD292+Model!BE292+Model!BF292</f>
        <v>-729144.837524544</v>
      </c>
      <c r="U26" s="92" t="n">
        <f aca="false">Model!BG292+Model!BH292+Model!BI292</f>
        <v>-729142.837524544</v>
      </c>
      <c r="V26" s="92" t="n">
        <f aca="false">Model!BJ292+Model!BK292+Model!BL292</f>
        <v>-729142.837524544</v>
      </c>
      <c r="W26" s="92" t="n">
        <f aca="false">Model!BM292+Model!BN292+Model!BO292</f>
        <v>-740808.174275035</v>
      </c>
      <c r="X26" s="92" t="n">
        <f aca="false">Model!BP292+Model!BQ292+Model!BR292</f>
        <v>-699087.824275035</v>
      </c>
      <c r="Y26" s="92" t="n">
        <f aca="false">Model!BS292+Model!BT292+Model!BU292</f>
        <v>-684572.174275035</v>
      </c>
      <c r="Z26" s="92" t="n">
        <f aca="false">Model!BV292+Model!BW292+Model!BX292</f>
        <v>-684572.174275035</v>
      </c>
      <c r="AA26" s="92" t="n">
        <f aca="false">Model!BY292+Model!BZ292+Model!CA292</f>
        <v>-769626.817760536</v>
      </c>
      <c r="AB26" s="92" t="n">
        <f aca="false">Model!CB292+Model!CC292+Model!CD292</f>
        <v>-776348.817760536</v>
      </c>
      <c r="AC26" s="92" t="n">
        <f aca="false">Model!CE292+Model!CF292+Model!CG292</f>
        <v>-776347.817760536</v>
      </c>
      <c r="AD26" s="92" t="n">
        <f aca="false">Model!CH292+Model!CI292+Model!CJ292</f>
        <v>-769739.791154056</v>
      </c>
      <c r="AE26" s="92" t="n">
        <f aca="false">Model!CK292+Model!CL292+Model!CM292</f>
        <v>-853432.434115746</v>
      </c>
      <c r="AF26" s="92" t="n">
        <f aca="false">Model!CN292+Model!CO292+Model!CP292</f>
        <v>-853432.434115746</v>
      </c>
      <c r="AG26" s="92" t="n">
        <f aca="false">Model!CQ292+Model!CR292+Model!CS292</f>
        <v>-853432.434115746</v>
      </c>
      <c r="AH26" s="92" t="n">
        <f aca="false">Model!CT292+Model!CU292+Model!CV292</f>
        <v>-826366.52807176</v>
      </c>
      <c r="AI26" s="92" t="n">
        <f aca="false">Model!CW292+Model!CX292+Model!CY292</f>
        <v>-636186.407569603</v>
      </c>
      <c r="AJ26" s="92" t="n">
        <f aca="false">Model!CZ292+Model!DA292+Model!DB292</f>
        <v>-618739.558633196</v>
      </c>
      <c r="AK26" s="92" t="n">
        <f aca="false">Model!DC292+Model!DD292+Model!DE292</f>
        <v>-618739.558633196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-267504.933333333</v>
      </c>
      <c r="E27" s="37" t="n">
        <f aca="false">Model!K293+Model!L293+Model!M293</f>
        <v>-451254.65</v>
      </c>
      <c r="F27" s="37" t="n">
        <f aca="false">Model!N293+Model!O293+Model!P293</f>
        <v>-410549.919172932</v>
      </c>
      <c r="G27" s="37" t="n">
        <f aca="false">Model!Q293+Model!R293+Model!S293</f>
        <v>-365415.558378947</v>
      </c>
      <c r="H27" s="37" t="n">
        <f aca="false">Model!T293+Model!U293+Model!V293</f>
        <v>-453984.508378947</v>
      </c>
      <c r="I27" s="37" t="n">
        <f aca="false">Model!W293+Model!X293+Model!Y293</f>
        <v>-301153.533978947</v>
      </c>
      <c r="J27" s="37" t="n">
        <f aca="false">Model!Z293+Model!AA293+Model!AB293</f>
        <v>-196516.123578947</v>
      </c>
      <c r="K27" s="37" t="n">
        <f aca="false">Model!AC293+Model!AD293+Model!AE293</f>
        <v>-67680.1849389474</v>
      </c>
      <c r="L27" s="37" t="n">
        <f aca="false">Model!AF293+Model!AG293+Model!AH293</f>
        <v>-17772.3781494737</v>
      </c>
      <c r="M27" s="37" t="n">
        <f aca="false">Model!AI293+Model!AJ293+Model!AK293</f>
        <v>-121009.22186</v>
      </c>
      <c r="N27" s="37" t="n">
        <f aca="false">Model!AL293+Model!AM293+Model!AN293</f>
        <v>-102896.00586</v>
      </c>
      <c r="O27" s="37" t="n">
        <f aca="false">Model!AO293+Model!AP293+Model!AQ293</f>
        <v>-167204.0598672</v>
      </c>
      <c r="P27" s="37" t="n">
        <f aca="false">Model!AR293+Model!AS293+Model!AT293</f>
        <v>-305878.6573672</v>
      </c>
      <c r="Q27" s="37" t="n">
        <f aca="false">Model!AU293+Model!AV293+Model!AW293</f>
        <v>-428435.8443672</v>
      </c>
      <c r="R27" s="37" t="n">
        <f aca="false">Model!AX293+Model!AY293+Model!AZ293</f>
        <v>-396126.5953672</v>
      </c>
      <c r="S27" s="37" t="n">
        <f aca="false">Model!BA293+Model!BB293+Model!BC293</f>
        <v>-474677.968524544</v>
      </c>
      <c r="T27" s="37" t="n">
        <f aca="false">Model!BD293+Model!BE293+Model!BF293</f>
        <v>-478549.407524544</v>
      </c>
      <c r="U27" s="37" t="n">
        <f aca="false">Model!BG293+Model!BH293+Model!BI293</f>
        <v>-482420.852024544</v>
      </c>
      <c r="V27" s="37" t="n">
        <f aca="false">Model!BJ293+Model!BK293+Model!BL293</f>
        <v>-486292.291024544</v>
      </c>
      <c r="W27" s="37" t="n">
        <f aca="false">Model!BM293+Model!BN293+Model!BO293</f>
        <v>-377501.287775035</v>
      </c>
      <c r="X27" s="37" t="n">
        <f aca="false">Model!BP293+Model!BQ293+Model!BR293</f>
        <v>-556681.824275035</v>
      </c>
      <c r="Y27" s="37" t="n">
        <f aca="false">Model!BS293+Model!BT293+Model!BU293</f>
        <v>-542170.174275035</v>
      </c>
      <c r="Z27" s="37" t="n">
        <f aca="false">Model!BV293+Model!BW293+Model!BX293</f>
        <v>-542170.174275035</v>
      </c>
      <c r="AA27" s="37" t="n">
        <f aca="false">Model!BY293+Model!BZ293+Model!CA293</f>
        <v>-554068.817760536</v>
      </c>
      <c r="AB27" s="37" t="n">
        <f aca="false">Model!CB293+Model!CC293+Model!CD293</f>
        <v>-545331.817760536</v>
      </c>
      <c r="AC27" s="37" t="n">
        <f aca="false">Model!CE293+Model!CF293+Model!CG293</f>
        <v>-545331.817760536</v>
      </c>
      <c r="AD27" s="37" t="n">
        <f aca="false">Model!CH293+Model!CI293+Model!CJ293</f>
        <v>-538723.791154056</v>
      </c>
      <c r="AE27" s="37" t="n">
        <f aca="false">Model!CK293+Model!CL293+Model!CM293</f>
        <v>-160384.434115746</v>
      </c>
      <c r="AF27" s="37" t="n">
        <f aca="false">Model!CN293+Model!CO293+Model!CP293</f>
        <v>-160384.434115746</v>
      </c>
      <c r="AG27" s="37" t="n">
        <f aca="false">Model!CQ293+Model!CR293+Model!CS293</f>
        <v>-160384.434115746</v>
      </c>
      <c r="AH27" s="37" t="n">
        <f aca="false">Model!CT293+Model!CU293+Model!CV293</f>
        <v>-133318.52807176</v>
      </c>
      <c r="AI27" s="37" t="n">
        <f aca="false">Model!CW293+Model!CX293+Model!CY293</f>
        <v>56861.5924303974</v>
      </c>
      <c r="AJ27" s="37" t="n">
        <f aca="false">Model!CZ293+Model!DA293+Model!DB293</f>
        <v>74308.4413668046</v>
      </c>
      <c r="AK27" s="37" t="n">
        <f aca="false">Model!DC293+Model!DD293+Model!DE293</f>
        <v>74308.4413668046</v>
      </c>
    </row>
    <row r="28" customFormat="false" ht="15" hidden="false" customHeight="true" outlineLevel="0" collapsed="false">
      <c r="A28" s="3"/>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row>
    <row r="29" customFormat="false" ht="15" hidden="false" customHeight="true" outlineLevel="0" collapsed="false">
      <c r="A29" s="36" t="s">
        <v>288</v>
      </c>
      <c r="B29" s="37" t="n">
        <f aca="false">Model!B302+Model!C302+Model!D302</f>
        <v>-654917.25</v>
      </c>
      <c r="C29" s="37" t="n">
        <f aca="false">Model!E302+Model!F302+Model!G302</f>
        <v>227914.490000001</v>
      </c>
      <c r="D29" s="37" t="n">
        <f aca="false">Model!H302+Model!I302+Model!J302</f>
        <v>958569.424938631</v>
      </c>
      <c r="E29" s="37" t="n">
        <f aca="false">Model!K302+Model!L302+Model!M302</f>
        <v>-121947.955729642</v>
      </c>
      <c r="F29" s="37" t="n">
        <f aca="false">Model!N302+Model!O302+Model!P302</f>
        <v>608287.844263599</v>
      </c>
      <c r="G29" s="37" t="n">
        <f aca="false">Model!Q302+Model!R302+Model!S302</f>
        <v>-412620.221614949</v>
      </c>
      <c r="H29" s="37" t="n">
        <f aca="false">Model!T302+Model!U302+Model!V302</f>
        <v>986664.134416896</v>
      </c>
      <c r="I29" s="37" t="n">
        <f aca="false">Model!W302+Model!X302+Model!Y302</f>
        <v>1639281.48313153</v>
      </c>
      <c r="J29" s="37" t="n">
        <f aca="false">Model!Z302+Model!AA302+Model!AB302</f>
        <v>2056538.79369299</v>
      </c>
      <c r="K29" s="37" t="n">
        <f aca="false">Model!AC302+Model!AD302+Model!AE302</f>
        <v>649473.367799492</v>
      </c>
      <c r="L29" s="37" t="n">
        <f aca="false">Model!AF302+Model!AG302+Model!AH302</f>
        <v>1998539.2272824</v>
      </c>
      <c r="M29" s="37" t="n">
        <f aca="false">Model!AI302+Model!AJ302+Model!AK302</f>
        <v>1382120.13341065</v>
      </c>
      <c r="N29" s="37" t="n">
        <f aca="false">Model!AL302+Model!AM302+Model!AN302</f>
        <v>295702.513401471</v>
      </c>
      <c r="O29" s="37" t="n">
        <f aca="false">Model!AO302+Model!AP302+Model!AQ302</f>
        <v>-139661.205976992</v>
      </c>
      <c r="P29" s="37" t="n">
        <f aca="false">Model!AR302+Model!AS302+Model!AT302</f>
        <v>81105.0486765076</v>
      </c>
      <c r="Q29" s="37" t="n">
        <f aca="false">Model!AU302+Model!AV302+Model!AW302</f>
        <v>-897265.396458247</v>
      </c>
      <c r="R29" s="37" t="n">
        <f aca="false">Model!AX302+Model!AY302+Model!AZ302</f>
        <v>-1134865.80056</v>
      </c>
      <c r="S29" s="37" t="n">
        <f aca="false">Model!BA302+Model!BB302+Model!BC302</f>
        <v>-1237651.53627331</v>
      </c>
      <c r="T29" s="37" t="n">
        <f aca="false">Model!BD302+Model!BE302+Model!BF302</f>
        <v>-1241522.97527331</v>
      </c>
      <c r="U29" s="37" t="n">
        <f aca="false">Model!BG302+Model!BH302+Model!BI302</f>
        <v>-1154117.78558626</v>
      </c>
      <c r="V29" s="37" t="n">
        <f aca="false">Model!BJ302+Model!BK302+Model!BL302</f>
        <v>-1722244.78137895</v>
      </c>
      <c r="W29" s="37" t="n">
        <f aca="false">Model!BM302+Model!BN302+Model!BO302</f>
        <v>-1638172.82793653</v>
      </c>
      <c r="X29" s="37" t="n">
        <f aca="false">Model!BP302+Model!BQ302+Model!BR302</f>
        <v>-1817353.36443653</v>
      </c>
      <c r="Y29" s="37" t="n">
        <f aca="false">Model!BS302+Model!BT302+Model!BU302</f>
        <v>-1802841.71443653</v>
      </c>
      <c r="Z29" s="37" t="n">
        <f aca="false">Model!BV302+Model!BW302+Model!BX302</f>
        <v>-1802841.71443653</v>
      </c>
      <c r="AA29" s="37" t="n">
        <f aca="false">Model!BY302+Model!BZ302+Model!CA302</f>
        <v>-1839953.78872526</v>
      </c>
      <c r="AB29" s="37" t="n">
        <f aca="false">Model!CB302+Model!CC302+Model!CD302</f>
        <v>-1831216.78872526</v>
      </c>
      <c r="AC29" s="37" t="n">
        <f aca="false">Model!CE302+Model!CF302+Model!CG302</f>
        <v>-1831216.78872526</v>
      </c>
      <c r="AD29" s="37" t="n">
        <f aca="false">Model!CH302+Model!CI302+Model!CJ302</f>
        <v>-1824608.76211878</v>
      </c>
      <c r="AE29" s="37" t="n">
        <f aca="false">Model!CK302+Model!CL302+Model!CM302</f>
        <v>-1471987.10449977</v>
      </c>
      <c r="AF29" s="37" t="n">
        <f aca="false">Model!CN302+Model!CO302+Model!CP302</f>
        <v>-1471987.10449977</v>
      </c>
      <c r="AG29" s="37" t="n">
        <f aca="false">Model!CQ302+Model!CR302+Model!CS302</f>
        <v>-1471987.10449977</v>
      </c>
      <c r="AH29" s="37" t="n">
        <f aca="false">Model!CT302+Model!CU302+Model!CV302</f>
        <v>-1289580.71962143</v>
      </c>
      <c r="AI29" s="37" t="n">
        <f aca="false">Model!CW302+Model!CX302+Model!CY302</f>
        <v>-1122525.84295027</v>
      </c>
      <c r="AJ29" s="37" t="n">
        <f aca="false">Model!CZ302+Model!DA302+Model!DB302</f>
        <v>-1105078.99401386</v>
      </c>
      <c r="AK29" s="37" t="n">
        <f aca="false">Model!DC302+Model!DD302+Model!DE302</f>
        <v>-1105078.99401386</v>
      </c>
    </row>
    <row r="30" customFormat="false" ht="15" hidden="false" customHeight="true" outlineLevel="0" collapsed="false">
      <c r="A30" s="3"/>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row>
    <row r="31" customFormat="false" ht="15" hidden="false" customHeight="true" outlineLevel="0" collapsed="false">
      <c r="A31" s="23" t="s">
        <v>289</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customFormat="false" ht="15" hidden="false" customHeight="true" outlineLevel="0" collapsed="false">
      <c r="A32" s="22" t="s">
        <v>290</v>
      </c>
      <c r="B32" s="93" t="n">
        <f aca="false">Model!B287+Model!C287+Model!D287</f>
        <v>0</v>
      </c>
      <c r="C32" s="93" t="n">
        <f aca="false">Model!E287+Model!F287+Model!G287</f>
        <v>-0</v>
      </c>
      <c r="D32" s="93" t="n">
        <f aca="false">Model!H287+Model!I287+Model!J287</f>
        <v>-0</v>
      </c>
      <c r="E32" s="93" t="n">
        <f aca="false">Model!K287+Model!L287+Model!M287</f>
        <v>-0</v>
      </c>
      <c r="F32" s="93" t="n">
        <f aca="false">Model!N287+Model!O287+Model!P287</f>
        <v>-0</v>
      </c>
      <c r="G32" s="93" t="n">
        <f aca="false">Model!Q287+Model!R287+Model!S287</f>
        <v>-0</v>
      </c>
      <c r="H32" s="93" t="n">
        <f aca="false">Model!T287+Model!U287+Model!V287</f>
        <v>-0</v>
      </c>
      <c r="I32" s="93" t="n">
        <f aca="false">Model!W287+Model!X287+Model!Y287</f>
        <v>-0</v>
      </c>
      <c r="J32" s="93" t="n">
        <f aca="false">Model!Z287+Model!AA287+Model!AB287</f>
        <v>-0</v>
      </c>
      <c r="K32" s="93" t="n">
        <f aca="false">Model!AC287+Model!AD287+Model!AE287</f>
        <v>-0</v>
      </c>
      <c r="L32" s="93" t="n">
        <f aca="false">Model!AF287+Model!AG287+Model!AH287</f>
        <v>-0</v>
      </c>
      <c r="M32" s="93" t="n">
        <f aca="false">Model!AI287+Model!AJ287+Model!AK287</f>
        <v>-0</v>
      </c>
      <c r="N32" s="93" t="n">
        <f aca="false">Model!AL287+Model!AM287+Model!AN287</f>
        <v>-0</v>
      </c>
      <c r="O32" s="93" t="n">
        <f aca="false">Model!AO287+Model!AP287+Model!AQ287</f>
        <v>-0</v>
      </c>
      <c r="P32" s="93" t="n">
        <f aca="false">Model!AR287+Model!AS287+Model!AT287</f>
        <v>-0</v>
      </c>
      <c r="Q32" s="93" t="n">
        <f aca="false">Model!AU287+Model!AV287+Model!AW287</f>
        <v>-0</v>
      </c>
      <c r="R32" s="93" t="n">
        <f aca="false">Model!AX287+Model!AY287+Model!AZ287</f>
        <v>-0</v>
      </c>
      <c r="S32" s="93" t="n">
        <f aca="false">Model!BA287+Model!BB287+Model!BC287</f>
        <v>-0</v>
      </c>
      <c r="T32" s="93" t="n">
        <f aca="false">Model!BD287+Model!BE287+Model!BF287</f>
        <v>-0</v>
      </c>
      <c r="U32" s="93" t="n">
        <f aca="false">Model!BG287+Model!BH287+Model!BI287</f>
        <v>-0</v>
      </c>
      <c r="V32" s="93" t="n">
        <f aca="false">Model!BJ287+Model!BK287+Model!BL287</f>
        <v>-0</v>
      </c>
      <c r="W32" s="93" t="n">
        <f aca="false">Model!BM287+Model!BN287+Model!BO287</f>
        <v>-0</v>
      </c>
      <c r="X32" s="93" t="n">
        <f aca="false">Model!BP287+Model!BQ287+Model!BR287</f>
        <v>-0</v>
      </c>
      <c r="Y32" s="93" t="n">
        <f aca="false">Model!BS287+Model!BT287+Model!BU287</f>
        <v>-0</v>
      </c>
      <c r="Z32" s="93" t="n">
        <f aca="false">Model!BV287+Model!BW287+Model!BX287</f>
        <v>-0</v>
      </c>
      <c r="AA32" s="93" t="n">
        <f aca="false">Model!BY287+Model!BZ287+Model!CA287</f>
        <v>-0</v>
      </c>
      <c r="AB32" s="93" t="n">
        <f aca="false">Model!CB287+Model!CC287+Model!CD287</f>
        <v>-0</v>
      </c>
      <c r="AC32" s="93" t="n">
        <f aca="false">Model!CE287+Model!CF287+Model!CG287</f>
        <v>-0</v>
      </c>
      <c r="AD32" s="93" t="n">
        <f aca="false">Model!CH287+Model!CI287+Model!CJ287</f>
        <v>-0</v>
      </c>
      <c r="AE32" s="93" t="n">
        <f aca="false">Model!CK287+Model!CL287+Model!CM287</f>
        <v>-0</v>
      </c>
      <c r="AF32" s="93" t="n">
        <f aca="false">Model!CN287+Model!CO287+Model!CP287</f>
        <v>-0</v>
      </c>
      <c r="AG32" s="93" t="n">
        <f aca="false">Model!CQ287+Model!CR287+Model!CS287</f>
        <v>-0</v>
      </c>
      <c r="AH32" s="93" t="n">
        <f aca="false">Model!CT287+Model!CU287+Model!CV287</f>
        <v>-0</v>
      </c>
      <c r="AI32" s="93" t="n">
        <f aca="false">Model!CW287+Model!CX287+Model!CY287</f>
        <v>-0</v>
      </c>
      <c r="AJ32" s="93" t="n">
        <f aca="false">Model!CZ287+Model!DA287+Model!DB287</f>
        <v>-0</v>
      </c>
      <c r="AK32" s="93" t="n">
        <f aca="false">Model!DC287+Model!DD287+Model!DE287</f>
        <v>-0</v>
      </c>
    </row>
    <row r="33" customFormat="false" ht="15" hidden="false" customHeight="true" outlineLevel="0" collapsed="false">
      <c r="A33" s="22" t="s">
        <v>291</v>
      </c>
      <c r="B33" s="93" t="n">
        <f aca="false">Model!B288+Model!C288+Model!D288</f>
        <v>0</v>
      </c>
      <c r="C33" s="93" t="n">
        <f aca="false">Model!E288+Model!F288+Model!G288</f>
        <v>-0</v>
      </c>
      <c r="D33" s="93" t="n">
        <f aca="false">Model!H288+Model!I288+Model!J288</f>
        <v>-0</v>
      </c>
      <c r="E33" s="93" t="n">
        <f aca="false">Model!K288+Model!L288+Model!M288</f>
        <v>-0</v>
      </c>
      <c r="F33" s="93" t="n">
        <f aca="false">Model!N288+Model!O288+Model!P288</f>
        <v>-0</v>
      </c>
      <c r="G33" s="93" t="n">
        <f aca="false">Model!Q288+Model!R288+Model!S288</f>
        <v>-0</v>
      </c>
      <c r="H33" s="93" t="n">
        <f aca="false">Model!T288+Model!U288+Model!V288</f>
        <v>-0</v>
      </c>
      <c r="I33" s="93" t="n">
        <f aca="false">Model!W288+Model!X288+Model!Y288</f>
        <v>-0</v>
      </c>
      <c r="J33" s="93" t="n">
        <f aca="false">Model!Z288+Model!AA288+Model!AB288</f>
        <v>-0</v>
      </c>
      <c r="K33" s="93" t="n">
        <f aca="false">Model!AC288+Model!AD288+Model!AE288</f>
        <v>-0</v>
      </c>
      <c r="L33" s="93" t="n">
        <f aca="false">Model!AF288+Model!AG288+Model!AH288</f>
        <v>-0</v>
      </c>
      <c r="M33" s="93" t="n">
        <f aca="false">Model!AI288+Model!AJ288+Model!AK288</f>
        <v>-0</v>
      </c>
      <c r="N33" s="93" t="n">
        <f aca="false">Model!AL288+Model!AM288+Model!AN288</f>
        <v>-0</v>
      </c>
      <c r="O33" s="93" t="n">
        <f aca="false">Model!AO288+Model!AP288+Model!AQ288</f>
        <v>-0</v>
      </c>
      <c r="P33" s="93" t="n">
        <f aca="false">Model!AR288+Model!AS288+Model!AT288</f>
        <v>-0</v>
      </c>
      <c r="Q33" s="93" t="n">
        <f aca="false">Model!AU288+Model!AV288+Model!AW288</f>
        <v>-0</v>
      </c>
      <c r="R33" s="93" t="n">
        <f aca="false">Model!AX288+Model!AY288+Model!AZ288</f>
        <v>-0</v>
      </c>
      <c r="S33" s="93" t="n">
        <f aca="false">Model!BA288+Model!BB288+Model!BC288</f>
        <v>-0</v>
      </c>
      <c r="T33" s="93" t="n">
        <f aca="false">Model!BD288+Model!BE288+Model!BF288</f>
        <v>-0</v>
      </c>
      <c r="U33" s="93" t="n">
        <f aca="false">Model!BG288+Model!BH288+Model!BI288</f>
        <v>-0</v>
      </c>
      <c r="V33" s="93" t="n">
        <f aca="false">Model!BJ288+Model!BK288+Model!BL288</f>
        <v>-0</v>
      </c>
      <c r="W33" s="93" t="n">
        <f aca="false">Model!BM288+Model!BN288+Model!BO288</f>
        <v>-0</v>
      </c>
      <c r="X33" s="93" t="n">
        <f aca="false">Model!BP288+Model!BQ288+Model!BR288</f>
        <v>-0</v>
      </c>
      <c r="Y33" s="93" t="n">
        <f aca="false">Model!BS288+Model!BT288+Model!BU288</f>
        <v>-0</v>
      </c>
      <c r="Z33" s="93" t="n">
        <f aca="false">Model!BV288+Model!BW288+Model!BX288</f>
        <v>-0</v>
      </c>
      <c r="AA33" s="93" t="n">
        <f aca="false">Model!BY288+Model!BZ288+Model!CA288</f>
        <v>-0</v>
      </c>
      <c r="AB33" s="93" t="n">
        <f aca="false">Model!CB288+Model!CC288+Model!CD288</f>
        <v>-0</v>
      </c>
      <c r="AC33" s="93" t="n">
        <f aca="false">Model!CE288+Model!CF288+Model!CG288</f>
        <v>-0</v>
      </c>
      <c r="AD33" s="93" t="n">
        <f aca="false">Model!CH288+Model!CI288+Model!CJ288</f>
        <v>-0</v>
      </c>
      <c r="AE33" s="93" t="n">
        <f aca="false">Model!CK288+Model!CL288+Model!CM288</f>
        <v>-0</v>
      </c>
      <c r="AF33" s="93" t="n">
        <f aca="false">Model!CN288+Model!CO288+Model!CP288</f>
        <v>-0</v>
      </c>
      <c r="AG33" s="93" t="n">
        <f aca="false">Model!CQ288+Model!CR288+Model!CS288</f>
        <v>-0</v>
      </c>
      <c r="AH33" s="93" t="n">
        <f aca="false">Model!CT288+Model!CU288+Model!CV288</f>
        <v>-0</v>
      </c>
      <c r="AI33" s="93" t="n">
        <f aca="false">Model!CW288+Model!CX288+Model!CY288</f>
        <v>-0</v>
      </c>
      <c r="AJ33" s="93" t="n">
        <f aca="false">Model!CZ288+Model!DA288+Model!DB288</f>
        <v>-0</v>
      </c>
      <c r="AK33" s="93" t="n">
        <f aca="false">Model!DC288+Model!DD288+Model!DE288</f>
        <v>-0</v>
      </c>
    </row>
    <row r="34" customFormat="false" ht="15" hidden="false" customHeight="true" outlineLevel="0" collapsed="false">
      <c r="A34" s="22" t="s">
        <v>292</v>
      </c>
      <c r="B34" s="93" t="n">
        <f aca="false">Model!B289+Model!C289+Model!D289</f>
        <v>0</v>
      </c>
      <c r="C34" s="93" t="n">
        <f aca="false">Model!E289+Model!F289+Model!G289</f>
        <v>-0</v>
      </c>
      <c r="D34" s="93" t="n">
        <f aca="false">Model!H289+Model!I289+Model!J289</f>
        <v>0</v>
      </c>
      <c r="E34" s="93" t="n">
        <f aca="false">Model!K289+Model!L289+Model!M289</f>
        <v>-0</v>
      </c>
      <c r="F34" s="93" t="n">
        <f aca="false">Model!N289+Model!O289+Model!P289</f>
        <v>-0</v>
      </c>
      <c r="G34" s="93" t="n">
        <f aca="false">Model!Q289+Model!R289+Model!S289</f>
        <v>-0</v>
      </c>
      <c r="H34" s="93" t="n">
        <f aca="false">Model!T289+Model!U289+Model!V289</f>
        <v>-0</v>
      </c>
      <c r="I34" s="93" t="n">
        <f aca="false">Model!W289+Model!X289+Model!Y289</f>
        <v>-0</v>
      </c>
      <c r="J34" s="93" t="n">
        <f aca="false">Model!Z289+Model!AA289+Model!AB289</f>
        <v>-0</v>
      </c>
      <c r="K34" s="93" t="n">
        <f aca="false">Model!AC289+Model!AD289+Model!AE289</f>
        <v>-0</v>
      </c>
      <c r="L34" s="93" t="n">
        <f aca="false">Model!AF289+Model!AG289+Model!AH289</f>
        <v>-0</v>
      </c>
      <c r="M34" s="93" t="n">
        <f aca="false">Model!AI289+Model!AJ289+Model!AK289</f>
        <v>-0</v>
      </c>
      <c r="N34" s="93" t="n">
        <f aca="false">Model!AL289+Model!AM289+Model!AN289</f>
        <v>-0</v>
      </c>
      <c r="O34" s="93" t="n">
        <f aca="false">Model!AO289+Model!AP289+Model!AQ289</f>
        <v>-0</v>
      </c>
      <c r="P34" s="93" t="n">
        <f aca="false">Model!AR289+Model!AS289+Model!AT289</f>
        <v>-81683</v>
      </c>
      <c r="Q34" s="93" t="n">
        <f aca="false">Model!AU289+Model!AV289+Model!AW289</f>
        <v>-81682</v>
      </c>
      <c r="R34" s="93" t="n">
        <f aca="false">Model!AX289+Model!AY289+Model!AZ289</f>
        <v>-81682</v>
      </c>
      <c r="S34" s="93" t="n">
        <f aca="false">Model!BA289+Model!BB289+Model!BC289</f>
        <v>-81682</v>
      </c>
      <c r="T34" s="93" t="n">
        <f aca="false">Model!BD289+Model!BE289+Model!BF289</f>
        <v>-59178</v>
      </c>
      <c r="U34" s="93" t="n">
        <f aca="false">Model!BG289+Model!BH289+Model!BI289</f>
        <v>-59176</v>
      </c>
      <c r="V34" s="93" t="n">
        <f aca="false">Model!BJ289+Model!BK289+Model!BL289</f>
        <v>-59176</v>
      </c>
      <c r="W34" s="93" t="n">
        <f aca="false">Model!BM289+Model!BN289+Model!BO289</f>
        <v>-59176</v>
      </c>
      <c r="X34" s="93" t="n">
        <f aca="false">Model!BP289+Model!BQ289+Model!BR289</f>
        <v>-14512.65</v>
      </c>
      <c r="Y34" s="93" t="n">
        <f aca="false">Model!BS289+Model!BT289+Model!BU289</f>
        <v>-0</v>
      </c>
      <c r="Z34" s="93" t="n">
        <f aca="false">Model!BV289+Model!BW289+Model!BX289</f>
        <v>-0</v>
      </c>
      <c r="AA34" s="93" t="n">
        <f aca="false">Model!BY289+Model!BZ289+Model!CA289</f>
        <v>-0</v>
      </c>
      <c r="AB34" s="93" t="n">
        <f aca="false">Model!CB289+Model!CC289+Model!CD289</f>
        <v>-0</v>
      </c>
      <c r="AC34" s="93" t="n">
        <f aca="false">Model!CE289+Model!CF289+Model!CG289</f>
        <v>-0</v>
      </c>
      <c r="AD34" s="93" t="n">
        <f aca="false">Model!CH289+Model!CI289+Model!CJ289</f>
        <v>-0</v>
      </c>
      <c r="AE34" s="93" t="n">
        <f aca="false">Model!CK289+Model!CL289+Model!CM289</f>
        <v>-0</v>
      </c>
      <c r="AF34" s="93" t="n">
        <f aca="false">Model!CN289+Model!CO289+Model!CP289</f>
        <v>-0</v>
      </c>
      <c r="AG34" s="93" t="n">
        <f aca="false">Model!CQ289+Model!CR289+Model!CS289</f>
        <v>-0</v>
      </c>
      <c r="AH34" s="93" t="n">
        <f aca="false">Model!CT289+Model!CU289+Model!CV289</f>
        <v>-0</v>
      </c>
      <c r="AI34" s="93" t="n">
        <f aca="false">Model!CW289+Model!CX289+Model!CY289</f>
        <v>-0</v>
      </c>
      <c r="AJ34" s="93" t="n">
        <f aca="false">Model!CZ289+Model!DA289+Model!DB289</f>
        <v>-0</v>
      </c>
      <c r="AK34" s="93" t="n">
        <f aca="false">Model!DC289+Model!DD289+Model!DE289</f>
        <v>-0</v>
      </c>
    </row>
    <row r="35" customFormat="false" ht="15" hidden="false" customHeight="true" outlineLevel="0" collapsed="false">
      <c r="A35" s="22" t="s">
        <v>293</v>
      </c>
      <c r="B35" s="93" t="n">
        <f aca="false">Model!B290+Model!C290+Model!D290</f>
        <v>0</v>
      </c>
      <c r="C35" s="93" t="n">
        <f aca="false">Model!E290+Model!F290+Model!G290</f>
        <v>-0</v>
      </c>
      <c r="D35" s="93" t="n">
        <f aca="false">Model!H290+Model!I290+Model!J290</f>
        <v>-0</v>
      </c>
      <c r="E35" s="93" t="n">
        <f aca="false">Model!K290+Model!L290+Model!M290</f>
        <v>-0</v>
      </c>
      <c r="F35" s="93" t="n">
        <f aca="false">Model!N290+Model!O290+Model!P290</f>
        <v>-0</v>
      </c>
      <c r="G35" s="93" t="n">
        <f aca="false">Model!Q290+Model!R290+Model!S290</f>
        <v>-0</v>
      </c>
      <c r="H35" s="93" t="n">
        <f aca="false">Model!T290+Model!U290+Model!V290</f>
        <v>-0</v>
      </c>
      <c r="I35" s="93" t="n">
        <f aca="false">Model!W290+Model!X290+Model!Y290</f>
        <v>-0</v>
      </c>
      <c r="J35" s="93" t="n">
        <f aca="false">Model!Z290+Model!AA290+Model!AB290</f>
        <v>-0</v>
      </c>
      <c r="K35" s="93" t="n">
        <f aca="false">Model!AC290+Model!AD290+Model!AE290</f>
        <v>-0</v>
      </c>
      <c r="L35" s="93" t="n">
        <f aca="false">Model!AF290+Model!AG290+Model!AH290</f>
        <v>-0</v>
      </c>
      <c r="M35" s="93" t="n">
        <f aca="false">Model!AI290+Model!AJ290+Model!AK290</f>
        <v>-0</v>
      </c>
      <c r="N35" s="93" t="n">
        <f aca="false">Model!AL290+Model!AM290+Model!AN290</f>
        <v>-0</v>
      </c>
      <c r="O35" s="93" t="n">
        <f aca="false">Model!AO290+Model!AP290+Model!AQ290</f>
        <v>-0</v>
      </c>
      <c r="P35" s="93" t="n">
        <f aca="false">Model!AR290+Model!AS290+Model!AT290</f>
        <v>-0</v>
      </c>
      <c r="Q35" s="93" t="n">
        <f aca="false">Model!AU290+Model!AV290+Model!AW290</f>
        <v>-0</v>
      </c>
      <c r="R35" s="93" t="n">
        <f aca="false">Model!AX290+Model!AY290+Model!AZ290</f>
        <v>-0</v>
      </c>
      <c r="S35" s="93" t="n">
        <f aca="false">Model!BA290+Model!BB290+Model!BC290</f>
        <v>-851839</v>
      </c>
      <c r="T35" s="93" t="n">
        <f aca="false">Model!BD290+Model!BE290+Model!BF290</f>
        <v>-71700</v>
      </c>
      <c r="U35" s="93" t="n">
        <f aca="false">Model!BG290+Model!BH290+Model!BI290</f>
        <v>-71700</v>
      </c>
      <c r="V35" s="93" t="n">
        <f aca="false">Model!BJ290+Model!BK290+Model!BL290</f>
        <v>-71700</v>
      </c>
      <c r="W35" s="93" t="n">
        <f aca="false">Model!BM290+Model!BN290+Model!BO290</f>
        <v>-71700</v>
      </c>
      <c r="X35" s="93" t="n">
        <f aca="false">Model!BP290+Model!BQ290+Model!BR290</f>
        <v>-74643</v>
      </c>
      <c r="Y35" s="93" t="n">
        <f aca="false">Model!BS290+Model!BT290+Model!BU290</f>
        <v>-74640</v>
      </c>
      <c r="Z35" s="93" t="n">
        <f aca="false">Model!BV290+Model!BW290+Model!BX290</f>
        <v>-74640</v>
      </c>
      <c r="AA35" s="93" t="n">
        <f aca="false">Model!BY290+Model!BZ290+Model!CA290</f>
        <v>-74640</v>
      </c>
      <c r="AB35" s="93" t="n">
        <f aca="false">Model!CB290+Model!CC290+Model!CD290</f>
        <v>-81363</v>
      </c>
      <c r="AC35" s="93" t="n">
        <f aca="false">Model!CE290+Model!CF290+Model!CG290</f>
        <v>-81362</v>
      </c>
      <c r="AD35" s="93" t="n">
        <f aca="false">Model!CH290+Model!CI290+Model!CJ290</f>
        <v>-74753.9733935208</v>
      </c>
      <c r="AE35" s="93" t="n">
        <f aca="false">Model!CK290+Model!CL290+Model!CM290</f>
        <v>-0</v>
      </c>
      <c r="AF35" s="93" t="n">
        <f aca="false">Model!CN290+Model!CO290+Model!CP290</f>
        <v>-0</v>
      </c>
      <c r="AG35" s="93" t="n">
        <f aca="false">Model!CQ290+Model!CR290+Model!CS290</f>
        <v>-0</v>
      </c>
      <c r="AH35" s="93" t="n">
        <f aca="false">Model!CT290+Model!CU290+Model!CV290</f>
        <v>-0</v>
      </c>
      <c r="AI35" s="93" t="n">
        <f aca="false">Model!CW290+Model!CX290+Model!CY290</f>
        <v>-0</v>
      </c>
      <c r="AJ35" s="93" t="n">
        <f aca="false">Model!CZ290+Model!DA290+Model!DB290</f>
        <v>-0</v>
      </c>
      <c r="AK35" s="93" t="n">
        <f aca="false">Model!DC290+Model!DD290+Model!DE290</f>
        <v>-0</v>
      </c>
    </row>
    <row r="36" customFormat="false" ht="15" hidden="false" customHeight="true" outlineLevel="0" collapsed="false">
      <c r="A36" s="22" t="s">
        <v>294</v>
      </c>
      <c r="B36" s="93" t="n">
        <f aca="false">Model!B291+Model!C291+Model!D291</f>
        <v>0</v>
      </c>
      <c r="C36" s="93" t="n">
        <f aca="false">Model!E291+Model!F291+Model!G291</f>
        <v>-0</v>
      </c>
      <c r="D36" s="93" t="n">
        <f aca="false">Model!H291+Model!I291+Model!J291</f>
        <v>-0</v>
      </c>
      <c r="E36" s="93" t="n">
        <f aca="false">Model!K291+Model!L291+Model!M291</f>
        <v>-0</v>
      </c>
      <c r="F36" s="93" t="n">
        <f aca="false">Model!N291+Model!O291+Model!P291</f>
        <v>-0</v>
      </c>
      <c r="G36" s="93" t="n">
        <f aca="false">Model!Q291+Model!R291+Model!S291</f>
        <v>-0</v>
      </c>
      <c r="H36" s="93" t="n">
        <f aca="false">Model!T291+Model!U291+Model!V291</f>
        <v>-0</v>
      </c>
      <c r="I36" s="93" t="n">
        <f aca="false">Model!W291+Model!X291+Model!Y291</f>
        <v>-0</v>
      </c>
      <c r="J36" s="93" t="n">
        <f aca="false">Model!Z291+Model!AA291+Model!AB291</f>
        <v>-0</v>
      </c>
      <c r="K36" s="93" t="n">
        <f aca="false">Model!AC291+Model!AD291+Model!AE291</f>
        <v>-0</v>
      </c>
      <c r="L36" s="93" t="n">
        <f aca="false">Model!AF291+Model!AG291+Model!AH291</f>
        <v>-0</v>
      </c>
      <c r="M36" s="93" t="n">
        <f aca="false">Model!AI291+Model!AJ291+Model!AK291</f>
        <v>-0</v>
      </c>
      <c r="N36" s="93" t="n">
        <f aca="false">Model!AL291+Model!AM291+Model!AN291</f>
        <v>-0</v>
      </c>
      <c r="O36" s="93" t="n">
        <f aca="false">Model!AO291+Model!AP291+Model!AQ291</f>
        <v>-0</v>
      </c>
      <c r="P36" s="93" t="n">
        <f aca="false">Model!AR291+Model!AS291+Model!AT291</f>
        <v>-0</v>
      </c>
      <c r="Q36" s="93" t="n">
        <f aca="false">Model!AU291+Model!AV291+Model!AW291</f>
        <v>-0</v>
      </c>
      <c r="R36" s="93" t="n">
        <f aca="false">Model!AX291+Model!AY291+Model!AZ291</f>
        <v>-0</v>
      </c>
      <c r="S36" s="93" t="n">
        <f aca="false">Model!BA291+Model!BB291+Model!BC291</f>
        <v>-0</v>
      </c>
      <c r="T36" s="93" t="n">
        <f aca="false">Model!BD291+Model!BE291+Model!BF291</f>
        <v>-0</v>
      </c>
      <c r="U36" s="93" t="n">
        <f aca="false">Model!BG291+Model!BH291+Model!BI291</f>
        <v>-0</v>
      </c>
      <c r="V36" s="93" t="n">
        <f aca="false">Model!BJ291+Model!BK291+Model!BL291</f>
        <v>-0</v>
      </c>
      <c r="W36" s="93" t="n">
        <f aca="false">Model!BM291+Model!BN291+Model!BO291</f>
        <v>-0</v>
      </c>
      <c r="X36" s="93" t="n">
        <f aca="false">Model!BP291+Model!BQ291+Model!BR291</f>
        <v>-0</v>
      </c>
      <c r="Y36" s="93" t="n">
        <f aca="false">Model!BS291+Model!BT291+Model!BU291</f>
        <v>-0</v>
      </c>
      <c r="Z36" s="93" t="n">
        <f aca="false">Model!BV291+Model!BW291+Model!BX291</f>
        <v>-0</v>
      </c>
      <c r="AA36" s="93" t="n">
        <f aca="false">Model!BY291+Model!BZ291+Model!CA291</f>
        <v>-73156</v>
      </c>
      <c r="AB36" s="93" t="n">
        <f aca="false">Model!CB291+Model!CC291+Model!CD291</f>
        <v>-73155</v>
      </c>
      <c r="AC36" s="93" t="n">
        <f aca="false">Model!CE291+Model!CF291+Model!CG291</f>
        <v>-73155</v>
      </c>
      <c r="AD36" s="93" t="n">
        <f aca="false">Model!CH291+Model!CI291+Model!CJ291</f>
        <v>-73155</v>
      </c>
      <c r="AE36" s="93" t="n">
        <f aca="false">Model!CK291+Model!CL291+Model!CM291</f>
        <v>-219465</v>
      </c>
      <c r="AF36" s="93" t="n">
        <f aca="false">Model!CN291+Model!CO291+Model!CP291</f>
        <v>-219465</v>
      </c>
      <c r="AG36" s="93" t="n">
        <f aca="false">Model!CQ291+Model!CR291+Model!CS291</f>
        <v>-219465</v>
      </c>
      <c r="AH36" s="93" t="n">
        <f aca="false">Model!CT291+Model!CU291+Model!CV291</f>
        <v>-219465</v>
      </c>
      <c r="AI36" s="93" t="n">
        <f aca="false">Model!CW291+Model!CX291+Model!CY291</f>
        <v>-17446.8489364072</v>
      </c>
      <c r="AJ36" s="93" t="n">
        <f aca="false">Model!CZ291+Model!DA291+Model!DB291</f>
        <v>-0</v>
      </c>
      <c r="AK36" s="93" t="n">
        <f aca="false">Model!DC291+Model!DD291+Model!DE291</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customFormat="false" ht="15" hidden="false" customHeight="true" outlineLevel="0" collapsed="false">
      <c r="A38" s="23" t="s">
        <v>295</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customFormat="false" ht="15" hidden="false" customHeight="true" outlineLevel="0" collapsed="false">
      <c r="A39" s="22" t="s">
        <v>296</v>
      </c>
      <c r="B39" s="93" t="n">
        <f aca="false">Model!B310+Model!C310+Model!D310</f>
        <v>0</v>
      </c>
      <c r="C39" s="93" t="n">
        <f aca="false">Model!E310+Model!F310+Model!G310</f>
        <v>0</v>
      </c>
      <c r="D39" s="93" t="n">
        <f aca="false">Model!H310+Model!I310+Model!J310</f>
        <v>0</v>
      </c>
      <c r="E39" s="93" t="n">
        <f aca="false">Model!K310+Model!L310+Model!M310</f>
        <v>0</v>
      </c>
      <c r="F39" s="93" t="n">
        <f aca="false">Model!N310+Model!O310+Model!P310</f>
        <v>-336000</v>
      </c>
      <c r="G39" s="93" t="n">
        <f aca="false">Model!Q310+Model!R310+Model!S310</f>
        <v>-336000</v>
      </c>
      <c r="H39" s="93" t="n">
        <f aca="false">Model!T310+Model!U310+Model!V310</f>
        <v>-336000</v>
      </c>
      <c r="I39" s="93" t="n">
        <f aca="false">Model!W310+Model!X310+Model!Y310</f>
        <v>-336000</v>
      </c>
      <c r="J39" s="93" t="n">
        <f aca="false">Model!Z310+Model!AA310+Model!AB310</f>
        <v>-336000</v>
      </c>
      <c r="K39" s="93" t="n">
        <f aca="false">Model!AC310+Model!AD310+Model!AE310</f>
        <v>-315981.430278598</v>
      </c>
      <c r="L39" s="93" t="n">
        <f aca="false">Model!AF310+Model!AG310+Model!AH310</f>
        <v>0</v>
      </c>
      <c r="M39" s="93" t="n">
        <f aca="false">Model!AI310+Model!AJ310+Model!AK310</f>
        <v>0</v>
      </c>
      <c r="N39" s="93" t="n">
        <f aca="false">Model!AL310+Model!AM310+Model!AN310</f>
        <v>0</v>
      </c>
      <c r="O39" s="93" t="n">
        <f aca="false">Model!AO310+Model!AP310+Model!AQ310</f>
        <v>0</v>
      </c>
      <c r="P39" s="93" t="n">
        <f aca="false">Model!AR310+Model!AS310+Model!AT310</f>
        <v>0</v>
      </c>
      <c r="Q39" s="93" t="n">
        <f aca="false">Model!AU310+Model!AV310+Model!AW310</f>
        <v>0</v>
      </c>
      <c r="R39" s="93" t="n">
        <f aca="false">Model!AX310+Model!AY310+Model!AZ310</f>
        <v>0</v>
      </c>
      <c r="S39" s="93" t="n">
        <f aca="false">Model!BA310+Model!BB310+Model!BC310</f>
        <v>0</v>
      </c>
      <c r="T39" s="93" t="n">
        <f aca="false">Model!BD310+Model!BE310+Model!BF310</f>
        <v>0</v>
      </c>
      <c r="U39" s="93" t="n">
        <f aca="false">Model!BG310+Model!BH310+Model!BI310</f>
        <v>0</v>
      </c>
      <c r="V39" s="93" t="n">
        <f aca="false">Model!BJ310+Model!BK310+Model!BL310</f>
        <v>0</v>
      </c>
      <c r="W39" s="93" t="n">
        <f aca="false">Model!BM310+Model!BN310+Model!BO310</f>
        <v>0</v>
      </c>
      <c r="X39" s="93" t="n">
        <f aca="false">Model!BP310+Model!BQ310+Model!BR310</f>
        <v>0</v>
      </c>
      <c r="Y39" s="93" t="n">
        <f aca="false">Model!BS310+Model!BT310+Model!BU310</f>
        <v>0</v>
      </c>
      <c r="Z39" s="93" t="n">
        <f aca="false">Model!BV310+Model!BW310+Model!BX310</f>
        <v>0</v>
      </c>
      <c r="AA39" s="93" t="n">
        <f aca="false">Model!BY310+Model!BZ310+Model!CA310</f>
        <v>0</v>
      </c>
      <c r="AB39" s="93" t="n">
        <f aca="false">Model!CB310+Model!CC310+Model!CD310</f>
        <v>0</v>
      </c>
      <c r="AC39" s="93" t="n">
        <f aca="false">Model!CE310+Model!CF310+Model!CG310</f>
        <v>0</v>
      </c>
      <c r="AD39" s="93" t="n">
        <f aca="false">Model!CH310+Model!CI310+Model!CJ310</f>
        <v>0</v>
      </c>
      <c r="AE39" s="93" t="n">
        <f aca="false">Model!CK310+Model!CL310+Model!CM310</f>
        <v>0</v>
      </c>
      <c r="AF39" s="93" t="n">
        <f aca="false">Model!CN310+Model!CO310+Model!CP310</f>
        <v>0</v>
      </c>
      <c r="AG39" s="93" t="n">
        <f aca="false">Model!CQ310+Model!CR310+Model!CS310</f>
        <v>0</v>
      </c>
      <c r="AH39" s="93" t="n">
        <f aca="false">Model!CT310+Model!CU310+Model!CV310</f>
        <v>0</v>
      </c>
      <c r="AI39" s="93" t="n">
        <f aca="false">Model!CW310+Model!CX310+Model!CY310</f>
        <v>0</v>
      </c>
      <c r="AJ39" s="93" t="n">
        <f aca="false">Model!CZ310+Model!DA310+Model!DB310</f>
        <v>0</v>
      </c>
      <c r="AK39" s="93" t="n">
        <f aca="false">Model!DC310+Model!DD310+Model!DE310</f>
        <v>0</v>
      </c>
    </row>
    <row r="40" customFormat="false" ht="15" hidden="false" customHeight="true" outlineLevel="0" collapsed="false">
      <c r="A40" s="22" t="s">
        <v>297</v>
      </c>
      <c r="B40" s="93" t="n">
        <f aca="false">Model!D311</f>
        <v>0</v>
      </c>
      <c r="C40" s="93" t="n">
        <f aca="false">Model!G311</f>
        <v>1676065.6875</v>
      </c>
      <c r="D40" s="93" t="n">
        <f aca="false">Model!J311</f>
        <v>1738918.15078125</v>
      </c>
      <c r="E40" s="93" t="n">
        <f aca="false">Model!M311</f>
        <v>1804127.58143555</v>
      </c>
      <c r="F40" s="93" t="n">
        <f aca="false">Model!P311</f>
        <v>1527382.36573938</v>
      </c>
      <c r="G40" s="93" t="n">
        <f aca="false">Model!S311</f>
        <v>1240259.20445461</v>
      </c>
      <c r="H40" s="93" t="n">
        <f aca="false">Model!V311</f>
        <v>942368.924621655</v>
      </c>
      <c r="I40" s="93" t="n">
        <f aca="false">Model!Y311</f>
        <v>633307.759294967</v>
      </c>
      <c r="J40" s="93" t="n">
        <f aca="false">Model!AB311</f>
        <v>312656.800268528</v>
      </c>
      <c r="K40" s="93" t="n">
        <f aca="false">Model!AE311</f>
        <v>0</v>
      </c>
      <c r="L40" s="93" t="n">
        <f aca="false">Model!AH311</f>
        <v>0</v>
      </c>
      <c r="M40" s="93" t="n">
        <f aca="false">Model!AK311</f>
        <v>0</v>
      </c>
      <c r="N40" s="93" t="n">
        <f aca="false">Model!AN311</f>
        <v>0</v>
      </c>
      <c r="O40" s="93" t="n">
        <f aca="false">Model!AQ311</f>
        <v>0</v>
      </c>
      <c r="P40" s="93" t="n">
        <f aca="false">Model!AT311</f>
        <v>0</v>
      </c>
      <c r="Q40" s="93" t="n">
        <f aca="false">Model!AW311</f>
        <v>0</v>
      </c>
      <c r="R40" s="93" t="n">
        <f aca="false">Model!AZ311</f>
        <v>0</v>
      </c>
      <c r="S40" s="93" t="n">
        <f aca="false">Model!BC311</f>
        <v>0</v>
      </c>
      <c r="T40" s="93" t="n">
        <f aca="false">Model!BF311</f>
        <v>0</v>
      </c>
      <c r="U40" s="93" t="n">
        <f aca="false">Model!BI311</f>
        <v>0</v>
      </c>
      <c r="V40" s="93" t="n">
        <f aca="false">Model!BL311</f>
        <v>0</v>
      </c>
      <c r="W40" s="93" t="n">
        <f aca="false">Model!BO311</f>
        <v>0</v>
      </c>
      <c r="X40" s="93" t="n">
        <f aca="false">Model!BR311</f>
        <v>0</v>
      </c>
      <c r="Y40" s="93" t="n">
        <f aca="false">Model!BU311</f>
        <v>0</v>
      </c>
      <c r="Z40" s="93" t="n">
        <f aca="false">Model!BX311</f>
        <v>0</v>
      </c>
      <c r="AA40" s="93" t="n">
        <f aca="false">Model!CA311</f>
        <v>0</v>
      </c>
      <c r="AB40" s="93" t="n">
        <f aca="false">Model!CD311</f>
        <v>0</v>
      </c>
      <c r="AC40" s="93" t="n">
        <f aca="false">Model!CG311</f>
        <v>0</v>
      </c>
      <c r="AD40" s="93" t="n">
        <f aca="false">Model!CJ311</f>
        <v>0</v>
      </c>
      <c r="AE40" s="93" t="n">
        <f aca="false">Model!CM311</f>
        <v>0</v>
      </c>
      <c r="AF40" s="93" t="n">
        <f aca="false">Model!CP311</f>
        <v>0</v>
      </c>
      <c r="AG40" s="93" t="n">
        <f aca="false">Model!CS311</f>
        <v>0</v>
      </c>
      <c r="AH40" s="93" t="n">
        <f aca="false">Model!CV311</f>
        <v>0</v>
      </c>
      <c r="AI40" s="93" t="n">
        <f aca="false">Model!CY311</f>
        <v>0</v>
      </c>
      <c r="AJ40" s="93" t="n">
        <f aca="false">Model!DB311</f>
        <v>0</v>
      </c>
      <c r="AK40" s="93" t="n">
        <f aca="false">Model!DE311</f>
        <v>0</v>
      </c>
    </row>
    <row r="41" customFormat="false" ht="15" hidden="false" customHeight="true" outlineLevel="0" collapsed="false">
      <c r="A41" s="22" t="s">
        <v>298</v>
      </c>
      <c r="B41" s="93" t="n">
        <f aca="false">Model!B316+Model!C316+Model!D316</f>
        <v>0</v>
      </c>
      <c r="C41" s="93" t="n">
        <f aca="false">Model!E316+Model!F316+Model!G316</f>
        <v>0</v>
      </c>
      <c r="D41" s="93" t="n">
        <f aca="false">Model!H316+Model!I316+Model!J316</f>
        <v>0</v>
      </c>
      <c r="E41" s="93" t="n">
        <f aca="false">Model!K316+Model!L316+Model!M316</f>
        <v>0</v>
      </c>
      <c r="F41" s="93" t="n">
        <f aca="false">Model!N316+Model!O316+Model!P316</f>
        <v>0</v>
      </c>
      <c r="G41" s="93" t="n">
        <f aca="false">Model!Q316+Model!R316+Model!S316</f>
        <v>0</v>
      </c>
      <c r="H41" s="93" t="n">
        <f aca="false">Model!T316+Model!U316+Model!V316</f>
        <v>0</v>
      </c>
      <c r="I41" s="93" t="n">
        <f aca="false">Model!W316+Model!X316+Model!Y316</f>
        <v>0</v>
      </c>
      <c r="J41" s="93" t="n">
        <f aca="false">Model!Z316+Model!AA316+Model!AB316</f>
        <v>-250000</v>
      </c>
      <c r="K41" s="93" t="n">
        <f aca="false">Model!AC316+Model!AD316+Model!AE316</f>
        <v>0</v>
      </c>
      <c r="L41" s="93" t="n">
        <f aca="false">Model!AF316+Model!AG316+Model!AH316</f>
        <v>0</v>
      </c>
      <c r="M41" s="93" t="n">
        <f aca="false">Model!AI316+Model!AJ316+Model!AK316</f>
        <v>0</v>
      </c>
      <c r="N41" s="93" t="n">
        <f aca="false">Model!AL316+Model!AM316+Model!AN316</f>
        <v>-250000</v>
      </c>
      <c r="O41" s="93" t="n">
        <f aca="false">Model!AO316+Model!AP316+Model!AQ316</f>
        <v>0</v>
      </c>
      <c r="P41" s="93" t="n">
        <f aca="false">Model!AR316+Model!AS316+Model!AT316</f>
        <v>0</v>
      </c>
      <c r="Q41" s="93" t="n">
        <f aca="false">Model!AU316+Model!AV316+Model!AW316</f>
        <v>0</v>
      </c>
      <c r="R41" s="93" t="n">
        <f aca="false">Model!AX316+Model!AY316+Model!AZ316</f>
        <v>0</v>
      </c>
      <c r="S41" s="93" t="n">
        <f aca="false">Model!BA316+Model!BB316+Model!BC316</f>
        <v>0</v>
      </c>
      <c r="T41" s="93" t="n">
        <f aca="false">Model!BD316+Model!BE316+Model!BF316</f>
        <v>0</v>
      </c>
      <c r="U41" s="93" t="n">
        <f aca="false">Model!BG316+Model!BH316+Model!BI316</f>
        <v>0</v>
      </c>
      <c r="V41" s="93" t="n">
        <f aca="false">Model!BJ316+Model!BK316+Model!BL316</f>
        <v>0</v>
      </c>
      <c r="W41" s="93" t="n">
        <f aca="false">Model!BM316+Model!BN316+Model!BO316</f>
        <v>0</v>
      </c>
      <c r="X41" s="93" t="n">
        <f aca="false">Model!BP316+Model!BQ316+Model!BR316</f>
        <v>0</v>
      </c>
      <c r="Y41" s="93" t="n">
        <f aca="false">Model!BS316+Model!BT316+Model!BU316</f>
        <v>0</v>
      </c>
      <c r="Z41" s="93" t="n">
        <f aca="false">Model!BV316+Model!BW316+Model!BX316</f>
        <v>0</v>
      </c>
      <c r="AA41" s="93" t="n">
        <f aca="false">Model!BY316+Model!BZ316+Model!CA316</f>
        <v>0</v>
      </c>
      <c r="AB41" s="93" t="n">
        <f aca="false">Model!CB316+Model!CC316+Model!CD316</f>
        <v>0</v>
      </c>
      <c r="AC41" s="93" t="n">
        <f aca="false">Model!CE316+Model!CF316+Model!CG316</f>
        <v>0</v>
      </c>
      <c r="AD41" s="93" t="n">
        <f aca="false">Model!CH316+Model!CI316+Model!CJ316</f>
        <v>0</v>
      </c>
      <c r="AE41" s="93" t="n">
        <f aca="false">Model!CK316+Model!CL316+Model!CM316</f>
        <v>0</v>
      </c>
      <c r="AF41" s="93" t="n">
        <f aca="false">Model!CN316+Model!CO316+Model!CP316</f>
        <v>0</v>
      </c>
      <c r="AG41" s="93" t="n">
        <f aca="false">Model!CQ316+Model!CR316+Model!CS316</f>
        <v>0</v>
      </c>
      <c r="AH41" s="93" t="n">
        <f aca="false">Model!CT316+Model!CU316+Model!CV316</f>
        <v>0</v>
      </c>
      <c r="AI41" s="93" t="n">
        <f aca="false">Model!CW316+Model!CX316+Model!CY316</f>
        <v>0</v>
      </c>
      <c r="AJ41" s="93" t="n">
        <f aca="false">Model!CZ316+Model!DA316+Model!DB316</f>
        <v>0</v>
      </c>
      <c r="AK41" s="93" t="n">
        <f aca="false">Model!DC316+Model!DD316+Model!DE316</f>
        <v>0</v>
      </c>
    </row>
    <row r="42" customFormat="false" ht="15" hidden="false" customHeight="true" outlineLevel="0" collapsed="false">
      <c r="A42" s="22" t="s">
        <v>299</v>
      </c>
      <c r="B42" s="93" t="n">
        <f aca="false">Model!D317</f>
        <v>0</v>
      </c>
      <c r="C42" s="93" t="n">
        <f aca="false">Model!G317</f>
        <v>1000000</v>
      </c>
      <c r="D42" s="93" t="n">
        <f aca="false">Model!J317</f>
        <v>1000000</v>
      </c>
      <c r="E42" s="93" t="n">
        <f aca="false">Model!M317</f>
        <v>1000000</v>
      </c>
      <c r="F42" s="93" t="n">
        <f aca="false">Model!P317</f>
        <v>1000000</v>
      </c>
      <c r="G42" s="93" t="n">
        <f aca="false">Model!S317</f>
        <v>1000000</v>
      </c>
      <c r="H42" s="93" t="n">
        <f aca="false">Model!V317</f>
        <v>1000000</v>
      </c>
      <c r="I42" s="93" t="n">
        <f aca="false">Model!Y317</f>
        <v>1000000</v>
      </c>
      <c r="J42" s="93" t="n">
        <f aca="false">Model!AB317</f>
        <v>750000</v>
      </c>
      <c r="K42" s="93" t="n">
        <f aca="false">Model!AE317</f>
        <v>750000</v>
      </c>
      <c r="L42" s="93" t="n">
        <f aca="false">Model!AH317</f>
        <v>750000</v>
      </c>
      <c r="M42" s="93" t="n">
        <f aca="false">Model!AK317</f>
        <v>750000</v>
      </c>
      <c r="N42" s="93" t="n">
        <f aca="false">Model!AN317</f>
        <v>500000</v>
      </c>
      <c r="O42" s="93" t="n">
        <f aca="false">Model!AQ317</f>
        <v>500000</v>
      </c>
      <c r="P42" s="93" t="n">
        <f aca="false">Model!AT317</f>
        <v>500000</v>
      </c>
      <c r="Q42" s="93" t="n">
        <f aca="false">Model!AW317</f>
        <v>500000</v>
      </c>
      <c r="R42" s="93" t="n">
        <f aca="false">Model!AZ317</f>
        <v>500000</v>
      </c>
      <c r="S42" s="93" t="n">
        <f aca="false">Model!BC317</f>
        <v>500000</v>
      </c>
      <c r="T42" s="93" t="n">
        <f aca="false">Model!BF317</f>
        <v>500000</v>
      </c>
      <c r="U42" s="93" t="n">
        <f aca="false">Model!BI317</f>
        <v>500000</v>
      </c>
      <c r="V42" s="93" t="n">
        <f aca="false">Model!BL317</f>
        <v>500000</v>
      </c>
      <c r="W42" s="93" t="n">
        <f aca="false">Model!BO317</f>
        <v>500000</v>
      </c>
      <c r="X42" s="93" t="n">
        <f aca="false">Model!BR317</f>
        <v>500000</v>
      </c>
      <c r="Y42" s="93" t="n">
        <f aca="false">Model!BU317</f>
        <v>500000</v>
      </c>
      <c r="Z42" s="93" t="n">
        <f aca="false">Model!BX317</f>
        <v>500000</v>
      </c>
      <c r="AA42" s="93" t="n">
        <f aca="false">Model!CA317</f>
        <v>500000</v>
      </c>
      <c r="AB42" s="93" t="n">
        <f aca="false">Model!CD317</f>
        <v>500000</v>
      </c>
      <c r="AC42" s="93" t="n">
        <f aca="false">Model!CG317</f>
        <v>500000</v>
      </c>
      <c r="AD42" s="93" t="n">
        <f aca="false">Model!CJ317</f>
        <v>500000</v>
      </c>
      <c r="AE42" s="93" t="n">
        <f aca="false">Model!CM317</f>
        <v>500000</v>
      </c>
      <c r="AF42" s="93" t="n">
        <f aca="false">Model!CP317</f>
        <v>500000</v>
      </c>
      <c r="AG42" s="93" t="n">
        <f aca="false">Model!CS317</f>
        <v>500000</v>
      </c>
      <c r="AH42" s="93" t="n">
        <f aca="false">Model!CV317</f>
        <v>500000</v>
      </c>
      <c r="AI42" s="93" t="n">
        <f aca="false">Model!CY317</f>
        <v>500000</v>
      </c>
      <c r="AJ42" s="93" t="n">
        <f aca="false">Model!DB317</f>
        <v>500000</v>
      </c>
      <c r="AK42" s="93" t="n">
        <f aca="false">Model!DE317</f>
        <v>500000</v>
      </c>
    </row>
    <row r="43" customFormat="false" ht="15" hidden="false" customHeight="true" outlineLevel="0" collapsed="false">
      <c r="A43" s="22" t="s">
        <v>300</v>
      </c>
      <c r="B43" s="93" t="n">
        <f aca="false">Model!B370+Model!C370+Model!D370</f>
        <v>0</v>
      </c>
      <c r="C43" s="93" t="n">
        <f aca="false">Model!E370+Model!F370+Model!G370</f>
        <v>0</v>
      </c>
      <c r="D43" s="93" t="n">
        <f aca="false">Model!H370+Model!I370+Model!J370</f>
        <v>0</v>
      </c>
      <c r="E43" s="93" t="n">
        <f aca="false">Model!K370+Model!L370+Model!M370</f>
        <v>0</v>
      </c>
      <c r="F43" s="93" t="n">
        <f aca="false">Model!N370+Model!O370+Model!P370</f>
        <v>0</v>
      </c>
      <c r="G43" s="93" t="n">
        <f aca="false">Model!Q370+Model!R370+Model!S370</f>
        <v>0</v>
      </c>
      <c r="H43" s="93" t="n">
        <f aca="false">Model!T370+Model!U370+Model!V370</f>
        <v>0</v>
      </c>
      <c r="I43" s="93" t="n">
        <f aca="false">Model!W370+Model!X370+Model!Y370</f>
        <v>0</v>
      </c>
      <c r="J43" s="93" t="n">
        <f aca="false">Model!Z370+Model!AA370+Model!AB370</f>
        <v>0</v>
      </c>
      <c r="K43" s="93" t="n">
        <f aca="false">Model!AC370+Model!AD370+Model!AE370</f>
        <v>0</v>
      </c>
      <c r="L43" s="93" t="n">
        <f aca="false">Model!AF370+Model!AG370+Model!AH370</f>
        <v>0</v>
      </c>
      <c r="M43" s="93" t="n">
        <f aca="false">Model!AI370+Model!AJ370+Model!AK370</f>
        <v>0</v>
      </c>
      <c r="N43" s="93" t="n">
        <f aca="false">Model!AL370+Model!AM370+Model!AN370</f>
        <v>0</v>
      </c>
      <c r="O43" s="93" t="n">
        <f aca="false">Model!AO370+Model!AP370+Model!AQ370</f>
        <v>0</v>
      </c>
      <c r="P43" s="93" t="n">
        <f aca="false">Model!AR370+Model!AS370+Model!AT370</f>
        <v>0</v>
      </c>
      <c r="Q43" s="93" t="n">
        <f aca="false">Model!AU370+Model!AV370+Model!AW370</f>
        <v>0</v>
      </c>
      <c r="R43" s="93" t="n">
        <f aca="false">Model!AX370+Model!AY370+Model!AZ370</f>
        <v>0</v>
      </c>
      <c r="S43" s="93" t="n">
        <f aca="false">Model!BA370+Model!BB370+Model!BC370</f>
        <v>0</v>
      </c>
      <c r="T43" s="93" t="n">
        <f aca="false">Model!BD370+Model!BE370+Model!BF370</f>
        <v>0</v>
      </c>
      <c r="U43" s="93" t="n">
        <f aca="false">Model!BG370+Model!BH370+Model!BI370</f>
        <v>0</v>
      </c>
      <c r="V43" s="93" t="n">
        <f aca="false">Model!BJ370+Model!BK370+Model!BL370</f>
        <v>0</v>
      </c>
      <c r="W43" s="93" t="n">
        <f aca="false">Model!BM370+Model!BN370+Model!BO370</f>
        <v>0</v>
      </c>
      <c r="X43" s="93" t="n">
        <f aca="false">Model!BP370+Model!BQ370+Model!BR370</f>
        <v>0</v>
      </c>
      <c r="Y43" s="93" t="n">
        <f aca="false">Model!BS370+Model!BT370+Model!BU370</f>
        <v>0</v>
      </c>
      <c r="Z43" s="93" t="n">
        <f aca="false">Model!BV370+Model!BW370+Model!BX370</f>
        <v>0</v>
      </c>
      <c r="AA43" s="93" t="n">
        <f aca="false">Model!BY370+Model!BZ370+Model!CA370</f>
        <v>0</v>
      </c>
      <c r="AB43" s="93" t="n">
        <f aca="false">Model!CB370+Model!CC370+Model!CD370</f>
        <v>0</v>
      </c>
      <c r="AC43" s="93" t="n">
        <f aca="false">Model!CE370+Model!CF370+Model!CG370</f>
        <v>0</v>
      </c>
      <c r="AD43" s="93" t="n">
        <f aca="false">Model!CH370+Model!CI370+Model!CJ370</f>
        <v>0</v>
      </c>
      <c r="AE43" s="93" t="n">
        <f aca="false">Model!CK370+Model!CL370+Model!CM370</f>
        <v>0</v>
      </c>
      <c r="AF43" s="93" t="n">
        <f aca="false">Model!CN370+Model!CO370+Model!CP370</f>
        <v>0</v>
      </c>
      <c r="AG43" s="93" t="n">
        <f aca="false">Model!CQ370+Model!CR370+Model!CS370</f>
        <v>0</v>
      </c>
      <c r="AH43" s="93" t="n">
        <f aca="false">Model!CT370+Model!CU370+Model!CV370</f>
        <v>0</v>
      </c>
      <c r="AI43" s="93" t="n">
        <f aca="false">Model!CW370+Model!CX370+Model!CY370</f>
        <v>0</v>
      </c>
      <c r="AJ43" s="93" t="n">
        <f aca="false">Model!CZ370+Model!DA370+Model!DB370</f>
        <v>0</v>
      </c>
      <c r="AK43" s="93" t="n">
        <f aca="false">Model!DC370+Model!DD370+Model!DE370</f>
        <v>0</v>
      </c>
    </row>
    <row r="44" customFormat="false" ht="15" hidden="false" customHeight="true" outlineLevel="0" collapsed="false">
      <c r="A44" s="22" t="s">
        <v>301</v>
      </c>
      <c r="B44" s="93" t="n">
        <f aca="false">Model!D324+Model!D329+Model!D334+Model!D339</f>
        <v>0</v>
      </c>
      <c r="C44" s="93" t="n">
        <f aca="false">Model!G324+Model!G329+Model!G334+Model!G339</f>
        <v>1738378.196875</v>
      </c>
      <c r="D44" s="93" t="n">
        <f aca="false">Model!J324+Model!J329+Model!J334+Model!J339</f>
        <v>2142433.65800781</v>
      </c>
      <c r="E44" s="93" t="n">
        <f aca="false">Model!M324+Model!M329+Model!M334+Model!M339</f>
        <v>2378399.92018311</v>
      </c>
      <c r="F44" s="93" t="n">
        <f aca="false">Model!P324+Model!P329+Model!P334+Model!P339</f>
        <v>2714835.55656497</v>
      </c>
      <c r="G44" s="93" t="n">
        <f aca="false">Model!S324+Model!S329+Model!S334+Model!S339</f>
        <v>1507637.52931116</v>
      </c>
      <c r="H44" s="93" t="n">
        <f aca="false">Model!V324+Model!V329+Model!V334+Model!V339</f>
        <v>1564173.93666033</v>
      </c>
      <c r="I44" s="93" t="n">
        <f aca="false">Model!Y324+Model!Y329+Model!Y334+Model!Y339</f>
        <v>1714451.09866009</v>
      </c>
      <c r="J44" s="93" t="n">
        <f aca="false">Model!AB324+Model!AB329+Model!AB334+Model!AB339</f>
        <v>1778743.01485984</v>
      </c>
      <c r="K44" s="93" t="n">
        <f aca="false">Model!AE324+Model!AE329+Model!AE334+Model!AE339</f>
        <v>961652.271667087</v>
      </c>
      <c r="L44" s="93" t="n">
        <f aca="false">Model!AH324+Model!AH329+Model!AH334+Model!AH339</f>
        <v>997714.231854602</v>
      </c>
      <c r="M44" s="93" t="n">
        <f aca="false">Model!AK324+Model!AK329+Model!AK334+Model!AK339</f>
        <v>1035128.51554915</v>
      </c>
      <c r="N44" s="93" t="n">
        <f aca="false">Model!AN324+Model!AN329+Model!AN334+Model!AN339</f>
        <v>1073945.83488224</v>
      </c>
      <c r="O44" s="93" t="n">
        <f aca="false">Model!AQ324+Model!AQ329+Model!AQ334+Model!AQ339</f>
        <v>1114218.80369033</v>
      </c>
      <c r="P44" s="93" t="n">
        <f aca="false">Model!AT324+Model!AT329+Model!AT334+Model!AT339</f>
        <v>1156002.00882871</v>
      </c>
      <c r="Q44" s="93" t="n">
        <f aca="false">Model!AW324+Model!AW329+Model!AW334+Model!AW339</f>
        <v>1199352.08415979</v>
      </c>
      <c r="R44" s="93" t="n">
        <f aca="false">Model!AZ324+Model!AZ329+Model!AZ334+Model!AZ339</f>
        <v>1244327.78731578</v>
      </c>
      <c r="S44" s="93" t="n">
        <f aca="false">Model!BC324+Model!BC329+Model!BC334+Model!BC339</f>
        <v>1041818.77934013</v>
      </c>
      <c r="T44" s="93" t="n">
        <f aca="false">Model!BF324+Model!BF329+Model!BF334+Model!BF339</f>
        <v>1009186.98356538</v>
      </c>
      <c r="U44" s="93" t="n">
        <f aca="false">Model!BI324+Model!BI329+Model!BI334+Model!BI339</f>
        <v>975331.495449082</v>
      </c>
      <c r="V44" s="93" t="n">
        <f aca="false">Model!BL324+Model!BL329+Model!BL334+Model!BL339</f>
        <v>940206.426528422</v>
      </c>
      <c r="W44" s="93" t="n">
        <f aca="false">Model!BO324+Model!BO329+Model!BO334+Model!BO339</f>
        <v>903764.167523238</v>
      </c>
      <c r="X44" s="93" t="n">
        <f aca="false">Model!BR324+Model!BR329+Model!BR334+Model!BR339</f>
        <v>863012.323805359</v>
      </c>
      <c r="Y44" s="93" t="n">
        <f aca="false">Model!BU324+Model!BU329+Model!BU334+Model!BU339</f>
        <v>820735.28594806</v>
      </c>
      <c r="Z44" s="93" t="n">
        <f aca="false">Model!BX324+Model!BX329+Model!BX334+Model!BX339</f>
        <v>776872.859171113</v>
      </c>
      <c r="AA44" s="93" t="n">
        <f aca="false">Model!CA324+Model!CA329+Model!CA334+Model!CA339</f>
        <v>731365.591390029</v>
      </c>
      <c r="AB44" s="93" t="n">
        <f aca="false">Model!CD324+Model!CD329+Model!CD334+Model!CD339</f>
        <v>677428.801067155</v>
      </c>
      <c r="AC44" s="93" t="n">
        <f aca="false">Model!CG324+Model!CG329+Model!CG334+Model!CG339</f>
        <v>621470.381107174</v>
      </c>
      <c r="AD44" s="93" t="n">
        <f aca="false">Model!CJ324+Model!CJ329+Model!CJ334+Model!CJ339</f>
        <v>570021.547005172</v>
      </c>
      <c r="AE44" s="93" t="n">
        <f aca="false">Model!CM324+Model!CM329+Model!CM334+Model!CM339</f>
        <v>591397.355017866</v>
      </c>
      <c r="AF44" s="93" t="n">
        <f aca="false">Model!CP324+Model!CP329+Model!CP334+Model!CP339</f>
        <v>442013.212831036</v>
      </c>
      <c r="AG44" s="93" t="n">
        <f aca="false">Model!CS324+Model!CS329+Model!CS334+Model!CS339</f>
        <v>233637.0833122</v>
      </c>
      <c r="AH44" s="93" t="n">
        <f aca="false">Model!CV324+Model!CV329+Model!CV334+Model!CV339</f>
        <v>17446.8489364072</v>
      </c>
      <c r="AI44" s="93" t="n">
        <f aca="false">Model!CY324+Model!CY329+Model!CY334+Model!CY339</f>
        <v>0</v>
      </c>
      <c r="AJ44" s="93" t="n">
        <f aca="false">Model!DB324+Model!DB329+Model!DB334+Model!DB339</f>
        <v>0</v>
      </c>
      <c r="AK44" s="93" t="n">
        <f aca="false">Model!DE324+Model!DE329+Model!DE334+Model!DE339</f>
        <v>0</v>
      </c>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customFormat="false" ht="15" hidden="false" customHeight="true" outlineLevel="0" collapsed="false">
      <c r="A46" s="22" t="s">
        <v>302</v>
      </c>
      <c r="B46" s="93" t="n">
        <f aca="false">Model!D350</f>
        <v>0</v>
      </c>
      <c r="C46" s="93" t="n">
        <f aca="false">Model!G350</f>
        <v>20879271.91</v>
      </c>
      <c r="D46" s="93" t="n">
        <f aca="false">Model!J350</f>
        <v>82574509.2435969</v>
      </c>
      <c r="E46" s="93" t="n">
        <f aca="false">Model!M350</f>
        <v>93841157.4299332</v>
      </c>
      <c r="F46" s="93" t="n">
        <f aca="false">Model!P350</f>
        <v>81571690.8249268</v>
      </c>
      <c r="G46" s="93" t="n">
        <f aca="false">Model!S350</f>
        <v>135930577.982465</v>
      </c>
      <c r="H46" s="93" t="n">
        <f aca="false">Model!V350</f>
        <v>129160029.539487</v>
      </c>
      <c r="I46" s="93" t="n">
        <f aca="false">Model!Y350</f>
        <v>101419054.905732</v>
      </c>
      <c r="J46" s="93" t="n">
        <f aca="false">Model!AB350</f>
        <v>68825770.901435</v>
      </c>
      <c r="K46" s="93" t="n">
        <f aca="false">Model!AE350</f>
        <v>88609446.431479</v>
      </c>
      <c r="L46" s="93" t="n">
        <f aca="false">Model!AH350</f>
        <v>66427956.25085</v>
      </c>
      <c r="M46" s="93" t="n">
        <f aca="false">Model!AK350</f>
        <v>48459510.652485</v>
      </c>
      <c r="N46" s="93" t="n">
        <f aca="false">Model!AN350</f>
        <v>35942281.200826</v>
      </c>
      <c r="O46" s="93" t="n">
        <f aca="false">Model!AQ350</f>
        <v>26981928.712532</v>
      </c>
      <c r="P46" s="93" t="n">
        <f aca="false">Model!AT350</f>
        <v>18775979.790616</v>
      </c>
      <c r="Q46" s="93" t="n">
        <f aca="false">Model!AW350</f>
        <v>13258584.501624</v>
      </c>
      <c r="R46" s="93" t="n">
        <f aca="false">Model!AZ350</f>
        <v>8360541.887544</v>
      </c>
      <c r="S46" s="93" t="n">
        <f aca="false">Model!BC350</f>
        <v>4384004.53832</v>
      </c>
      <c r="T46" s="93" t="n">
        <f aca="false">Model!BF350</f>
        <v>1431490.58668</v>
      </c>
      <c r="U46" s="93" t="n">
        <f aca="false">Model!BI350</f>
        <v>0</v>
      </c>
      <c r="V46" s="93" t="n">
        <f aca="false">Model!BL350</f>
        <v>0</v>
      </c>
      <c r="W46" s="93" t="n">
        <f aca="false">Model!BO350</f>
        <v>0</v>
      </c>
      <c r="X46" s="93" t="n">
        <f aca="false">Model!BR350</f>
        <v>0</v>
      </c>
      <c r="Y46" s="93" t="n">
        <f aca="false">Model!BU350</f>
        <v>0</v>
      </c>
      <c r="Z46" s="93" t="n">
        <f aca="false">Model!BX350</f>
        <v>0</v>
      </c>
      <c r="AA46" s="93" t="n">
        <f aca="false">Model!CA350</f>
        <v>0</v>
      </c>
      <c r="AB46" s="93" t="n">
        <f aca="false">Model!CD350</f>
        <v>0</v>
      </c>
      <c r="AC46" s="93" t="n">
        <f aca="false">Model!CG350</f>
        <v>0</v>
      </c>
      <c r="AD46" s="93" t="n">
        <f aca="false">Model!CJ350</f>
        <v>0</v>
      </c>
      <c r="AE46" s="93" t="n">
        <f aca="false">Model!CM350</f>
        <v>0</v>
      </c>
      <c r="AF46" s="93" t="n">
        <f aca="false">Model!CP350</f>
        <v>0</v>
      </c>
      <c r="AG46" s="93" t="n">
        <f aca="false">Model!CS350</f>
        <v>0</v>
      </c>
      <c r="AH46" s="93" t="n">
        <f aca="false">Model!CV350</f>
        <v>0</v>
      </c>
      <c r="AI46" s="93" t="n">
        <f aca="false">Model!CY350</f>
        <v>0</v>
      </c>
      <c r="AJ46" s="93" t="n">
        <f aca="false">Model!DB350</f>
        <v>0</v>
      </c>
      <c r="AK46" s="93" t="n">
        <f aca="false">Model!DE350</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customFormat="false" ht="15" hidden="false" customHeight="true" outlineLevel="0" collapsed="false">
      <c r="A48" s="82" t="s">
        <v>188</v>
      </c>
      <c r="B48" s="83" t="n">
        <f aca="false">Model!D363</f>
        <v>0</v>
      </c>
      <c r="C48" s="83" t="n">
        <f aca="false">Model!G363</f>
        <v>0</v>
      </c>
      <c r="D48" s="83" t="n">
        <f aca="false">Model!J363</f>
        <v>1113428.48890737</v>
      </c>
      <c r="E48" s="83" t="n">
        <f aca="false">Model!M363</f>
        <v>2168054.84711936</v>
      </c>
      <c r="F48" s="83" t="n">
        <f aca="false">Model!P363</f>
        <v>1739781.35069781</v>
      </c>
      <c r="G48" s="83" t="n">
        <f aca="false">Model!S363</f>
        <v>1561572.750026</v>
      </c>
      <c r="H48" s="83" t="n">
        <f aca="false">Model!V363</f>
        <v>2581953.05901466</v>
      </c>
      <c r="I48" s="83" t="n">
        <f aca="false">Model!Y363</f>
        <v>4415467.61553319</v>
      </c>
      <c r="J48" s="83" t="n">
        <f aca="false">Model!AB363</f>
        <v>6664746.98445921</v>
      </c>
      <c r="K48" s="83" t="n">
        <f aca="false">Model!AE363</f>
        <v>8014690.46070636</v>
      </c>
      <c r="L48" s="83" t="n">
        <f aca="false">Model!AH363</f>
        <v>9366715.76117082</v>
      </c>
      <c r="M48" s="83" t="n">
        <f aca="false">Model!AK363</f>
        <v>11282333.3093572</v>
      </c>
      <c r="N48" s="83" t="n">
        <f aca="false">Model!AN363</f>
        <v>12284109.832659</v>
      </c>
      <c r="O48" s="83" t="n">
        <f aca="false">Model!AQ363</f>
        <v>12284156.8590815</v>
      </c>
      <c r="P48" s="83" t="n">
        <f aca="false">Model!AT363</f>
        <v>12590091.8483898</v>
      </c>
      <c r="Q48" s="83" t="n">
        <f aca="false">Model!AW363</f>
        <v>12799087.3100259</v>
      </c>
      <c r="R48" s="83" t="n">
        <f aca="false">Model!AZ363</f>
        <v>12036699.1587028</v>
      </c>
      <c r="S48" s="83" t="n">
        <f aca="false">Model!BC363</f>
        <v>11250076.6448238</v>
      </c>
      <c r="T48" s="83" t="n">
        <f aca="false">Model!BF363</f>
        <v>10463454.1309447</v>
      </c>
      <c r="U48" s="83" t="n">
        <f aca="false">Model!BI363</f>
        <v>10170140.3354675</v>
      </c>
      <c r="V48" s="83" t="n">
        <f aca="false">Model!BL363</f>
        <v>8934187.8451131</v>
      </c>
      <c r="W48" s="83" t="n">
        <f aca="false">Model!BO363</f>
        <v>7673516.30495161</v>
      </c>
      <c r="X48" s="83" t="n">
        <f aca="false">Model!BR363</f>
        <v>6412844.76479011</v>
      </c>
      <c r="Y48" s="83" t="n">
        <f aca="false">Model!BU363</f>
        <v>5152173.22462861</v>
      </c>
      <c r="Z48" s="83" t="n">
        <f aca="false">Model!BX363</f>
        <v>3891501.68446712</v>
      </c>
      <c r="AA48" s="83" t="n">
        <f aca="false">Model!CA363</f>
        <v>2605616.71350239</v>
      </c>
      <c r="AB48" s="83" t="n">
        <f aca="false">Model!CD363</f>
        <v>1319731.74253766</v>
      </c>
      <c r="AC48" s="83" t="n">
        <f aca="false">Model!CG363</f>
        <v>33846.7715729334</v>
      </c>
      <c r="AD48" s="83" t="n">
        <f aca="false">Model!CJ363</f>
        <v>-1252038.19939179</v>
      </c>
      <c r="AE48" s="83" t="n">
        <f aca="false">Model!CM363</f>
        <v>-2563640.86977582</v>
      </c>
      <c r="AF48" s="83" t="n">
        <f aca="false">Model!CP363</f>
        <v>-3875243.54015984</v>
      </c>
      <c r="AG48" s="83" t="n">
        <f aca="false">Model!CS363</f>
        <v>-5186846.21054386</v>
      </c>
      <c r="AH48" s="83" t="n">
        <f aca="false">Model!CV363</f>
        <v>-6343108.40209353</v>
      </c>
      <c r="AI48" s="83" t="n">
        <f aca="false">Model!CY363</f>
        <v>-7522495.8374742</v>
      </c>
      <c r="AJ48" s="83" t="n">
        <f aca="false">Model!DB363</f>
        <v>-8701883.27285487</v>
      </c>
      <c r="AK48" s="83" t="n">
        <f aca="false">Model!DE363</f>
        <v>-9881270.70823554</v>
      </c>
    </row>
    <row r="49" customFormat="false" ht="15" hidden="false" customHeight="true" outlineLevel="0" collapsed="false">
      <c r="A49" s="82" t="s">
        <v>195</v>
      </c>
      <c r="B49" s="83" t="n">
        <f aca="false">Model!D371</f>
        <v>0</v>
      </c>
      <c r="C49" s="83" t="n">
        <f aca="false">Model!G371</f>
        <v>0</v>
      </c>
      <c r="D49" s="83" t="n">
        <f aca="false">Model!J371</f>
        <v>512855.116666667</v>
      </c>
      <c r="E49" s="83" t="n">
        <f aca="false">Model!M371</f>
        <v>61600.4666666667</v>
      </c>
      <c r="F49" s="83" t="n">
        <f aca="false">Model!P371</f>
        <v>-684949.452506266</v>
      </c>
      <c r="G49" s="83" t="n">
        <f aca="false">Model!S371</f>
        <v>-1386365.01088521</v>
      </c>
      <c r="H49" s="83" t="n">
        <f aca="false">Model!V371</f>
        <v>-2176349.51926416</v>
      </c>
      <c r="I49" s="83" t="n">
        <f aca="false">Model!Y371</f>
        <v>-2813503.05324311</v>
      </c>
      <c r="J49" s="83" t="n">
        <f aca="false">Model!AB371</f>
        <v>-3596019.17682206</v>
      </c>
      <c r="K49" s="83" t="n">
        <f aca="false">Model!AE371</f>
        <v>-3979680.7920396</v>
      </c>
      <c r="L49" s="83" t="n">
        <f aca="false">Model!AH371</f>
        <v>-3997453.17018908</v>
      </c>
      <c r="M49" s="83" t="n">
        <f aca="false">Model!AK371</f>
        <v>-4118462.39204908</v>
      </c>
      <c r="N49" s="83" t="n">
        <f aca="false">Model!AN371</f>
        <v>-4471358.39790908</v>
      </c>
      <c r="O49" s="83" t="n">
        <f aca="false">Model!AQ371</f>
        <v>-4638562.45777628</v>
      </c>
      <c r="P49" s="83" t="n">
        <f aca="false">Model!AT371</f>
        <v>-4944441.11514348</v>
      </c>
      <c r="Q49" s="83" t="n">
        <f aca="false">Model!AW371</f>
        <v>-5372876.95951068</v>
      </c>
      <c r="R49" s="83" t="n">
        <f aca="false">Model!AZ371</f>
        <v>-5769003.55487788</v>
      </c>
      <c r="S49" s="83" t="n">
        <f aca="false">Model!BC371</f>
        <v>-6243681.52340242</v>
      </c>
      <c r="T49" s="83" t="n">
        <f aca="false">Model!BF371</f>
        <v>-6722230.93092697</v>
      </c>
      <c r="U49" s="83" t="n">
        <f aca="false">Model!BI371</f>
        <v>-7204651.78295151</v>
      </c>
      <c r="V49" s="83" t="n">
        <f aca="false">Model!BL371</f>
        <v>-7690944.07397605</v>
      </c>
      <c r="W49" s="83" t="n">
        <f aca="false">Model!BO371</f>
        <v>-8068445.36175109</v>
      </c>
      <c r="X49" s="83" t="n">
        <f aca="false">Model!BR371</f>
        <v>-8625127.18602612</v>
      </c>
      <c r="Y49" s="83" t="n">
        <f aca="false">Model!BU371</f>
        <v>-9167297.36030116</v>
      </c>
      <c r="Z49" s="83" t="n">
        <f aca="false">Model!BX371</f>
        <v>-9709467.5345762</v>
      </c>
      <c r="AA49" s="83" t="n">
        <f aca="false">Model!CA371</f>
        <v>-10263536.3523367</v>
      </c>
      <c r="AB49" s="83" t="n">
        <f aca="false">Model!CD371</f>
        <v>-10808868.1700973</v>
      </c>
      <c r="AC49" s="83" t="n">
        <f aca="false">Model!CG371</f>
        <v>-11354199.9878578</v>
      </c>
      <c r="AD49" s="83" t="n">
        <f aca="false">Model!CJ371</f>
        <v>-11892923.7790119</v>
      </c>
      <c r="AE49" s="83" t="n">
        <f aca="false">Model!CM371</f>
        <v>-12053308.2131276</v>
      </c>
      <c r="AF49" s="83" t="n">
        <f aca="false">Model!CP371</f>
        <v>-12213692.6472434</v>
      </c>
      <c r="AG49" s="83" t="n">
        <f aca="false">Model!CS371</f>
        <v>-12374077.0813591</v>
      </c>
      <c r="AH49" s="83" t="n">
        <f aca="false">Model!CV371</f>
        <v>-12507395.6094309</v>
      </c>
      <c r="AI49" s="83" t="n">
        <f aca="false">Model!CY371</f>
        <v>-12450534.0170005</v>
      </c>
      <c r="AJ49" s="83" t="n">
        <f aca="false">Model!DB371</f>
        <v>-12376225.5756337</v>
      </c>
      <c r="AK49" s="83" t="n">
        <f aca="false">Model!DE371</f>
        <v>-12301917.1342669</v>
      </c>
    </row>
    <row r="50" customFormat="false" ht="15" hidden="false" customHeight="true" outlineLevel="0" collapsed="false">
      <c r="A50" s="82" t="s">
        <v>198</v>
      </c>
      <c r="B50" s="83" t="n">
        <f aca="false">Model!B375+Model!C375+Model!D375</f>
        <v>0</v>
      </c>
      <c r="C50" s="83" t="n">
        <f aca="false">Model!E375+Model!F375+Model!G375</f>
        <v>0</v>
      </c>
      <c r="D50" s="83" t="n">
        <f aca="false">Model!H375+Model!I375+Model!J375</f>
        <v>0</v>
      </c>
      <c r="E50" s="83" t="n">
        <f aca="false">Model!K375+Model!L375+Model!M375</f>
        <v>0</v>
      </c>
      <c r="F50" s="83" t="n">
        <f aca="false">Model!N375+Model!O375+Model!P375</f>
        <v>-206038.210732122</v>
      </c>
      <c r="G50" s="83" t="n">
        <f aca="false">Model!Q375+Model!R375+Model!S375</f>
        <v>0</v>
      </c>
      <c r="H50" s="83" t="n">
        <f aca="false">Model!T375+Model!U375+Model!V375</f>
        <v>0</v>
      </c>
      <c r="I50" s="83" t="n">
        <f aca="false">Model!W375+Model!X375+Model!Y375</f>
        <v>0</v>
      </c>
      <c r="J50" s="83" t="n">
        <f aca="false">Model!Z375+Model!AA375+Model!AB375</f>
        <v>-1419271.45981913</v>
      </c>
      <c r="K50" s="83" t="n">
        <f aca="false">Model!AC375+Model!AD375+Model!AE375</f>
        <v>0</v>
      </c>
      <c r="L50" s="83" t="n">
        <f aca="false">Model!AF375+Model!AG375+Model!AH375</f>
        <v>0</v>
      </c>
      <c r="M50" s="83" t="n">
        <f aca="false">Model!AI375+Model!AJ375+Model!AK375</f>
        <v>0</v>
      </c>
      <c r="N50" s="83" t="n">
        <f aca="false">Model!AL375+Model!AM375+Model!AN375</f>
        <v>-3061595.77565932</v>
      </c>
      <c r="O50" s="83" t="n">
        <f aca="false">Model!AO375+Model!AP375+Model!AQ375</f>
        <v>0</v>
      </c>
      <c r="P50" s="83" t="n">
        <f aca="false">Model!AR375+Model!AS375+Model!AT375</f>
        <v>0</v>
      </c>
      <c r="Q50" s="83" t="n">
        <f aca="false">Model!AU375+Model!AV375+Model!AW375</f>
        <v>0</v>
      </c>
      <c r="R50" s="83" t="n">
        <f aca="false">Model!AX375+Model!AY375+Model!AZ375</f>
        <v>0</v>
      </c>
      <c r="S50" s="83" t="n">
        <f aca="false">Model!BA375+Model!BB375+Model!BC375</f>
        <v>0</v>
      </c>
      <c r="T50" s="83" t="n">
        <f aca="false">Model!BD375+Model!BE375+Model!BF375</f>
        <v>0</v>
      </c>
      <c r="U50" s="83" t="n">
        <f aca="false">Model!BG375+Model!BH375+Model!BI375</f>
        <v>0</v>
      </c>
      <c r="V50" s="83" t="n">
        <f aca="false">Model!BJ375+Model!BK375+Model!BL375</f>
        <v>0</v>
      </c>
      <c r="W50" s="83" t="n">
        <f aca="false">Model!BM375+Model!BN375+Model!BO375</f>
        <v>0</v>
      </c>
      <c r="X50" s="83" t="n">
        <f aca="false">Model!BP375+Model!BQ375+Model!BR375</f>
        <v>0</v>
      </c>
      <c r="Y50" s="83" t="n">
        <f aca="false">Model!BS375+Model!BT375+Model!BU375</f>
        <v>0</v>
      </c>
      <c r="Z50" s="83" t="n">
        <f aca="false">Model!BV375+Model!BW375+Model!BX375</f>
        <v>0</v>
      </c>
      <c r="AA50" s="83" t="n">
        <f aca="false">Model!BY375+Model!BZ375+Model!CA375</f>
        <v>0</v>
      </c>
      <c r="AB50" s="83" t="n">
        <f aca="false">Model!CB375+Model!CC375+Model!CD375</f>
        <v>0</v>
      </c>
      <c r="AC50" s="83" t="n">
        <f aca="false">Model!CE375+Model!CF375+Model!CG375</f>
        <v>0</v>
      </c>
      <c r="AD50" s="83" t="n">
        <f aca="false">Model!CH375+Model!CI375+Model!CJ375</f>
        <v>0</v>
      </c>
      <c r="AE50" s="83" t="n">
        <f aca="false">Model!CK375+Model!CL375+Model!CM375</f>
        <v>0</v>
      </c>
      <c r="AF50" s="83" t="n">
        <f aca="false">Model!CN375+Model!CO375+Model!CP375</f>
        <v>0</v>
      </c>
      <c r="AG50" s="83" t="n">
        <f aca="false">Model!CQ375+Model!CR375+Model!CS375</f>
        <v>0</v>
      </c>
      <c r="AH50" s="83" t="n">
        <f aca="false">Model!CT375+Model!CU375+Model!CV375</f>
        <v>0</v>
      </c>
      <c r="AI50" s="83" t="n">
        <f aca="false">Model!CW375+Model!CX375+Model!CY375</f>
        <v>0</v>
      </c>
      <c r="AJ50" s="83" t="n">
        <f aca="false">Model!CZ375+Model!DA375+Model!DB375</f>
        <v>0</v>
      </c>
      <c r="AK50" s="83" t="n">
        <f aca="false">Model!DC375+Model!DD375+Model!DE375</f>
        <v>0</v>
      </c>
    </row>
    <row r="51" customFormat="false" ht="15" hidden="false" customHeight="true" outlineLevel="0" collapsed="false">
      <c r="A51" s="27" t="s">
        <v>303</v>
      </c>
      <c r="B51" s="84" t="n">
        <f aca="false">Model!D376</f>
        <v>0</v>
      </c>
      <c r="C51" s="84" t="n">
        <f aca="false">Model!G376</f>
        <v>0</v>
      </c>
      <c r="D51" s="84" t="n">
        <f aca="false">Model!J376</f>
        <v>1626283.60557404</v>
      </c>
      <c r="E51" s="84" t="n">
        <f aca="false">Model!M376</f>
        <v>2229655.31378602</v>
      </c>
      <c r="F51" s="84" t="n">
        <f aca="false">Model!P376</f>
        <v>848793.687459426</v>
      </c>
      <c r="G51" s="84" t="n">
        <f aca="false">Model!S376</f>
        <v>175207.739140788</v>
      </c>
      <c r="H51" s="84" t="n">
        <f aca="false">Model!V376</f>
        <v>405603.539750495</v>
      </c>
      <c r="I51" s="84" t="n">
        <f aca="false">Model!Y376</f>
        <v>1601964.56229008</v>
      </c>
      <c r="J51" s="84" t="n">
        <f aca="false">Model!AB376</f>
        <v>1649456.34781803</v>
      </c>
      <c r="K51" s="84" t="n">
        <f aca="false">Model!AE376</f>
        <v>4035009.66866676</v>
      </c>
      <c r="L51" s="84" t="n">
        <f aca="false">Model!AH376</f>
        <v>5369262.59098174</v>
      </c>
      <c r="M51" s="84" t="n">
        <f aca="false">Model!AK376</f>
        <v>7163870.91730815</v>
      </c>
      <c r="N51" s="84" t="n">
        <f aca="false">Model!AN376</f>
        <v>4751155.6590906</v>
      </c>
      <c r="O51" s="84" t="n">
        <f aca="false">Model!AQ376</f>
        <v>7645594.40130523</v>
      </c>
      <c r="P51" s="84" t="n">
        <f aca="false">Model!AT376</f>
        <v>7645650.73324636</v>
      </c>
      <c r="Q51" s="84" t="n">
        <f aca="false">Model!AW376</f>
        <v>7426210.35051521</v>
      </c>
      <c r="R51" s="84" t="n">
        <f aca="false">Model!AZ376</f>
        <v>6267695.60382493</v>
      </c>
      <c r="S51" s="84" t="n">
        <f aca="false">Model!BC376</f>
        <v>5006395.12142134</v>
      </c>
      <c r="T51" s="84" t="n">
        <f aca="false">Model!BF376</f>
        <v>3741223.20001775</v>
      </c>
      <c r="U51" s="84" t="n">
        <f aca="false">Model!BI376</f>
        <v>2965488.55251601</v>
      </c>
      <c r="V51" s="84" t="n">
        <f aca="false">Model!BL376</f>
        <v>1243243.77113705</v>
      </c>
      <c r="W51" s="84" t="n">
        <f aca="false">Model!BO376</f>
        <v>-394929.056799482</v>
      </c>
      <c r="X51" s="84" t="n">
        <f aca="false">Model!BR376</f>
        <v>-2212282.42123601</v>
      </c>
      <c r="Y51" s="84" t="n">
        <f aca="false">Model!BU376</f>
        <v>-4015124.13567255</v>
      </c>
      <c r="Z51" s="84" t="n">
        <f aca="false">Model!BX376</f>
        <v>-5817965.85010908</v>
      </c>
      <c r="AA51" s="84" t="n">
        <f aca="false">Model!CA376</f>
        <v>-7657919.63883435</v>
      </c>
      <c r="AB51" s="84" t="n">
        <f aca="false">Model!CD376</f>
        <v>-9489136.42755961</v>
      </c>
      <c r="AC51" s="84" t="n">
        <f aca="false">Model!CG376</f>
        <v>-11320353.2162849</v>
      </c>
      <c r="AD51" s="84" t="n">
        <f aca="false">Model!CJ376</f>
        <v>-13144961.9784037</v>
      </c>
      <c r="AE51" s="84" t="n">
        <f aca="false">Model!CM376</f>
        <v>-14616949.0829034</v>
      </c>
      <c r="AF51" s="84" t="n">
        <f aca="false">Model!CP376</f>
        <v>-16088936.1874032</v>
      </c>
      <c r="AG51" s="84" t="n">
        <f aca="false">Model!CS376</f>
        <v>-17560923.291903</v>
      </c>
      <c r="AH51" s="84" t="n">
        <f aca="false">Model!CV376</f>
        <v>-18850504.0115244</v>
      </c>
      <c r="AI51" s="84" t="n">
        <f aca="false">Model!CY376</f>
        <v>-19973029.8544747</v>
      </c>
      <c r="AJ51" s="84" t="n">
        <f aca="false">Model!DB376</f>
        <v>-21078108.8484885</v>
      </c>
      <c r="AK51" s="84" t="n">
        <f aca="false">Model!DE376</f>
        <v>-22183187.8425024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341</v>
      </c>
    </row>
    <row r="2" customFormat="false" ht="15" hidden="false" customHeight="true" outlineLevel="0" collapsed="false">
      <c r="A2" s="72" t="s">
        <v>342</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343</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344</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345</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346</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347</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348</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101" t="s">
        <v>98</v>
      </c>
      <c r="C57" s="108" t="n">
        <f aca="false">C17+C55</f>
        <v>-41844.6399999999</v>
      </c>
      <c r="D57" s="108" t="n">
        <f aca="false">D17+D55</f>
        <v>-311309.31</v>
      </c>
      <c r="E57" s="108" t="n">
        <f aca="false">E17+E55</f>
        <v>242246.78</v>
      </c>
      <c r="F57" s="108" t="n">
        <f aca="false">F17+F55</f>
        <v>373926.69</v>
      </c>
      <c r="G57" s="108" t="n">
        <f aca="false">G17+G55</f>
        <v>27621.8499999997</v>
      </c>
      <c r="H57" s="108" t="n">
        <f aca="false">H17+H55</f>
        <v>317897.240000001</v>
      </c>
      <c r="I57" s="108" t="n">
        <f aca="false">I17+I55</f>
        <v>1445137.94</v>
      </c>
      <c r="J57" s="108" t="n">
        <f aca="false">J17+J55</f>
        <v>175572.22</v>
      </c>
      <c r="K57" s="108" t="n">
        <f aca="false">K17+K55</f>
        <v>0</v>
      </c>
      <c r="L57" s="108" t="n">
        <f aca="false">L17+L55</f>
        <v>0</v>
      </c>
      <c r="M57" s="108" t="n">
        <f aca="false">M17+M55</f>
        <v>0</v>
      </c>
      <c r="N57" s="108" t="n">
        <f aca="false">N17+N55</f>
        <v>0</v>
      </c>
      <c r="O57" s="108" t="n">
        <f aca="false">O17+O55</f>
        <v>0</v>
      </c>
      <c r="P57" s="108" t="n">
        <f aca="false">P17+P55</f>
        <v>0</v>
      </c>
      <c r="Q57" s="108" t="n">
        <f aca="false">Q17+Q55</f>
        <v>0</v>
      </c>
      <c r="R57" s="108" t="n">
        <f aca="false">R17+R55</f>
        <v>0</v>
      </c>
      <c r="S57" s="108" t="n">
        <f aca="false">S17+S55</f>
        <v>0</v>
      </c>
      <c r="T57" s="108" t="n">
        <f aca="false">T17+T55</f>
        <v>0</v>
      </c>
      <c r="U57" s="108" t="n">
        <f aca="false">U17+U55</f>
        <v>0</v>
      </c>
      <c r="V57" s="108" t="n">
        <f aca="false">V17+V55</f>
        <v>0</v>
      </c>
      <c r="W57" s="108" t="n">
        <f aca="false">W17+W55</f>
        <v>0</v>
      </c>
      <c r="X57" s="108" t="n">
        <f aca="false">X17+X55</f>
        <v>0</v>
      </c>
      <c r="Y57" s="108" t="n">
        <f aca="false">Y17+Y55</f>
        <v>0</v>
      </c>
      <c r="Z57" s="108" t="n">
        <f aca="false">Z17+Z55</f>
        <v>0</v>
      </c>
      <c r="AA57" s="108" t="n">
        <f aca="false">AA17+AA55</f>
        <v>0</v>
      </c>
      <c r="AB57" s="108" t="n">
        <f aca="false">AB17+AB55</f>
        <v>0</v>
      </c>
      <c r="AC57" s="108" t="n">
        <f aca="false">AC17+AC55</f>
        <v>0</v>
      </c>
      <c r="AD57" s="108" t="n">
        <f aca="false">AD17+AD55</f>
        <v>0</v>
      </c>
      <c r="AE57" s="108" t="n">
        <f aca="false">AE17+AE55</f>
        <v>0</v>
      </c>
      <c r="AF57" s="108" t="n">
        <f aca="false">AF17+AF55</f>
        <v>0</v>
      </c>
      <c r="AG57" s="108" t="n">
        <f aca="false">AG17+AG55</f>
        <v>0</v>
      </c>
      <c r="AH57" s="108" t="n">
        <f aca="false">AH17+AH55</f>
        <v>0</v>
      </c>
      <c r="AI57" s="108" t="n">
        <f aca="false">AI17+AI55</f>
        <v>0</v>
      </c>
      <c r="AJ57" s="108" t="n">
        <f aca="false">AJ17+AJ55</f>
        <v>0</v>
      </c>
      <c r="AK57" s="108" t="n">
        <f aca="false">AK17+AK55</f>
        <v>0</v>
      </c>
      <c r="AL57" s="108" t="n">
        <f aca="false">AL17+AL55</f>
        <v>0</v>
      </c>
      <c r="AM57" s="108" t="n">
        <f aca="false">AM17+AM55</f>
        <v>0</v>
      </c>
      <c r="AN57" s="108" t="n">
        <f aca="false">AN17+AN55</f>
        <v>0</v>
      </c>
      <c r="AO57" s="108" t="n">
        <f aca="false">AO17+AO55</f>
        <v>0</v>
      </c>
      <c r="AP57" s="108" t="n">
        <f aca="false">AP17+AP55</f>
        <v>0</v>
      </c>
      <c r="AQ57" s="108" t="n">
        <f aca="false">AQ17+AQ55</f>
        <v>0</v>
      </c>
      <c r="AR57" s="108" t="n">
        <f aca="false">AR17+AR55</f>
        <v>0</v>
      </c>
      <c r="AS57" s="108" t="n">
        <f aca="false">AS17+AS55</f>
        <v>0</v>
      </c>
      <c r="AT57" s="108" t="n">
        <f aca="false">AT17+AT55</f>
        <v>0</v>
      </c>
      <c r="AU57" s="108" t="n">
        <f aca="false">AU17+AU55</f>
        <v>0</v>
      </c>
      <c r="AV57" s="108" t="n">
        <f aca="false">AV17+AV55</f>
        <v>0</v>
      </c>
      <c r="AW57" s="108" t="n">
        <f aca="false">AW17+AW55</f>
        <v>0</v>
      </c>
      <c r="AX57" s="108" t="n">
        <f aca="false">AX17+AX55</f>
        <v>0</v>
      </c>
      <c r="AY57" s="108" t="n">
        <f aca="false">AY17+AY55</f>
        <v>0</v>
      </c>
      <c r="AZ57" s="108" t="n">
        <f aca="false">AZ17+AZ55</f>
        <v>0</v>
      </c>
      <c r="BA57" s="108" t="n">
        <f aca="false">BA17+BA55</f>
        <v>0</v>
      </c>
      <c r="BB57" s="108" t="n">
        <f aca="false">BB17+BB55</f>
        <v>0</v>
      </c>
      <c r="BC57" s="108" t="n">
        <f aca="false">BC17+BC55</f>
        <v>0</v>
      </c>
      <c r="BD57" s="108" t="n">
        <f aca="false">BD17+BD55</f>
        <v>0</v>
      </c>
      <c r="BE57" s="108" t="n">
        <f aca="false">BE17+BE55</f>
        <v>0</v>
      </c>
      <c r="BF57" s="108" t="n">
        <f aca="false">BF17+BF55</f>
        <v>0</v>
      </c>
      <c r="BG57" s="108" t="n">
        <f aca="false">BG17+BG55</f>
        <v>0</v>
      </c>
      <c r="BH57" s="108" t="n">
        <f aca="false">BH17+BH55</f>
        <v>0</v>
      </c>
      <c r="BI57" s="108" t="n">
        <f aca="false">BI17+BI55</f>
        <v>0</v>
      </c>
      <c r="BJ57" s="108" t="n">
        <f aca="false">BJ17+BJ55</f>
        <v>0</v>
      </c>
      <c r="BK57" s="108" t="n">
        <f aca="false">BK17+BK55</f>
        <v>0</v>
      </c>
      <c r="BL57" s="108" t="n">
        <f aca="false">BL17+BL55</f>
        <v>0</v>
      </c>
      <c r="BM57" s="108" t="n">
        <f aca="false">BM17+BM55</f>
        <v>0</v>
      </c>
      <c r="BN57" s="108" t="n">
        <f aca="false">BN17+BN55</f>
        <v>0</v>
      </c>
      <c r="BO57" s="108" t="n">
        <f aca="false">BO17+BO55</f>
        <v>0</v>
      </c>
      <c r="BP57" s="108" t="n">
        <f aca="false">BP17+BP55</f>
        <v>0</v>
      </c>
      <c r="BQ57" s="108" t="n">
        <f aca="false">BQ17+BQ55</f>
        <v>0</v>
      </c>
      <c r="BR57" s="108" t="n">
        <f aca="false">BR17+BR55</f>
        <v>0</v>
      </c>
      <c r="BS57" s="108" t="n">
        <f aca="false">BS17+BS55</f>
        <v>0</v>
      </c>
      <c r="BT57" s="108" t="n">
        <f aca="false">BT17+BT55</f>
        <v>0</v>
      </c>
      <c r="BU57" s="108" t="n">
        <f aca="false">BU17+BU55</f>
        <v>0</v>
      </c>
      <c r="BV57" s="108" t="n">
        <f aca="false">BV17+BV55</f>
        <v>0</v>
      </c>
      <c r="BW57" s="108" t="n">
        <f aca="false">BW17+BW55</f>
        <v>0</v>
      </c>
      <c r="BX57" s="108" t="n">
        <f aca="false">BX17+BX55</f>
        <v>0</v>
      </c>
      <c r="BY57" s="108" t="n">
        <f aca="false">BY17+BY55</f>
        <v>0</v>
      </c>
      <c r="BZ57" s="108" t="n">
        <f aca="false">BZ17+BZ55</f>
        <v>0</v>
      </c>
      <c r="CA57" s="108" t="n">
        <f aca="false">CA17+CA55</f>
        <v>0</v>
      </c>
      <c r="CB57" s="108" t="n">
        <f aca="false">CB17+CB55</f>
        <v>0</v>
      </c>
      <c r="CC57" s="108" t="n">
        <f aca="false">CC17+CC55</f>
        <v>0</v>
      </c>
      <c r="CD57" s="108" t="n">
        <f aca="false">CD17+CD55</f>
        <v>0</v>
      </c>
      <c r="CE57" s="108" t="n">
        <f aca="false">CE17+CE55</f>
        <v>0</v>
      </c>
      <c r="CF57" s="108" t="n">
        <f aca="false">CF17+CF55</f>
        <v>0</v>
      </c>
      <c r="CG57" s="108" t="n">
        <f aca="false">CG17+CG55</f>
        <v>0</v>
      </c>
      <c r="CH57" s="108" t="n">
        <f aca="false">CH17+CH55</f>
        <v>0</v>
      </c>
      <c r="CI57" s="108" t="n">
        <f aca="false">CI17+CI55</f>
        <v>0</v>
      </c>
      <c r="CJ57" s="108" t="n">
        <f aca="false">CJ17+CJ55</f>
        <v>0</v>
      </c>
      <c r="CK57" s="108" t="n">
        <f aca="false">CK17+CK55</f>
        <v>0</v>
      </c>
      <c r="CL57" s="108" t="n">
        <f aca="false">CL17+CL55</f>
        <v>0</v>
      </c>
      <c r="CM57" s="108" t="n">
        <f aca="false">CM17+CM55</f>
        <v>0</v>
      </c>
      <c r="CN57" s="108" t="n">
        <f aca="false">CN17+CN55</f>
        <v>0</v>
      </c>
      <c r="CO57" s="108" t="n">
        <f aca="false">CO17+CO55</f>
        <v>0</v>
      </c>
      <c r="CP57" s="108" t="n">
        <f aca="false">CP17+CP55</f>
        <v>0</v>
      </c>
      <c r="CQ57" s="108" t="n">
        <f aca="false">CQ17+CQ55</f>
        <v>0</v>
      </c>
      <c r="CR57" s="108" t="n">
        <f aca="false">CR17+CR55</f>
        <v>0</v>
      </c>
      <c r="CS57" s="108" t="n">
        <f aca="false">CS17+CS55</f>
        <v>0</v>
      </c>
      <c r="CT57" s="10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349</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350</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351</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352</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117</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353</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101" t="s">
        <v>138</v>
      </c>
      <c r="C114" s="108" t="n">
        <f aca="false">C81+C112+C113</f>
        <v>-164713.14</v>
      </c>
      <c r="D114" s="108" t="n">
        <f aca="false">D81+D112+D113</f>
        <v>-158387.42</v>
      </c>
      <c r="E114" s="108" t="n">
        <f aca="false">E81+E112+E113</f>
        <v>-220909.52</v>
      </c>
      <c r="F114" s="108" t="n">
        <f aca="false">F81+F112+F113</f>
        <v>-161790.14</v>
      </c>
      <c r="G114" s="108" t="n">
        <f aca="false">G81+G112+G113</f>
        <v>-215914.94</v>
      </c>
      <c r="H114" s="108" t="n">
        <f aca="false">H81+H112+H113</f>
        <v>185173.79</v>
      </c>
      <c r="I114" s="108" t="n">
        <f aca="false">I81+I112+I113</f>
        <v>-118383.36</v>
      </c>
      <c r="J114" s="108" t="n">
        <f aca="false">J81+J112+J113</f>
        <v>-3786.69</v>
      </c>
      <c r="K114" s="108" t="n">
        <f aca="false">K81+K112+K113</f>
        <v>0</v>
      </c>
      <c r="L114" s="108" t="n">
        <f aca="false">L81+L112+L113</f>
        <v>0</v>
      </c>
      <c r="M114" s="108" t="n">
        <f aca="false">M81+M112+M113</f>
        <v>0</v>
      </c>
      <c r="N114" s="108" t="n">
        <f aca="false">N81+N112+N113</f>
        <v>0</v>
      </c>
      <c r="O114" s="108" t="n">
        <f aca="false">O81+O112+O113</f>
        <v>0</v>
      </c>
      <c r="P114" s="108" t="n">
        <f aca="false">P81+P112+P113</f>
        <v>0</v>
      </c>
      <c r="Q114" s="108" t="n">
        <f aca="false">Q81+Q112+Q113</f>
        <v>0</v>
      </c>
      <c r="R114" s="108" t="n">
        <f aca="false">R81+R112+R113</f>
        <v>0</v>
      </c>
      <c r="S114" s="108" t="n">
        <f aca="false">S81+S112+S113</f>
        <v>0</v>
      </c>
      <c r="T114" s="108" t="n">
        <f aca="false">T81+T112+T113</f>
        <v>0</v>
      </c>
      <c r="U114" s="108" t="n">
        <f aca="false">U81+U112+U113</f>
        <v>0</v>
      </c>
      <c r="V114" s="108" t="n">
        <f aca="false">V81+V112+V113</f>
        <v>0</v>
      </c>
      <c r="W114" s="108" t="n">
        <f aca="false">W81+W112+W113</f>
        <v>0</v>
      </c>
      <c r="X114" s="108" t="n">
        <f aca="false">X81+X112+X113</f>
        <v>0</v>
      </c>
      <c r="Y114" s="108" t="n">
        <f aca="false">Y81+Y112+Y113</f>
        <v>0</v>
      </c>
      <c r="Z114" s="108" t="n">
        <f aca="false">Z81+Z112+Z113</f>
        <v>0</v>
      </c>
      <c r="AA114" s="108" t="n">
        <f aca="false">AA81+AA112+AA113</f>
        <v>0</v>
      </c>
      <c r="AB114" s="108" t="n">
        <f aca="false">AB81+AB112+AB113</f>
        <v>0</v>
      </c>
      <c r="AC114" s="108" t="n">
        <f aca="false">AC81+AC112+AC113</f>
        <v>0</v>
      </c>
      <c r="AD114" s="108" t="n">
        <f aca="false">AD81+AD112+AD113</f>
        <v>0</v>
      </c>
      <c r="AE114" s="108" t="n">
        <f aca="false">AE81+AE112+AE113</f>
        <v>0</v>
      </c>
      <c r="AF114" s="108" t="n">
        <f aca="false">AF81+AF112+AF113</f>
        <v>0</v>
      </c>
      <c r="AG114" s="108" t="n">
        <f aca="false">AG81+AG112+AG113</f>
        <v>0</v>
      </c>
      <c r="AH114" s="108" t="n">
        <f aca="false">AH81+AH112+AH113</f>
        <v>0</v>
      </c>
      <c r="AI114" s="108" t="n">
        <f aca="false">AI81+AI112+AI113</f>
        <v>0</v>
      </c>
      <c r="AJ114" s="108" t="n">
        <f aca="false">AJ81+AJ112+AJ113</f>
        <v>0</v>
      </c>
      <c r="AK114" s="108" t="n">
        <f aca="false">AK81+AK112+AK113</f>
        <v>0</v>
      </c>
      <c r="AL114" s="108" t="n">
        <f aca="false">AL81+AL112+AL113</f>
        <v>0</v>
      </c>
      <c r="AM114" s="108" t="n">
        <f aca="false">AM81+AM112+AM113</f>
        <v>0</v>
      </c>
      <c r="AN114" s="108" t="n">
        <f aca="false">AN81+AN112+AN113</f>
        <v>0</v>
      </c>
      <c r="AO114" s="108" t="n">
        <f aca="false">AO81+AO112+AO113</f>
        <v>0</v>
      </c>
      <c r="AP114" s="108" t="n">
        <f aca="false">AP81+AP112+AP113</f>
        <v>0</v>
      </c>
      <c r="AQ114" s="108" t="n">
        <f aca="false">AQ81+AQ112+AQ113</f>
        <v>0</v>
      </c>
      <c r="AR114" s="108" t="n">
        <f aca="false">AR81+AR112+AR113</f>
        <v>0</v>
      </c>
      <c r="AS114" s="108" t="n">
        <f aca="false">AS81+AS112+AS113</f>
        <v>0</v>
      </c>
      <c r="AT114" s="108" t="n">
        <f aca="false">AT81+AT112+AT113</f>
        <v>0</v>
      </c>
      <c r="AU114" s="108" t="n">
        <f aca="false">AU81+AU112+AU113</f>
        <v>0</v>
      </c>
      <c r="AV114" s="108" t="n">
        <f aca="false">AV81+AV112+AV113</f>
        <v>0</v>
      </c>
      <c r="AW114" s="108" t="n">
        <f aca="false">AW81+AW112+AW113</f>
        <v>0</v>
      </c>
      <c r="AX114" s="108" t="n">
        <f aca="false">AX81+AX112+AX113</f>
        <v>0</v>
      </c>
      <c r="AY114" s="108" t="n">
        <f aca="false">AY81+AY112+AY113</f>
        <v>0</v>
      </c>
      <c r="AZ114" s="108" t="n">
        <f aca="false">AZ81+AZ112+AZ113</f>
        <v>0</v>
      </c>
      <c r="BA114" s="108" t="n">
        <f aca="false">BA81+BA112+BA113</f>
        <v>0</v>
      </c>
      <c r="BB114" s="108" t="n">
        <f aca="false">BB81+BB112+BB113</f>
        <v>0</v>
      </c>
      <c r="BC114" s="108" t="n">
        <f aca="false">BC81+BC112+BC113</f>
        <v>0</v>
      </c>
      <c r="BD114" s="108" t="n">
        <f aca="false">BD81+BD112+BD113</f>
        <v>0</v>
      </c>
      <c r="BE114" s="108" t="n">
        <f aca="false">BE81+BE112+BE113</f>
        <v>0</v>
      </c>
      <c r="BF114" s="108" t="n">
        <f aca="false">BF81+BF112+BF113</f>
        <v>0</v>
      </c>
      <c r="BG114" s="108" t="n">
        <f aca="false">BG81+BG112+BG113</f>
        <v>0</v>
      </c>
      <c r="BH114" s="108" t="n">
        <f aca="false">BH81+BH112+BH113</f>
        <v>0</v>
      </c>
      <c r="BI114" s="108" t="n">
        <f aca="false">BI81+BI112+BI113</f>
        <v>0</v>
      </c>
      <c r="BJ114" s="108" t="n">
        <f aca="false">BJ81+BJ112+BJ113</f>
        <v>0</v>
      </c>
      <c r="BK114" s="108" t="n">
        <f aca="false">BK81+BK112+BK113</f>
        <v>0</v>
      </c>
      <c r="BL114" s="108" t="n">
        <f aca="false">BL81+BL112+BL113</f>
        <v>0</v>
      </c>
      <c r="BM114" s="108" t="n">
        <f aca="false">BM81+BM112+BM113</f>
        <v>0</v>
      </c>
      <c r="BN114" s="108" t="n">
        <f aca="false">BN81+BN112+BN113</f>
        <v>0</v>
      </c>
      <c r="BO114" s="108" t="n">
        <f aca="false">BO81+BO112+BO113</f>
        <v>0</v>
      </c>
      <c r="BP114" s="108" t="n">
        <f aca="false">BP81+BP112+BP113</f>
        <v>0</v>
      </c>
      <c r="BQ114" s="108" t="n">
        <f aca="false">BQ81+BQ112+BQ113</f>
        <v>0</v>
      </c>
      <c r="BR114" s="108" t="n">
        <f aca="false">BR81+BR112+BR113</f>
        <v>0</v>
      </c>
      <c r="BS114" s="108" t="n">
        <f aca="false">BS81+BS112+BS113</f>
        <v>0</v>
      </c>
      <c r="BT114" s="108" t="n">
        <f aca="false">BT81+BT112+BT113</f>
        <v>0</v>
      </c>
      <c r="BU114" s="108" t="n">
        <f aca="false">BU81+BU112+BU113</f>
        <v>0</v>
      </c>
      <c r="BV114" s="108" t="n">
        <f aca="false">BV81+BV112+BV113</f>
        <v>0</v>
      </c>
      <c r="BW114" s="108" t="n">
        <f aca="false">BW81+BW112+BW113</f>
        <v>0</v>
      </c>
      <c r="BX114" s="108" t="n">
        <f aca="false">BX81+BX112+BX113</f>
        <v>0</v>
      </c>
      <c r="BY114" s="108" t="n">
        <f aca="false">BY81+BY112+BY113</f>
        <v>0</v>
      </c>
      <c r="BZ114" s="108" t="n">
        <f aca="false">BZ81+BZ112+BZ113</f>
        <v>0</v>
      </c>
      <c r="CA114" s="108" t="n">
        <f aca="false">CA81+CA112+CA113</f>
        <v>0</v>
      </c>
      <c r="CB114" s="108" t="n">
        <f aca="false">CB81+CB112+CB113</f>
        <v>0</v>
      </c>
      <c r="CC114" s="108" t="n">
        <f aca="false">CC81+CC112+CC113</f>
        <v>0</v>
      </c>
      <c r="CD114" s="108" t="n">
        <f aca="false">CD81+CD112+CD113</f>
        <v>0</v>
      </c>
      <c r="CE114" s="108" t="n">
        <f aca="false">CE81+CE112+CE113</f>
        <v>0</v>
      </c>
      <c r="CF114" s="108" t="n">
        <f aca="false">CF81+CF112+CF113</f>
        <v>0</v>
      </c>
      <c r="CG114" s="108" t="n">
        <f aca="false">CG81+CG112+CG113</f>
        <v>0</v>
      </c>
      <c r="CH114" s="108" t="n">
        <f aca="false">CH81+CH112+CH113</f>
        <v>0</v>
      </c>
      <c r="CI114" s="108" t="n">
        <f aca="false">CI81+CI112+CI113</f>
        <v>0</v>
      </c>
      <c r="CJ114" s="108" t="n">
        <f aca="false">CJ81+CJ112+CJ113</f>
        <v>0</v>
      </c>
      <c r="CK114" s="108" t="n">
        <f aca="false">CK81+CK112+CK113</f>
        <v>0</v>
      </c>
      <c r="CL114" s="108" t="n">
        <f aca="false">CL81+CL112+CL113</f>
        <v>0</v>
      </c>
      <c r="CM114" s="108" t="n">
        <f aca="false">CM81+CM112+CM113</f>
        <v>0</v>
      </c>
      <c r="CN114" s="108" t="n">
        <f aca="false">CN81+CN112+CN113</f>
        <v>0</v>
      </c>
      <c r="CO114" s="108" t="n">
        <f aca="false">CO81+CO112+CO113</f>
        <v>0</v>
      </c>
      <c r="CP114" s="108" t="n">
        <f aca="false">CP81+CP112+CP113</f>
        <v>0</v>
      </c>
      <c r="CQ114" s="108" t="n">
        <f aca="false">CQ81+CQ112+CQ113</f>
        <v>0</v>
      </c>
      <c r="CR114" s="108" t="n">
        <f aca="false">CR81+CR112+CR113</f>
        <v>0</v>
      </c>
      <c r="CS114" s="108" t="n">
        <f aca="false">CS81+CS112+CS113</f>
        <v>0</v>
      </c>
      <c r="CT114" s="10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354</v>
      </c>
    </row>
    <row r="2" customFormat="false" ht="15" hidden="false" customHeight="true" outlineLevel="0" collapsed="false">
      <c r="A2" s="72" t="s">
        <v>355</v>
      </c>
    </row>
    <row r="3" customFormat="false" ht="15" hidden="false" customHeight="true" outlineLevel="0" collapsed="false">
      <c r="A3" s="110"/>
      <c r="AP3" s="94" t="s">
        <v>356</v>
      </c>
    </row>
    <row r="4" customFormat="false" ht="19.5" hidden="false" customHeight="true" outlineLevel="0" collapsed="false">
      <c r="A4" s="94" t="s">
        <v>357</v>
      </c>
    </row>
    <row r="5" customFormat="false" ht="15" hidden="false" customHeight="true" outlineLevel="0" collapsed="false">
      <c r="A5" s="72" t="s">
        <v>358</v>
      </c>
    </row>
    <row r="6" customFormat="false" ht="15" hidden="false" customHeight="true" outlineLevel="0" collapsed="false">
      <c r="A6" s="111"/>
      <c r="B6" s="111" t="s">
        <v>359</v>
      </c>
      <c r="C6" s="111" t="s">
        <v>360</v>
      </c>
      <c r="D6" s="111" t="s">
        <v>361</v>
      </c>
      <c r="E6" s="111" t="s">
        <v>362</v>
      </c>
      <c r="F6" s="111" t="s">
        <v>363</v>
      </c>
      <c r="G6" s="111" t="s">
        <v>364</v>
      </c>
      <c r="AP6" s="112" t="s">
        <v>365</v>
      </c>
    </row>
    <row r="7" customFormat="false" ht="15" hidden="false" customHeight="true" outlineLevel="0" collapsed="false">
      <c r="A7" s="113" t="s">
        <v>366</v>
      </c>
    </row>
    <row r="8" customFormat="false" ht="15" hidden="false" customHeight="true" outlineLevel="0" collapsed="false">
      <c r="A8" s="110" t="s">
        <v>367</v>
      </c>
      <c r="B8" s="114" t="n">
        <f aca="false">SUM(Budget!$C$81:$N$81)</f>
        <v>647381.91</v>
      </c>
      <c r="C8" s="114" t="n">
        <f aca="false">SUM(Model!$B$261:$M$261)</f>
        <v>615805.64</v>
      </c>
      <c r="D8" s="114" t="n">
        <f aca="false">C8-B8</f>
        <v>-31576.27</v>
      </c>
      <c r="E8" s="114" t="n">
        <f aca="false">AM105</f>
        <v>440167.48</v>
      </c>
      <c r="F8" s="114" t="n">
        <f aca="false">AL105</f>
        <v>762430.64</v>
      </c>
      <c r="G8" s="114" t="n">
        <f aca="false">F8-E8</f>
        <v>322263.16</v>
      </c>
      <c r="AP8" s="115" t="s">
        <v>368</v>
      </c>
    </row>
    <row r="9" customFormat="false" ht="15" hidden="false" customHeight="true" outlineLevel="0" collapsed="false">
      <c r="A9" s="110" t="s">
        <v>369</v>
      </c>
      <c r="B9" s="114" t="n">
        <f aca="false">SUM(Budget!$C$112:$N$112)</f>
        <v>-1657836.78</v>
      </c>
      <c r="C9" s="114" t="n">
        <f aca="false">SUM(Model!$B$292:$M$292)</f>
        <v>-2370106.59333333</v>
      </c>
      <c r="D9" s="114" t="n">
        <f aca="false">C9-B9</f>
        <v>-712269.813333333</v>
      </c>
      <c r="E9" s="114" t="n">
        <f aca="false">AM136</f>
        <v>-1106262.18</v>
      </c>
      <c r="F9" s="114" t="n">
        <f aca="false">AL136</f>
        <v>-1672913.98</v>
      </c>
      <c r="G9" s="114" t="n">
        <f aca="false">F9-E9</f>
        <v>-566651.8</v>
      </c>
      <c r="AP9" s="115" t="s">
        <v>370</v>
      </c>
    </row>
    <row r="10" customFormat="false" ht="15" hidden="false" customHeight="true" outlineLevel="0" collapsed="false">
      <c r="A10" s="116" t="s">
        <v>138</v>
      </c>
      <c r="B10" s="117" t="n">
        <f aca="false">SUM(Budget!$C$114:$N$114)</f>
        <v>-1010454.87</v>
      </c>
      <c r="C10" s="117" t="n">
        <f aca="false">SUM(Model!$B$293:$M$293)</f>
        <v>-1754300.95333333</v>
      </c>
      <c r="D10" s="117" t="n">
        <f aca="false">C10-B10</f>
        <v>-743846.083333333</v>
      </c>
      <c r="E10" s="117" t="n">
        <f aca="false">AM138</f>
        <v>-666094.7</v>
      </c>
      <c r="F10" s="117" t="n">
        <f aca="false">AL138</f>
        <v>-858711.42</v>
      </c>
      <c r="G10" s="117" t="n">
        <f aca="false">F10-E10</f>
        <v>-192616.72</v>
      </c>
      <c r="AP10" s="115" t="s">
        <v>371</v>
      </c>
    </row>
    <row r="11" customFormat="false" ht="15" hidden="false" customHeight="true" outlineLevel="0" collapsed="false">
      <c r="A11" s="113" t="s">
        <v>372</v>
      </c>
    </row>
    <row r="12" customFormat="false" ht="15" hidden="false" customHeight="true" outlineLevel="0" collapsed="false">
      <c r="A12" s="110" t="s">
        <v>373</v>
      </c>
      <c r="B12" s="114" t="n">
        <f aca="false">SUM(Budget!$C$8:$N$11)</f>
        <v>5822291.95</v>
      </c>
      <c r="C12" s="114" t="n">
        <f aca="false">SUM(Model!$B$10:$M$11)</f>
        <v>6490077.19224828</v>
      </c>
      <c r="D12" s="114" t="n">
        <f aca="false">C12-B12</f>
        <v>667785.242248277</v>
      </c>
      <c r="E12" s="114" t="n">
        <f aca="false">SUM(AM32:AM35)</f>
        <v>3570603.48</v>
      </c>
      <c r="F12" s="114" t="n">
        <f aca="false">SUM(AL32:AL35)</f>
        <v>3694895.05</v>
      </c>
      <c r="G12" s="114" t="n">
        <f aca="false">F12-E12</f>
        <v>124291.57</v>
      </c>
      <c r="AP12" s="115" t="s">
        <v>374</v>
      </c>
    </row>
    <row r="13" customFormat="false" ht="15" hidden="false" customHeight="true" outlineLevel="0" collapsed="false">
      <c r="A13" s="110" t="s">
        <v>375</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376</v>
      </c>
    </row>
    <row r="14" customFormat="false" ht="15" hidden="false" customHeight="true" outlineLevel="0" collapsed="false">
      <c r="A14" s="110" t="s">
        <v>377</v>
      </c>
      <c r="B14" s="114" t="n">
        <f aca="false">SUM(Budget!$C$15:$N$16)</f>
        <v>0</v>
      </c>
      <c r="C14" s="114" t="n">
        <f aca="false">SUM(Model!$B$196:$M$196)</f>
        <v>-1069700.04530973</v>
      </c>
      <c r="D14" s="114" t="n">
        <f aca="false">C14-B14</f>
        <v>-1069700.04530973</v>
      </c>
      <c r="E14" s="114" t="n">
        <f aca="false">AM39+AM40</f>
        <v>0</v>
      </c>
      <c r="F14" s="114" t="n">
        <f aca="false">AL39+AL40</f>
        <v>0</v>
      </c>
      <c r="G14" s="114" t="n">
        <f aca="false">F14-E14</f>
        <v>0</v>
      </c>
      <c r="AP14" s="115" t="s">
        <v>378</v>
      </c>
    </row>
    <row r="15" customFormat="false" ht="15" hidden="false" customHeight="true" outlineLevel="0" collapsed="false">
      <c r="A15" s="116" t="s">
        <v>61</v>
      </c>
      <c r="B15" s="117" t="n">
        <f aca="false">SUM(Budget!$C$17:$N$17)</f>
        <v>5822291.95</v>
      </c>
      <c r="C15" s="117" t="n">
        <f aca="false">SUM(Model!$B$199:$M$199)</f>
        <v>6235649.97254232</v>
      </c>
      <c r="D15" s="117" t="n">
        <f aca="false">C15-B15</f>
        <v>413358.022542323</v>
      </c>
      <c r="E15" s="117" t="n">
        <f aca="false">AM41</f>
        <v>3570603.48</v>
      </c>
      <c r="F15" s="117" t="n">
        <f aca="false">AL41</f>
        <v>4643571.59</v>
      </c>
      <c r="G15" s="117" t="n">
        <f aca="false">F15-E15</f>
        <v>1072968.11</v>
      </c>
      <c r="AP15" s="115" t="s">
        <v>379</v>
      </c>
    </row>
    <row r="16" customFormat="false" ht="15" hidden="false" customHeight="true" outlineLevel="0" collapsed="false">
      <c r="A16" s="110" t="s">
        <v>380</v>
      </c>
      <c r="B16" s="114" t="n">
        <f aca="false">SUM(Budget!$C$55:$N$55)</f>
        <v>-3863881.5</v>
      </c>
      <c r="C16" s="114" t="n">
        <f aca="false">SUM(Model!$B$236:$M$236)</f>
        <v>-4071730.31</v>
      </c>
      <c r="D16" s="114" t="n">
        <f aca="false">C16-B16</f>
        <v>-207848.81</v>
      </c>
      <c r="E16" s="114" t="n">
        <f aca="false">AM79</f>
        <v>-2574621.7</v>
      </c>
      <c r="F16" s="114" t="n">
        <f aca="false">AL79</f>
        <v>-2414322.82</v>
      </c>
      <c r="G16" s="114" t="n">
        <f aca="false">F16-E16</f>
        <v>160298.88</v>
      </c>
      <c r="AP16" s="115" t="s">
        <v>381</v>
      </c>
    </row>
    <row r="17" customFormat="false" ht="15" hidden="false" customHeight="true" outlineLevel="0" collapsed="false">
      <c r="A17" s="116" t="s">
        <v>98</v>
      </c>
      <c r="B17" s="117" t="n">
        <f aca="false">SUM(Budget!$C$57:$N$57)</f>
        <v>1958410.45</v>
      </c>
      <c r="C17" s="117" t="n">
        <f aca="false">SUM(Model!$B$237:$M$237)</f>
        <v>2163919.66254232</v>
      </c>
      <c r="D17" s="117" t="n">
        <f aca="false">C17-B17</f>
        <v>205509.212542323</v>
      </c>
      <c r="E17" s="117" t="n">
        <f aca="false">AM81</f>
        <v>995981.78</v>
      </c>
      <c r="F17" s="117" t="n">
        <f aca="false">AL81</f>
        <v>2229248.77</v>
      </c>
      <c r="G17" s="117" t="n">
        <f aca="false">F17-E17</f>
        <v>1233266.99</v>
      </c>
      <c r="AP17" s="115" t="s">
        <v>382</v>
      </c>
    </row>
    <row r="18" customFormat="false" ht="15" hidden="false" customHeight="true" outlineLevel="0" collapsed="false">
      <c r="A18" s="118" t="s">
        <v>383</v>
      </c>
      <c r="B18" s="119" t="n">
        <f aca="false">B10+B17</f>
        <v>947955.58</v>
      </c>
      <c r="C18" s="119" t="n">
        <f aca="false">SUM(Model!$B$302:$M$302)</f>
        <v>409618.70920899</v>
      </c>
      <c r="D18" s="119" t="n">
        <f aca="false">C18-B18</f>
        <v>-538336.87079101</v>
      </c>
      <c r="E18" s="119" t="n">
        <f aca="false">E10+E17</f>
        <v>329887.08</v>
      </c>
      <c r="F18" s="119" t="n">
        <f aca="false">AL141</f>
        <v>1370537.35</v>
      </c>
      <c r="G18" s="119" t="n">
        <f aca="false">F18-E18</f>
        <v>1040650.27</v>
      </c>
      <c r="AP18" s="115" t="s">
        <v>384</v>
      </c>
    </row>
    <row r="19" customFormat="false" ht="15" hidden="false" customHeight="true" outlineLevel="0" collapsed="false">
      <c r="A19" s="110" t="s">
        <v>385</v>
      </c>
      <c r="C19" s="114" t="n">
        <f aca="false">AL141</f>
        <v>1370537.35</v>
      </c>
    </row>
    <row r="20" customFormat="false" ht="15" hidden="false" customHeight="true" outlineLevel="0" collapsed="false">
      <c r="A20" s="110" t="s">
        <v>386</v>
      </c>
      <c r="C20" s="114" t="n">
        <f aca="false">SUM(Model!$B$259:$M$259)</f>
        <v>-299000</v>
      </c>
    </row>
    <row r="21" customFormat="false" ht="15" hidden="false" customHeight="true" outlineLevel="0" collapsed="false">
      <c r="A21" s="110" t="s">
        <v>387</v>
      </c>
      <c r="C21" s="114" t="n">
        <f aca="false">C18-C19-C20</f>
        <v>-661918.640791012</v>
      </c>
    </row>
    <row r="22" customFormat="false" ht="15" hidden="false" customHeight="true" outlineLevel="0" collapsed="false">
      <c r="A22" s="72" t="s">
        <v>388</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389</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390</v>
      </c>
      <c r="AM28" s="111"/>
      <c r="AN28" s="111"/>
    </row>
    <row r="29" customFormat="false" ht="15" hidden="false" customHeight="true" outlineLevel="0" collapsed="false">
      <c r="A29" s="111" t="s">
        <v>391</v>
      </c>
      <c r="B29" s="111" t="s">
        <v>392</v>
      </c>
      <c r="C29" s="111" t="s">
        <v>393</v>
      </c>
      <c r="D29" s="111" t="s">
        <v>361</v>
      </c>
      <c r="E29" s="111" t="s">
        <v>392</v>
      </c>
      <c r="F29" s="111" t="s">
        <v>393</v>
      </c>
      <c r="G29" s="111" t="s">
        <v>361</v>
      </c>
      <c r="H29" s="111" t="s">
        <v>392</v>
      </c>
      <c r="I29" s="111" t="s">
        <v>393</v>
      </c>
      <c r="J29" s="111" t="s">
        <v>361</v>
      </c>
      <c r="K29" s="111" t="s">
        <v>392</v>
      </c>
      <c r="L29" s="111" t="s">
        <v>393</v>
      </c>
      <c r="M29" s="111" t="s">
        <v>361</v>
      </c>
      <c r="N29" s="111" t="s">
        <v>392</v>
      </c>
      <c r="O29" s="111" t="s">
        <v>393</v>
      </c>
      <c r="P29" s="111" t="s">
        <v>361</v>
      </c>
      <c r="Q29" s="111" t="s">
        <v>392</v>
      </c>
      <c r="R29" s="111" t="s">
        <v>393</v>
      </c>
      <c r="S29" s="111" t="s">
        <v>361</v>
      </c>
      <c r="T29" s="111" t="s">
        <v>392</v>
      </c>
      <c r="U29" s="111" t="s">
        <v>393</v>
      </c>
      <c r="V29" s="111" t="s">
        <v>361</v>
      </c>
      <c r="W29" s="111" t="s">
        <v>392</v>
      </c>
      <c r="X29" s="111" t="s">
        <v>393</v>
      </c>
      <c r="Y29" s="111" t="s">
        <v>361</v>
      </c>
      <c r="Z29" s="111" t="s">
        <v>392</v>
      </c>
      <c r="AA29" s="111" t="s">
        <v>393</v>
      </c>
      <c r="AB29" s="111" t="s">
        <v>361</v>
      </c>
      <c r="AC29" s="111" t="s">
        <v>392</v>
      </c>
      <c r="AD29" s="111" t="s">
        <v>393</v>
      </c>
      <c r="AE29" s="111" t="s">
        <v>361</v>
      </c>
      <c r="AF29" s="111" t="s">
        <v>392</v>
      </c>
      <c r="AG29" s="111" t="s">
        <v>393</v>
      </c>
      <c r="AH29" s="111" t="s">
        <v>361</v>
      </c>
      <c r="AI29" s="111" t="s">
        <v>392</v>
      </c>
      <c r="AJ29" s="111" t="s">
        <v>393</v>
      </c>
      <c r="AK29" s="111" t="s">
        <v>361</v>
      </c>
      <c r="AL29" s="111" t="s">
        <v>392</v>
      </c>
      <c r="AM29" s="111" t="s">
        <v>393</v>
      </c>
      <c r="AN29" s="111" t="s">
        <v>361</v>
      </c>
      <c r="AP29" s="112" t="s">
        <v>394</v>
      </c>
    </row>
    <row r="31" customFormat="false" ht="15" hidden="false" customHeight="true" outlineLevel="0" collapsed="false">
      <c r="A31" s="113" t="s">
        <v>395</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396</v>
      </c>
    </row>
    <row r="33" customFormat="false" ht="15" hidden="false" customHeight="true" outlineLevel="0" collapsed="false">
      <c r="A33" s="110" t="s">
        <v>343</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397</v>
      </c>
    </row>
    <row r="35" customFormat="false" ht="15" hidden="false" customHeight="true" outlineLevel="0" collapsed="false">
      <c r="A35" s="110" t="s">
        <v>344</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398</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399</v>
      </c>
    </row>
    <row r="38" customFormat="false" ht="15" hidden="false" customHeight="true" outlineLevel="0" collapsed="false">
      <c r="A38" s="110" t="s">
        <v>345</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400</v>
      </c>
    </row>
    <row r="39" customFormat="false" ht="15" hidden="false" customHeight="true" outlineLevel="0" collapsed="false">
      <c r="A39" s="110" t="s">
        <v>401</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402</v>
      </c>
    </row>
    <row r="40" customFormat="false" ht="15" hidden="false" customHeight="true" outlineLevel="0" collapsed="false">
      <c r="A40" s="110" t="s">
        <v>403</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404</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405</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tru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406</v>
      </c>
    </row>
    <row r="46" customFormat="false" ht="15" hidden="tru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407</v>
      </c>
    </row>
    <row r="47" customFormat="false" ht="15" hidden="tru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408</v>
      </c>
    </row>
    <row r="48" customFormat="false" ht="15" hidden="tru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409</v>
      </c>
    </row>
    <row r="49" customFormat="false" ht="15" hidden="tru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tru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tru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410</v>
      </c>
    </row>
    <row r="52" customFormat="false" ht="15" hidden="tru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411</v>
      </c>
    </row>
    <row r="53" customFormat="false" ht="15" hidden="tru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412</v>
      </c>
    </row>
    <row r="54" customFormat="false" ht="15" hidden="tru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413</v>
      </c>
    </row>
    <row r="55" customFormat="false" ht="15" hidden="tru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tru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414</v>
      </c>
    </row>
    <row r="57" customFormat="false" ht="15" hidden="tru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415</v>
      </c>
    </row>
    <row r="58" customFormat="false" ht="15" hidden="tru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tru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tru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tru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416</v>
      </c>
    </row>
    <row r="62" customFormat="false" ht="15" hidden="tru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tru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tru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417</v>
      </c>
    </row>
    <row r="65" customFormat="false" ht="15" hidden="tru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418</v>
      </c>
    </row>
    <row r="66" customFormat="false" ht="15" hidden="tru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tru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tru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tru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419</v>
      </c>
    </row>
    <row r="70" customFormat="false" ht="15" hidden="tru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tru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tru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420</v>
      </c>
    </row>
    <row r="73" customFormat="false" ht="15" hidden="tru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421</v>
      </c>
    </row>
    <row r="74" customFormat="false" ht="15" hidden="tru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tru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tru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tru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422</v>
      </c>
    </row>
    <row r="78" customFormat="false" ht="15" hidden="true" customHeight="true" outlineLevel="1" collapsed="false">
      <c r="A78" s="110" t="s">
        <v>348</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tru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423</v>
      </c>
    </row>
    <row r="81" customFormat="false" ht="15" hidden="false" customHeight="true" outlineLevel="0" collapsed="false">
      <c r="A81" s="116" t="s">
        <v>98</v>
      </c>
      <c r="B81" s="119" t="n">
        <f aca="false">IF(OR(1&gt;$B$27,ISBLANK(Actuals!C57)),"",Actuals!C57)</f>
        <v>-41844.6399999999</v>
      </c>
      <c r="C81" s="119" t="n">
        <f aca="false">Budget!C57</f>
        <v>2594.59</v>
      </c>
      <c r="D81" s="119" t="n">
        <f aca="false">IF(B81="","",B81-C81)</f>
        <v>-44439.2299999999</v>
      </c>
      <c r="E81" s="119" t="n">
        <f aca="false">IF(OR(2&gt;$B$27,ISBLANK(Actuals!D57)),"",Actuals!D57)</f>
        <v>-311309.31</v>
      </c>
      <c r="F81" s="119" t="n">
        <f aca="false">Budget!D57</f>
        <v>17839.25</v>
      </c>
      <c r="G81" s="119" t="n">
        <f aca="false">IF(E81="","",E81-F81)</f>
        <v>-329148.56</v>
      </c>
      <c r="H81" s="119" t="n">
        <f aca="false">IF(OR(3&gt;$B$27,ISBLANK(Actuals!E57)),"",Actuals!E57)</f>
        <v>242246.78</v>
      </c>
      <c r="I81" s="119" t="n">
        <f aca="false">Budget!E57</f>
        <v>33014.66</v>
      </c>
      <c r="J81" s="119" t="n">
        <f aca="false">IF(H81="","",H81-I81)</f>
        <v>209232.12</v>
      </c>
      <c r="K81" s="119" t="n">
        <f aca="false">IF(OR(4&gt;$B$27,ISBLANK(Actuals!F57)),"",Actuals!F57)</f>
        <v>373926.69</v>
      </c>
      <c r="L81" s="119" t="n">
        <f aca="false">Budget!F57</f>
        <v>47517.06</v>
      </c>
      <c r="M81" s="119" t="n">
        <f aca="false">IF(K81="","",K81-L81)</f>
        <v>326409.63</v>
      </c>
      <c r="N81" s="119" t="n">
        <f aca="false">IF(OR(5&gt;$B$27,ISBLANK(Actuals!G57)),"",Actuals!G57)</f>
        <v>27621.8499999997</v>
      </c>
      <c r="O81" s="119" t="n">
        <f aca="false">Budget!G57</f>
        <v>201677.25</v>
      </c>
      <c r="P81" s="119" t="n">
        <f aca="false">IF(N81="","",N81-O81)</f>
        <v>-174055.4</v>
      </c>
      <c r="Q81" s="119" t="n">
        <f aca="false">IF(OR(6&gt;$B$27,ISBLANK(Actuals!H57)),"",Actuals!H57)</f>
        <v>317897.240000001</v>
      </c>
      <c r="R81" s="119" t="n">
        <f aca="false">Budget!H57</f>
        <v>218352.83</v>
      </c>
      <c r="S81" s="119" t="n">
        <f aca="false">IF(Q81="","",Q81-R81)</f>
        <v>99544.4100000008</v>
      </c>
      <c r="T81" s="119" t="n">
        <f aca="false">IF(OR(7&gt;$B$27,ISBLANK(Actuals!I57)),"",Actuals!I57)</f>
        <v>1445137.94</v>
      </c>
      <c r="U81" s="119" t="n">
        <f aca="false">Budget!I57</f>
        <v>231937</v>
      </c>
      <c r="V81" s="119" t="n">
        <f aca="false">IF(T81="","",T81-U81)</f>
        <v>1213200.94</v>
      </c>
      <c r="W81" s="119" t="n">
        <f aca="false">IF(OR(8&gt;$B$27,ISBLANK(Actuals!J57)),"",Actuals!J57)</f>
        <v>175572.22</v>
      </c>
      <c r="X81" s="119" t="n">
        <f aca="false">Budget!J57</f>
        <v>243049.14</v>
      </c>
      <c r="Y81" s="119" t="n">
        <f aca="false">IF(W81="","",W81-X81)</f>
        <v>-67476.9200000003</v>
      </c>
      <c r="Z81" s="119" t="str">
        <f aca="false">IF(OR(9&gt;$B$27,ISBLANK(Actuals!K57)),"",Actuals!K57)</f>
        <v/>
      </c>
      <c r="AA81" s="119" t="n">
        <f aca="false">Budget!K57</f>
        <v>250508.5</v>
      </c>
      <c r="AB81" s="119" t="str">
        <f aca="false">IF(Z81="","",Z81-AA81)</f>
        <v/>
      </c>
      <c r="AC81" s="119" t="str">
        <f aca="false">IF(OR(10&gt;$B$27,ISBLANK(Actuals!L57)),"",Actuals!L57)</f>
        <v/>
      </c>
      <c r="AD81" s="119" t="n">
        <f aca="false">Budget!L57</f>
        <v>253989.43</v>
      </c>
      <c r="AE81" s="119" t="str">
        <f aca="false">IF(AC81="","",AC81-AD81)</f>
        <v/>
      </c>
      <c r="AF81" s="119" t="str">
        <f aca="false">IF(OR(11&gt;$B$27,ISBLANK(Actuals!M57)),"",Actuals!M57)</f>
        <v/>
      </c>
      <c r="AG81" s="119" t="n">
        <f aca="false">Budget!M57</f>
        <v>253406.53</v>
      </c>
      <c r="AH81" s="119" t="str">
        <f aca="false">IF(AF81="","",AF81-AG81)</f>
        <v/>
      </c>
      <c r="AI81" s="119" t="str">
        <f aca="false">IF(OR(12&gt;$B$27,ISBLANK(Actuals!N57)),"",Actuals!N57)</f>
        <v/>
      </c>
      <c r="AJ81" s="119" t="n">
        <f aca="false">Budget!N57</f>
        <v>204524.21</v>
      </c>
      <c r="AK81" s="119" t="str">
        <f aca="false">IF(AI81="","",AI81-AJ81)</f>
        <v/>
      </c>
      <c r="AL81" s="119" t="n">
        <f aca="false">SUM(Actuals!$C57:INDEX(Actuals!$C57:$N57,$B$27))</f>
        <v>2229248.77</v>
      </c>
      <c r="AM81" s="119" t="n">
        <f aca="false">SUM(Budget!$C57:INDEX(Budget!$C57:$N57,$B$27))</f>
        <v>995981.78</v>
      </c>
      <c r="AN81" s="119" t="n">
        <f aca="false">AL81-AM81</f>
        <v>1233266.99</v>
      </c>
      <c r="AP81" s="115" t="s">
        <v>424</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425</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426</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23906.25</v>
      </c>
      <c r="X89" s="114" t="n">
        <f aca="false">Budget!J65</f>
        <v>36538.46</v>
      </c>
      <c r="Y89" s="114" t="n">
        <f aca="false">IF(W89="","",W89-X89)</f>
        <v>-12632.21</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191250</v>
      </c>
      <c r="AM89" s="117" t="n">
        <f aca="false">SUM(Budget!$C65:INDEX(Budget!$C65:$N65,$B$27))</f>
        <v>292307.68</v>
      </c>
      <c r="AN89" s="117" t="n">
        <f aca="false">AL89-AM89</f>
        <v>-101057.68</v>
      </c>
      <c r="AP89" s="115" t="s">
        <v>427</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9375</v>
      </c>
      <c r="X93" s="114" t="n">
        <f aca="false">Budget!J69</f>
        <v>10227.27</v>
      </c>
      <c r="Y93" s="114" t="n">
        <f aca="false">IF(W93="","",W93-X93)</f>
        <v>-852.27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75000</v>
      </c>
      <c r="AM93" s="117" t="n">
        <f aca="false">SUM(Budget!$C69:INDEX(Budget!$C69:$N69,$B$27))</f>
        <v>81818.16</v>
      </c>
      <c r="AN93" s="117" t="n">
        <f aca="false">AL93-AM93</f>
        <v>-6818.16</v>
      </c>
      <c r="AP93" s="115" t="s">
        <v>428</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429</v>
      </c>
    </row>
    <row r="95" customFormat="false" ht="15" hidden="true" customHeight="true" outlineLevel="1" collapsed="false">
      <c r="A95" s="110" t="s">
        <v>349</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350</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351</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352</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430</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117</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180628.58</v>
      </c>
      <c r="X105" s="117" t="n">
        <f aca="false">Budget!J81</f>
        <v>59474.06</v>
      </c>
      <c r="Y105" s="117" t="n">
        <f aca="false">IF(W105="","",W105-X105)</f>
        <v>121154.52</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762430.64</v>
      </c>
      <c r="AM105" s="117" t="n">
        <f aca="false">SUM(Budget!$C81:INDEX(Budget!$C81:$N81,$B$27))</f>
        <v>440167.48</v>
      </c>
      <c r="AN105" s="117" t="n">
        <f aca="false">AL105-AM105</f>
        <v>322263.16</v>
      </c>
      <c r="AP105" s="115" t="s">
        <v>431</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432</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433</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434</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435</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436</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437</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438</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439</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440</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441</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442</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443</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444</v>
      </c>
    </row>
    <row r="137" customFormat="false" ht="15" hidden="false" customHeight="true" outlineLevel="0" collapsed="false">
      <c r="A137" s="110" t="s">
        <v>353</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445</v>
      </c>
    </row>
    <row r="138" customFormat="false" ht="15" hidden="false" customHeight="true" outlineLevel="0" collapsed="false">
      <c r="A138" s="116" t="s">
        <v>138</v>
      </c>
      <c r="B138" s="119" t="n">
        <f aca="false">IF(OR(1&gt;$B$27,ISBLANK(Actuals!C114)),"",Actuals!C114)</f>
        <v>-164713.14</v>
      </c>
      <c r="C138" s="119" t="n">
        <f aca="false">Budget!C114</f>
        <v>-90813.42</v>
      </c>
      <c r="D138" s="119" t="n">
        <f aca="false">IF(B138="","",B138-C138)</f>
        <v>-73899.72</v>
      </c>
      <c r="E138" s="119" t="n">
        <f aca="false">IF(OR(2&gt;$B$27,ISBLANK(Actuals!D114)),"",Actuals!D114)</f>
        <v>-158387.42</v>
      </c>
      <c r="F138" s="119" t="n">
        <f aca="false">Budget!D114</f>
        <v>-90813.42</v>
      </c>
      <c r="G138" s="119" t="n">
        <f aca="false">IF(E138="","",E138-F138)</f>
        <v>-67574</v>
      </c>
      <c r="H138" s="119" t="n">
        <f aca="false">IF(OR(3&gt;$B$27,ISBLANK(Actuals!E114)),"",Actuals!E114)</f>
        <v>-220909.52</v>
      </c>
      <c r="I138" s="119" t="n">
        <f aca="false">Budget!E114</f>
        <v>-90813.42</v>
      </c>
      <c r="J138" s="119" t="n">
        <f aca="false">IF(H138="","",H138-I138)</f>
        <v>-130096.1</v>
      </c>
      <c r="K138" s="119" t="n">
        <f aca="false">IF(OR(4&gt;$B$27,ISBLANK(Actuals!F114)),"",Actuals!F114)</f>
        <v>-161790.14</v>
      </c>
      <c r="L138" s="119" t="n">
        <f aca="false">Budget!F114</f>
        <v>-78938.42</v>
      </c>
      <c r="M138" s="119" t="n">
        <f aca="false">IF(K138="","",K138-L138)</f>
        <v>-82851.72</v>
      </c>
      <c r="N138" s="119" t="n">
        <f aca="false">IF(OR(5&gt;$B$27,ISBLANK(Actuals!G114)),"",Actuals!G114)</f>
        <v>-215914.94</v>
      </c>
      <c r="O138" s="119" t="n">
        <f aca="false">Budget!G114</f>
        <v>-78938.42</v>
      </c>
      <c r="P138" s="119" t="n">
        <f aca="false">IF(N138="","",N138-O138)</f>
        <v>-136976.52</v>
      </c>
      <c r="Q138" s="119" t="n">
        <f aca="false">IF(OR(6&gt;$B$27,ISBLANK(Actuals!H114)),"",Actuals!H114)</f>
        <v>185173.79</v>
      </c>
      <c r="R138" s="119" t="n">
        <f aca="false">Budget!H114</f>
        <v>-78938.42</v>
      </c>
      <c r="S138" s="119" t="n">
        <f aca="false">IF(Q138="","",Q138-R138)</f>
        <v>264112.21</v>
      </c>
      <c r="T138" s="119" t="n">
        <f aca="false">IF(OR(7&gt;$B$27,ISBLANK(Actuals!I114)),"",Actuals!I114)</f>
        <v>-118383.36</v>
      </c>
      <c r="U138" s="119" t="n">
        <f aca="false">Budget!I114</f>
        <v>-78419.59</v>
      </c>
      <c r="V138" s="119" t="n">
        <f aca="false">IF(T138="","",T138-U138)</f>
        <v>-39963.77</v>
      </c>
      <c r="W138" s="119" t="n">
        <f aca="false">IF(OR(8&gt;$B$27,ISBLANK(Actuals!J114)),"",Actuals!J114)</f>
        <v>-3786.69</v>
      </c>
      <c r="X138" s="119" t="n">
        <f aca="false">Budget!J114</f>
        <v>-78419.59</v>
      </c>
      <c r="Y138" s="119" t="n">
        <f aca="false">IF(W138="","",W138-X138)</f>
        <v>74632.9</v>
      </c>
      <c r="Z138" s="119" t="str">
        <f aca="false">IF(OR(9&gt;$B$27,ISBLANK(Actuals!K114)),"",Actuals!K114)</f>
        <v/>
      </c>
      <c r="AA138" s="119" t="n">
        <f aca="false">Budget!K114</f>
        <v>-78419.59</v>
      </c>
      <c r="AB138" s="119" t="str">
        <f aca="false">IF(Z138="","",Z138-AA138)</f>
        <v/>
      </c>
      <c r="AC138" s="119" t="str">
        <f aca="false">IF(OR(10&gt;$B$27,ISBLANK(Actuals!L114)),"",Actuals!L114)</f>
        <v/>
      </c>
      <c r="AD138" s="119" t="n">
        <f aca="false">Budget!L114</f>
        <v>-88646.86</v>
      </c>
      <c r="AE138" s="119" t="str">
        <f aca="false">IF(AC138="","",AC138-AD138)</f>
        <v/>
      </c>
      <c r="AF138" s="119" t="str">
        <f aca="false">IF(OR(11&gt;$B$27,ISBLANK(Actuals!M114)),"",Actuals!M114)</f>
        <v/>
      </c>
      <c r="AG138" s="119" t="n">
        <f aca="false">Budget!M114</f>
        <v>-88646.86</v>
      </c>
      <c r="AH138" s="119" t="str">
        <f aca="false">IF(AF138="","",AF138-AG138)</f>
        <v/>
      </c>
      <c r="AI138" s="119" t="str">
        <f aca="false">IF(OR(12&gt;$B$27,ISBLANK(Actuals!N114)),"",Actuals!N114)</f>
        <v/>
      </c>
      <c r="AJ138" s="119" t="n">
        <f aca="false">Budget!N114</f>
        <v>-88646.86</v>
      </c>
      <c r="AK138" s="119" t="str">
        <f aca="false">IF(AI138="","",AI138-AJ138)</f>
        <v/>
      </c>
      <c r="AL138" s="119" t="n">
        <f aca="false">SUM(Actuals!$C114:INDEX(Actuals!$C114:$N114,$B$27))</f>
        <v>-858711.42</v>
      </c>
      <c r="AM138" s="119" t="n">
        <f aca="false">SUM(Budget!$C114:INDEX(Budget!$C114:$N114,$B$27))</f>
        <v>-666094.7</v>
      </c>
      <c r="AN138" s="119" t="n">
        <f aca="false">AL138-AM138</f>
        <v>-192616.72</v>
      </c>
      <c r="AP138" s="115" t="s">
        <v>446</v>
      </c>
    </row>
    <row r="140" customFormat="false" ht="15" hidden="false" customHeight="true" outlineLevel="0" collapsed="false">
      <c r="A140" s="113" t="s">
        <v>447</v>
      </c>
    </row>
    <row r="141" customFormat="false" ht="15" hidden="false" customHeight="true" outlineLevel="0" collapsed="false">
      <c r="A141" s="110" t="s">
        <v>448</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171785.53</v>
      </c>
      <c r="X141" s="117" t="n">
        <f aca="false">X81+X138</f>
        <v>164629.55</v>
      </c>
      <c r="Y141" s="117" t="n">
        <f aca="false">IF(W141="","",W141-X141)</f>
        <v>7155.97999999966</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1370537.35</v>
      </c>
      <c r="AM141" s="117" t="n">
        <f aca="false">AM81+AM138</f>
        <v>329887.08</v>
      </c>
      <c r="AN141" s="117" t="n">
        <f aca="false">AL141-AM141</f>
        <v>1040650.27</v>
      </c>
      <c r="AP141" s="115" t="s">
        <v>449</v>
      </c>
    </row>
    <row r="142" customFormat="false" ht="15" hidden="false" customHeight="true" outlineLevel="0" collapsed="false">
      <c r="A142" s="123" t="s">
        <v>450</v>
      </c>
      <c r="B142" s="114" t="n">
        <f aca="false">IF(B141="","",Model!B302-B141)</f>
        <v>0</v>
      </c>
      <c r="C142" s="114" t="s">
        <v>451</v>
      </c>
      <c r="D142" s="114" t="n">
        <f aca="false">IF(B142="","",B142-C142)</f>
        <v>0</v>
      </c>
      <c r="E142" s="114" t="n">
        <f aca="false">IF(E141="","",Model!C302-E141)</f>
        <v>0</v>
      </c>
      <c r="F142" s="114" t="s">
        <v>451</v>
      </c>
      <c r="G142" s="114" t="n">
        <f aca="false">IF(E142="","",E142-F142)</f>
        <v>0</v>
      </c>
      <c r="H142" s="114" t="n">
        <f aca="false">IF(H141="","",Model!D302-H141)</f>
        <v>-2.3283064365387E-010</v>
      </c>
      <c r="I142" s="114" t="s">
        <v>451</v>
      </c>
      <c r="J142" s="114" t="n">
        <f aca="false">IF(H142="","",H142-I142)</f>
        <v>-2.3283064365387E-010</v>
      </c>
      <c r="K142" s="114" t="n">
        <f aca="false">IF(K141="","",Model!E302-K141)</f>
        <v>0</v>
      </c>
      <c r="L142" s="114" t="s">
        <v>451</v>
      </c>
      <c r="M142" s="114" t="n">
        <f aca="false">IF(K142="","",K142-L142)</f>
        <v>0</v>
      </c>
      <c r="N142" s="114" t="n">
        <f aca="false">IF(N141="","",Model!F302-N141)</f>
        <v>0</v>
      </c>
      <c r="O142" s="114" t="s">
        <v>451</v>
      </c>
      <c r="P142" s="114" t="n">
        <f aca="false">IF(N142="","",N142-O142)</f>
        <v>0</v>
      </c>
      <c r="Q142" s="114" t="n">
        <f aca="false">IF(Q141="","",Model!G302-Q141)</f>
        <v>-299000.000000001</v>
      </c>
      <c r="R142" s="114" t="s">
        <v>451</v>
      </c>
      <c r="S142" s="114" t="n">
        <f aca="false">IF(Q142="","",Q142-R142)</f>
        <v>-299000.000000001</v>
      </c>
      <c r="T142" s="114" t="n">
        <f aca="false">IF(T141="","",Model!H302-T141)</f>
        <v>0</v>
      </c>
      <c r="U142" s="114" t="s">
        <v>451</v>
      </c>
      <c r="V142" s="114" t="n">
        <f aca="false">IF(T142="","",T142-U142)</f>
        <v>0</v>
      </c>
      <c r="W142" s="114" t="n">
        <f aca="false">IF(W141="","",Model!I302-W141)</f>
        <v>-692876.895125</v>
      </c>
      <c r="X142" s="114" t="s">
        <v>451</v>
      </c>
      <c r="Y142" s="114" t="n">
        <f aca="false">IF(W142="","",W142-X142)</f>
        <v>-692876.895125</v>
      </c>
      <c r="Z142" s="114" t="str">
        <f aca="false">IF(Z141="","",Model!J302-Z141)</f>
        <v/>
      </c>
      <c r="AA142" s="114" t="s">
        <v>451</v>
      </c>
      <c r="AB142" s="114" t="str">
        <f aca="false">IF(Z142="","",Z142-AA142)</f>
        <v/>
      </c>
      <c r="AC142" s="114" t="str">
        <f aca="false">IF(AC141="","",Model!K302-AC141)</f>
        <v/>
      </c>
      <c r="AD142" s="114" t="s">
        <v>451</v>
      </c>
      <c r="AE142" s="114" t="str">
        <f aca="false">IF(AC142="","",AC142-AD142)</f>
        <v/>
      </c>
      <c r="AF142" s="114" t="str">
        <f aca="false">IF(AF141="","",Model!L302-AF141)</f>
        <v/>
      </c>
      <c r="AG142" s="114" t="s">
        <v>451</v>
      </c>
      <c r="AH142" s="114" t="str">
        <f aca="false">IF(AF142="","",AF142-AG142)</f>
        <v/>
      </c>
      <c r="AI142" s="114" t="str">
        <f aca="false">IF(AI141="","",Model!M302-AI141)</f>
        <v/>
      </c>
      <c r="AJ142" s="114" t="s">
        <v>451</v>
      </c>
      <c r="AK142" s="114" t="str">
        <f aca="false">IF(AI142="","",AI142-AJ142)</f>
        <v/>
      </c>
      <c r="AL142" s="117" t="n">
        <f aca="false">SUM(Model!$B302:INDEX(Model!$B302:$M302,$B$27))-AL141</f>
        <v>-991876.895125001</v>
      </c>
      <c r="AM142" s="117" t="s">
        <v>451</v>
      </c>
      <c r="AN142" s="117" t="n">
        <f aca="false">AL142-AM142</f>
        <v>-991876.895125001</v>
      </c>
      <c r="AP142" s="115" t="s">
        <v>452</v>
      </c>
    </row>
    <row r="143" customFormat="false" ht="15" hidden="false" customHeight="true" outlineLevel="0" collapsed="false">
      <c r="A143" s="118" t="s">
        <v>453</v>
      </c>
      <c r="B143" s="119" t="n">
        <f aca="false">IF(B141="","",B141+B142)</f>
        <v>-206557.78</v>
      </c>
      <c r="C143" s="119" t="n">
        <f aca="false">C141</f>
        <v>-88218.83</v>
      </c>
      <c r="D143" s="119" t="n">
        <f aca="false">IF(B143="","",B143-C143)</f>
        <v>-118338.95</v>
      </c>
      <c r="E143" s="119" t="n">
        <f aca="false">IF(E141="","",E141+E142)</f>
        <v>-469696.73</v>
      </c>
      <c r="F143" s="119" t="n">
        <f aca="false">F141</f>
        <v>-72974.17</v>
      </c>
      <c r="G143" s="119" t="n">
        <f aca="false">IF(E143="","",E143-F143)</f>
        <v>-396722.56</v>
      </c>
      <c r="H143" s="119" t="n">
        <f aca="false">IF(H141="","",H141+H142)</f>
        <v>21337.26</v>
      </c>
      <c r="I143" s="119" t="n">
        <f aca="false">I141</f>
        <v>-57798.76</v>
      </c>
      <c r="J143" s="119" t="n">
        <f aca="false">IF(H143="","",H143-I143)</f>
        <v>79136.02</v>
      </c>
      <c r="K143" s="119" t="n">
        <f aca="false">IF(K141="","",K141+K142)</f>
        <v>212136.55</v>
      </c>
      <c r="L143" s="119" t="n">
        <f aca="false">L141</f>
        <v>-31421.36</v>
      </c>
      <c r="M143" s="119" t="n">
        <f aca="false">IF(K143="","",K143-L143)</f>
        <v>243557.91</v>
      </c>
      <c r="N143" s="119" t="n">
        <f aca="false">IF(N141="","",N141+N142)</f>
        <v>-188293.09</v>
      </c>
      <c r="O143" s="119" t="n">
        <f aca="false">O141</f>
        <v>122738.83</v>
      </c>
      <c r="P143" s="119" t="n">
        <f aca="false">IF(N143="","",N143-O143)</f>
        <v>-311031.92</v>
      </c>
      <c r="Q143" s="119" t="n">
        <f aca="false">IF(Q141="","",Q141+Q142)</f>
        <v>204071.03</v>
      </c>
      <c r="R143" s="119" t="n">
        <f aca="false">R141</f>
        <v>139414.41</v>
      </c>
      <c r="S143" s="119" t="n">
        <f aca="false">IF(Q143="","",Q143-R143)</f>
        <v>64656.6199999999</v>
      </c>
      <c r="T143" s="119" t="n">
        <f aca="false">IF(T141="","",T141+T142)</f>
        <v>1326754.58</v>
      </c>
      <c r="U143" s="119" t="n">
        <f aca="false">U141</f>
        <v>153517.41</v>
      </c>
      <c r="V143" s="119" t="n">
        <f aca="false">IF(T143="","",T143-U143)</f>
        <v>1173237.17</v>
      </c>
      <c r="W143" s="119" t="n">
        <f aca="false">IF(W141="","",W141+W142)</f>
        <v>-521091.365125</v>
      </c>
      <c r="X143" s="119" t="n">
        <f aca="false">X141</f>
        <v>164629.55</v>
      </c>
      <c r="Y143" s="119" t="n">
        <f aca="false">IF(W143="","",W143-X143)</f>
        <v>-685720.915125</v>
      </c>
      <c r="Z143" s="119" t="str">
        <f aca="false">IF(Z141="","",Z141+Z142)</f>
        <v/>
      </c>
      <c r="AA143" s="119" t="n">
        <f aca="false">AA141</f>
        <v>172088.91</v>
      </c>
      <c r="AB143" s="119" t="str">
        <f aca="false">IF(Z143="","",Z143-AA143)</f>
        <v/>
      </c>
      <c r="AC143" s="119" t="str">
        <f aca="false">IF(AC141="","",AC141+AC142)</f>
        <v/>
      </c>
      <c r="AD143" s="119" t="n">
        <f aca="false">AD141</f>
        <v>165342.57</v>
      </c>
      <c r="AE143" s="119" t="str">
        <f aca="false">IF(AC143="","",AC143-AD143)</f>
        <v/>
      </c>
      <c r="AF143" s="119" t="str">
        <f aca="false">IF(AF141="","",AF141+AF142)</f>
        <v/>
      </c>
      <c r="AG143" s="119" t="n">
        <f aca="false">AG141</f>
        <v>164759.67</v>
      </c>
      <c r="AH143" s="119" t="str">
        <f aca="false">IF(AF143="","",AF143-AG143)</f>
        <v/>
      </c>
      <c r="AI143" s="119" t="str">
        <f aca="false">IF(AI141="","",AI141+AI142)</f>
        <v/>
      </c>
      <c r="AJ143" s="119" t="n">
        <f aca="false">AJ141</f>
        <v>115877.35</v>
      </c>
      <c r="AK143" s="119" t="str">
        <f aca="false">IF(AI143="","",AI143-AJ143)</f>
        <v/>
      </c>
      <c r="AL143" s="119" t="n">
        <f aca="false">AL141+AL142</f>
        <v>378660.454875001</v>
      </c>
      <c r="AM143" s="119" t="n">
        <f aca="false">AM141</f>
        <v>329887.08</v>
      </c>
      <c r="AN143" s="119" t="n">
        <f aca="false">AL143-AM143</f>
        <v>48773.3748750011</v>
      </c>
      <c r="AP143" s="115" t="s">
        <v>454</v>
      </c>
    </row>
    <row r="146" customFormat="false" ht="13.5" hidden="false" customHeight="true" outlineLevel="0" collapsed="false">
      <c r="A146" s="94" t="s">
        <v>455</v>
      </c>
    </row>
    <row r="147" customFormat="false" ht="13.5" hidden="false" customHeight="true" outlineLevel="0" collapsed="false">
      <c r="A147" s="72" t="s">
        <v>456</v>
      </c>
    </row>
    <row r="148" customFormat="false" ht="30" hidden="false" customHeight="true" outlineLevel="0" collapsed="false">
      <c r="A148" s="124" t="s">
        <v>457</v>
      </c>
      <c r="B148" s="124" t="s">
        <v>458</v>
      </c>
      <c r="C148" s="124" t="s">
        <v>459</v>
      </c>
      <c r="D148" s="124" t="s">
        <v>361</v>
      </c>
      <c r="E148" s="124" t="s">
        <v>460</v>
      </c>
      <c r="F148" s="124" t="s">
        <v>461</v>
      </c>
      <c r="G148" s="124" t="s">
        <v>361</v>
      </c>
      <c r="H148" s="124" t="s">
        <v>462</v>
      </c>
      <c r="I148" s="124" t="s">
        <v>463</v>
      </c>
      <c r="J148" s="124" t="s">
        <v>464</v>
      </c>
      <c r="K148" s="124" t="s">
        <v>465</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466</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467</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468</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469</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470</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471</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472</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473</v>
      </c>
    </row>
    <row r="157" customFormat="false" ht="13.5" hidden="false" customHeight="true" outlineLevel="0" collapsed="false">
      <c r="A157" s="125" t="s">
        <v>474</v>
      </c>
      <c r="B157" s="126" t="n">
        <v>0</v>
      </c>
      <c r="C157" s="126" t="n">
        <v>0</v>
      </c>
      <c r="D157" s="126" t="n">
        <v>0</v>
      </c>
      <c r="E157" s="126" t="n">
        <v>0</v>
      </c>
      <c r="F157" s="126" t="n">
        <v>0</v>
      </c>
      <c r="G157" s="126" t="n">
        <v>0</v>
      </c>
      <c r="H157" s="126" t="n">
        <v>-200</v>
      </c>
      <c r="I157" s="126" t="n">
        <v>-1966.5</v>
      </c>
      <c r="J157" s="126" t="n">
        <v>-2166.5</v>
      </c>
      <c r="K157" s="125" t="s">
        <v>475</v>
      </c>
    </row>
    <row r="158" customFormat="false" ht="13.5" hidden="false" customHeight="true" outlineLevel="0" collapsed="false">
      <c r="A158" s="94" t="s">
        <v>476</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477</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478</v>
      </c>
    </row>
    <row r="2" customFormat="false" ht="15" hidden="false" customHeight="true" outlineLevel="0" collapsed="false">
      <c r="A2" s="72" t="s">
        <v>479</v>
      </c>
    </row>
    <row r="3" customFormat="false" ht="15" hidden="false" customHeight="true" outlineLevel="0" collapsed="false">
      <c r="A3" s="110"/>
    </row>
    <row r="4" customFormat="false" ht="19.5" hidden="false" customHeight="true" outlineLevel="0" collapsed="false">
      <c r="A4" s="94" t="s">
        <v>480</v>
      </c>
    </row>
    <row r="5" customFormat="false" ht="15" hidden="false" customHeight="true" outlineLevel="0" collapsed="false">
      <c r="A5" s="72" t="s">
        <v>481</v>
      </c>
    </row>
    <row r="6" customFormat="false" ht="15" hidden="false" customHeight="true" outlineLevel="0" collapsed="false">
      <c r="A6" s="111"/>
      <c r="B6" s="111" t="s">
        <v>482</v>
      </c>
      <c r="C6" s="111" t="s">
        <v>360</v>
      </c>
      <c r="D6" s="111" t="s">
        <v>361</v>
      </c>
      <c r="E6" s="111" t="s">
        <v>483</v>
      </c>
      <c r="F6" s="111" t="s">
        <v>363</v>
      </c>
      <c r="G6" s="111" t="s">
        <v>364</v>
      </c>
    </row>
    <row r="7" customFormat="false" ht="15" hidden="false" customHeight="true" outlineLevel="0" collapsed="false">
      <c r="A7" s="113" t="s">
        <v>366</v>
      </c>
    </row>
    <row r="8" customFormat="false" ht="15" hidden="false" customHeight="true" outlineLevel="0" collapsed="false">
      <c r="A8" s="110" t="s">
        <v>367</v>
      </c>
      <c r="B8" s="114" t="n">
        <f aca="false">SUM('Reforecast Q1 2026'!$C$81:$N$81)</f>
        <v>472791.64</v>
      </c>
      <c r="C8" s="114" t="n">
        <f aca="false">SUM(Model!$B$261:$M$261)</f>
        <v>615805.64</v>
      </c>
      <c r="D8" s="114" t="n">
        <f aca="false">C8-B8</f>
        <v>143014</v>
      </c>
      <c r="E8" s="114" t="n">
        <f aca="false">AM105</f>
        <v>320416.64</v>
      </c>
      <c r="F8" s="114" t="n">
        <f aca="false">AL105</f>
        <v>762430.64</v>
      </c>
      <c r="G8" s="114" t="n">
        <f aca="false">F8-E8</f>
        <v>442014</v>
      </c>
    </row>
    <row r="9" customFormat="false" ht="15" hidden="false" customHeight="true" outlineLevel="0" collapsed="false">
      <c r="A9" s="110" t="s">
        <v>369</v>
      </c>
      <c r="B9" s="114" t="n">
        <f aca="false">SUM('Reforecast Q1 2026'!$C$112:$N$112)</f>
        <v>-1331271.005</v>
      </c>
      <c r="C9" s="114" t="n">
        <f aca="false">SUM(Model!$B$292:$M$292)</f>
        <v>-2370106.59333333</v>
      </c>
      <c r="D9" s="114" t="n">
        <f aca="false">C9-B9</f>
        <v>-1038835.58833333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-1754300.95333333</v>
      </c>
      <c r="D10" s="117" t="n">
        <f aca="false">C10-B10</f>
        <v>-895821.588333334</v>
      </c>
      <c r="E10" s="117" t="n">
        <f aca="false">AM138</f>
        <v>-698493.998333333</v>
      </c>
      <c r="F10" s="117" t="n">
        <f aca="false">AL138</f>
        <v>-858711.42</v>
      </c>
      <c r="G10" s="117" t="n">
        <f aca="false">F10-E10</f>
        <v>-160217.421666667</v>
      </c>
    </row>
    <row r="11" customFormat="false" ht="15" hidden="false" customHeight="true" outlineLevel="0" collapsed="false">
      <c r="A11" s="113" t="s">
        <v>372</v>
      </c>
    </row>
    <row r="12" customFormat="false" ht="15" hidden="false" customHeight="true" outlineLevel="0" collapsed="false">
      <c r="A12" s="110" t="s">
        <v>373</v>
      </c>
      <c r="B12" s="114" t="n">
        <f aca="false">SUM('Reforecast Q1 2026'!$C$8:$N$11)</f>
        <v>6567424.1605258</v>
      </c>
      <c r="C12" s="114" t="n">
        <f aca="false">SUM(Model!$B$10:$M$11)</f>
        <v>6490077.19224828</v>
      </c>
      <c r="D12" s="114" t="n">
        <f aca="false">C12-B12</f>
        <v>-77346.9682775214</v>
      </c>
      <c r="E12" s="114" t="n">
        <f aca="false">SUM(AM32:AM35)</f>
        <v>3465673.26807196</v>
      </c>
      <c r="F12" s="114" t="n">
        <f aca="false">SUM(AL32:AL35)</f>
        <v>3694895.05</v>
      </c>
      <c r="G12" s="114" t="n">
        <f aca="false">F12-E12</f>
        <v>229221.781928045</v>
      </c>
    </row>
    <row r="13" customFormat="false" ht="15" hidden="false" customHeight="true" outlineLevel="0" collapsed="false">
      <c r="A13" s="110" t="s">
        <v>375</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377</v>
      </c>
      <c r="B14" s="114" t="n">
        <f aca="false">SUM('Reforecast Q1 2026'!$C$15:$N$16)</f>
        <v>710172.5608</v>
      </c>
      <c r="C14" s="114" t="n">
        <f aca="false">SUM(Model!$B$196:$M$196)</f>
        <v>-1069700.04530973</v>
      </c>
      <c r="D14" s="114" t="n">
        <f aca="false">C14-B14</f>
        <v>-1779872.60610973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6235649.97254232</v>
      </c>
      <c r="D15" s="117" t="n">
        <f aca="false">C15-B15</f>
        <v>-1012223.40843979</v>
      </c>
      <c r="E15" s="117" t="n">
        <f aca="false">AM41</f>
        <v>3760543.63194324</v>
      </c>
      <c r="F15" s="117" t="n">
        <f aca="false">AL41</f>
        <v>4643571.59</v>
      </c>
      <c r="G15" s="117" t="n">
        <f aca="false">F15-E15</f>
        <v>883027.958056767</v>
      </c>
    </row>
    <row r="16" customFormat="false" ht="15" hidden="false" customHeight="true" outlineLevel="0" collapsed="false">
      <c r="A16" s="110" t="s">
        <v>380</v>
      </c>
      <c r="B16" s="114" t="n">
        <f aca="false">SUM('Reforecast Q1 2026'!$C$55:$N$55)</f>
        <v>-5233737.90833333</v>
      </c>
      <c r="C16" s="114" t="n">
        <f aca="false">SUM(Model!$B$236:$M$236)</f>
        <v>-4071730.31</v>
      </c>
      <c r="D16" s="114" t="n">
        <f aca="false">C16-B16</f>
        <v>1162007.59833333</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2163919.66254232</v>
      </c>
      <c r="D17" s="117" t="n">
        <f aca="false">C17-B17</f>
        <v>149784.179549877</v>
      </c>
      <c r="E17" s="117" t="n">
        <f aca="false">AM81</f>
        <v>602042.801205283</v>
      </c>
      <c r="F17" s="117" t="n">
        <f aca="false">AL81</f>
        <v>2229248.77</v>
      </c>
      <c r="G17" s="117" t="n">
        <f aca="false">F17-E17</f>
        <v>1627205.96879472</v>
      </c>
    </row>
    <row r="18" customFormat="false" ht="15" hidden="false" customHeight="true" outlineLevel="0" collapsed="false">
      <c r="A18" s="118" t="s">
        <v>383</v>
      </c>
      <c r="B18" s="119" t="n">
        <f aca="false">B10+B17</f>
        <v>1155656.11799245</v>
      </c>
      <c r="C18" s="119" t="n">
        <f aca="false">SUM(Model!$B$302:$M$302)</f>
        <v>409618.70920899</v>
      </c>
      <c r="D18" s="119" t="n">
        <f aca="false">C18-B18</f>
        <v>-746037.408783457</v>
      </c>
      <c r="E18" s="119" t="n">
        <f aca="false">E10+E17</f>
        <v>-96451.1971280497</v>
      </c>
      <c r="F18" s="119" t="n">
        <f aca="false">AL141</f>
        <v>1370537.35</v>
      </c>
      <c r="G18" s="119" t="n">
        <f aca="false">F18-E18</f>
        <v>1466988.54712805</v>
      </c>
    </row>
    <row r="19" customFormat="false" ht="15" hidden="false" customHeight="true" outlineLevel="0" collapsed="false">
      <c r="A19" s="110" t="s">
        <v>385</v>
      </c>
      <c r="C19" s="114" t="n">
        <f aca="false">AL141</f>
        <v>1370537.35</v>
      </c>
    </row>
    <row r="20" customFormat="false" ht="15" hidden="false" customHeight="true" outlineLevel="0" collapsed="false">
      <c r="A20" s="110" t="s">
        <v>386</v>
      </c>
      <c r="C20" s="114" t="n">
        <f aca="false">SUM(Model!$B$259:$M$259)</f>
        <v>-299000</v>
      </c>
    </row>
    <row r="21" customFormat="false" ht="15" hidden="false" customHeight="true" outlineLevel="0" collapsed="false">
      <c r="A21" s="110" t="s">
        <v>387</v>
      </c>
      <c r="C21" s="114" t="n">
        <f aca="false">C18-C19-C20</f>
        <v>-661918.640791012</v>
      </c>
    </row>
    <row r="22" customFormat="false" ht="15" hidden="false" customHeight="true" outlineLevel="0" collapsed="false">
      <c r="A22" s="72" t="s">
        <v>388</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389</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390</v>
      </c>
      <c r="AM28" s="111"/>
      <c r="AN28" s="111"/>
    </row>
    <row r="29" customFormat="false" ht="15" hidden="false" customHeight="true" outlineLevel="0" collapsed="false">
      <c r="A29" s="111" t="s">
        <v>391</v>
      </c>
      <c r="B29" s="111" t="s">
        <v>392</v>
      </c>
      <c r="C29" s="111" t="s">
        <v>484</v>
      </c>
      <c r="D29" s="111" t="s">
        <v>361</v>
      </c>
      <c r="E29" s="111" t="s">
        <v>392</v>
      </c>
      <c r="F29" s="111" t="s">
        <v>484</v>
      </c>
      <c r="G29" s="111" t="s">
        <v>361</v>
      </c>
      <c r="H29" s="111" t="s">
        <v>392</v>
      </c>
      <c r="I29" s="111" t="s">
        <v>484</v>
      </c>
      <c r="J29" s="111" t="s">
        <v>361</v>
      </c>
      <c r="K29" s="111" t="s">
        <v>392</v>
      </c>
      <c r="L29" s="111" t="s">
        <v>484</v>
      </c>
      <c r="M29" s="111" t="s">
        <v>361</v>
      </c>
      <c r="N29" s="111" t="s">
        <v>392</v>
      </c>
      <c r="O29" s="111" t="s">
        <v>484</v>
      </c>
      <c r="P29" s="111" t="s">
        <v>361</v>
      </c>
      <c r="Q29" s="111" t="s">
        <v>392</v>
      </c>
      <c r="R29" s="111" t="s">
        <v>484</v>
      </c>
      <c r="S29" s="111" t="s">
        <v>361</v>
      </c>
      <c r="T29" s="111" t="s">
        <v>392</v>
      </c>
      <c r="U29" s="111" t="s">
        <v>484</v>
      </c>
      <c r="V29" s="111" t="s">
        <v>361</v>
      </c>
      <c r="W29" s="111" t="s">
        <v>392</v>
      </c>
      <c r="X29" s="111" t="s">
        <v>484</v>
      </c>
      <c r="Y29" s="111" t="s">
        <v>361</v>
      </c>
      <c r="Z29" s="111" t="s">
        <v>392</v>
      </c>
      <c r="AA29" s="111" t="s">
        <v>484</v>
      </c>
      <c r="AB29" s="111" t="s">
        <v>361</v>
      </c>
      <c r="AC29" s="111" t="s">
        <v>392</v>
      </c>
      <c r="AD29" s="111" t="s">
        <v>484</v>
      </c>
      <c r="AE29" s="111" t="s">
        <v>361</v>
      </c>
      <c r="AF29" s="111" t="s">
        <v>392</v>
      </c>
      <c r="AG29" s="111" t="s">
        <v>484</v>
      </c>
      <c r="AH29" s="111" t="s">
        <v>361</v>
      </c>
      <c r="AI29" s="111" t="s">
        <v>392</v>
      </c>
      <c r="AJ29" s="111" t="s">
        <v>484</v>
      </c>
      <c r="AK29" s="111" t="s">
        <v>361</v>
      </c>
      <c r="AL29" s="111" t="s">
        <v>392</v>
      </c>
      <c r="AM29" s="111" t="s">
        <v>484</v>
      </c>
      <c r="AN29" s="111" t="s">
        <v>361</v>
      </c>
    </row>
    <row r="31" customFormat="false" ht="15" hidden="false" customHeight="true" outlineLevel="0" collapsed="false">
      <c r="A31" s="113" t="s">
        <v>395</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343</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344</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345</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401</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403</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348</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119" t="n">
        <f aca="false">IF(OR(1&gt;$B$27,ISBLANK(Actuals!C57)),"",Actuals!C57)</f>
        <v>-41844.6399999999</v>
      </c>
      <c r="C81" s="119" t="n">
        <f aca="false">'Reforecast Q1 2026'!C57</f>
        <v>-40238.7799999999</v>
      </c>
      <c r="D81" s="119" t="n">
        <f aca="false">IF(B81="","",B81-C81)</f>
        <v>-1605.86</v>
      </c>
      <c r="E81" s="119" t="n">
        <f aca="false">IF(OR(2&gt;$B$27,ISBLANK(Actuals!D57)),"",Actuals!D57)</f>
        <v>-311309.31</v>
      </c>
      <c r="F81" s="119" t="n">
        <f aca="false">'Reforecast Q1 2026'!D57</f>
        <v>-309702.1</v>
      </c>
      <c r="G81" s="119" t="n">
        <f aca="false">IF(E81="","",E81-F81)</f>
        <v>-1607.21000000008</v>
      </c>
      <c r="H81" s="119" t="n">
        <f aca="false">IF(OR(3&gt;$B$27,ISBLANK(Actuals!E57)),"",Actuals!E57)</f>
        <v>242246.78</v>
      </c>
      <c r="I81" s="119" t="n">
        <f aca="false">'Reforecast Q1 2026'!E57</f>
        <v>243856.69</v>
      </c>
      <c r="J81" s="119" t="n">
        <f aca="false">IF(H81="","",H81-I81)</f>
        <v>-1609.90999999974</v>
      </c>
      <c r="K81" s="119" t="n">
        <f aca="false">IF(OR(4&gt;$B$27,ISBLANK(Actuals!F57)),"",Actuals!F57)</f>
        <v>373926.69</v>
      </c>
      <c r="L81" s="119" t="n">
        <f aca="false">'Reforecast Q1 2026'!F57</f>
        <v>77193.5079209369</v>
      </c>
      <c r="M81" s="119" t="n">
        <f aca="false">IF(K81="","",K81-L81)</f>
        <v>296733.182079064</v>
      </c>
      <c r="N81" s="119" t="n">
        <f aca="false">IF(OR(5&gt;$B$27,ISBLANK(Actuals!G57)),"",Actuals!G57)</f>
        <v>27621.8499999997</v>
      </c>
      <c r="O81" s="119" t="n">
        <f aca="false">'Reforecast Q1 2026'!G57</f>
        <v>4795.59125425993</v>
      </c>
      <c r="P81" s="119" t="n">
        <f aca="false">IF(N81="","",N81-O81)</f>
        <v>22826.2587457398</v>
      </c>
      <c r="Q81" s="119" t="n">
        <f aca="false">IF(OR(6&gt;$B$27,ISBLANK(Actuals!H57)),"",Actuals!H57)</f>
        <v>317897.240000001</v>
      </c>
      <c r="R81" s="119" t="n">
        <f aca="false">'Reforecast Q1 2026'!H57</f>
        <v>-24579.4087457396</v>
      </c>
      <c r="S81" s="119" t="n">
        <f aca="false">IF(Q81="","",Q81-R81)</f>
        <v>342476.64874574</v>
      </c>
      <c r="T81" s="119" t="n">
        <f aca="false">IF(OR(7&gt;$B$27,ISBLANK(Actuals!I57)),"",Actuals!I57)</f>
        <v>1445137.94</v>
      </c>
      <c r="U81" s="119" t="n">
        <f aca="false">'Reforecast Q1 2026'!I57</f>
        <v>478888.752787913</v>
      </c>
      <c r="V81" s="119" t="n">
        <f aca="false">IF(T81="","",T81-U81)</f>
        <v>966249.187212088</v>
      </c>
      <c r="W81" s="119" t="n">
        <f aca="false">IF(OR(8&gt;$B$27,ISBLANK(Actuals!J57)),"",Actuals!J57)</f>
        <v>175572.22</v>
      </c>
      <c r="X81" s="119" t="n">
        <f aca="false">'Reforecast Q1 2026'!J57</f>
        <v>171828.547987913</v>
      </c>
      <c r="Y81" s="119" t="n">
        <f aca="false">IF(W81="","",W81-X81)</f>
        <v>3743.67201208667</v>
      </c>
      <c r="Z81" s="119" t="str">
        <f aca="false">IF(OR(9&gt;$B$27,ISBLANK(Actuals!K57)),"",Actuals!K57)</f>
        <v/>
      </c>
      <c r="AA81" s="119" t="n">
        <f aca="false">'Reforecast Q1 2026'!K57</f>
        <v>171828.547987913</v>
      </c>
      <c r="AB81" s="119" t="str">
        <f aca="false">IF(Z81="","",Z81-AA81)</f>
        <v/>
      </c>
      <c r="AC81" s="119" t="str">
        <f aca="false">IF(OR(10&gt;$B$27,ISBLANK(Actuals!L57)),"",Actuals!L57)</f>
        <v/>
      </c>
      <c r="AD81" s="119" t="n">
        <f aca="false">'Reforecast Q1 2026'!L57</f>
        <v>476879.116623526</v>
      </c>
      <c r="AE81" s="119" t="str">
        <f aca="false">IF(AC81="","",AC81-AD81)</f>
        <v/>
      </c>
      <c r="AF81" s="119" t="str">
        <f aca="false">IF(OR(11&gt;$B$27,ISBLANK(Actuals!M57)),"",Actuals!M57)</f>
        <v/>
      </c>
      <c r="AG81" s="119" t="n">
        <f aca="false">'Reforecast Q1 2026'!M57</f>
        <v>507880.050630907</v>
      </c>
      <c r="AH81" s="119" t="str">
        <f aca="false">IF(AF81="","",AF81-AG81)</f>
        <v/>
      </c>
      <c r="AI81" s="119" t="str">
        <f aca="false">IF(OR(12&gt;$B$27,ISBLANK(Actuals!N57)),"",Actuals!N57)</f>
        <v/>
      </c>
      <c r="AJ81" s="119" t="n">
        <f aca="false">'Reforecast Q1 2026'!N57</f>
        <v>255504.966544817</v>
      </c>
      <c r="AK81" s="119" t="str">
        <f aca="false">IF(AI81="","",AI81-AJ81)</f>
        <v/>
      </c>
      <c r="AL81" s="119" t="n">
        <f aca="false">SUM(Actuals!$C57:INDEX(Actuals!$C57:$N57,$B$27))</f>
        <v>2229248.77</v>
      </c>
      <c r="AM81" s="119" t="n">
        <f aca="false">SUM('Reforecast Q1 2026'!$C57:INDEX('Reforecast Q1 2026'!$C57:$N57,$B$27))</f>
        <v>602042.801205283</v>
      </c>
      <c r="AN81" s="119"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425</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23906.25</v>
      </c>
      <c r="X89" s="114" t="n">
        <f aca="false">'Reforecast Q1 2026'!J65</f>
        <v>23906.25</v>
      </c>
      <c r="Y89" s="114" t="n">
        <f aca="false">IF(W89="","",W89-X89)</f>
        <v>0</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191250</v>
      </c>
      <c r="AM89" s="117" t="n">
        <f aca="false">SUM('Reforecast Q1 2026'!$C65:INDEX('Reforecast Q1 2026'!$C65:$N65,$B$27))</f>
        <v>191250</v>
      </c>
      <c r="AN89" s="117" t="n">
        <f aca="false">AL89-AM89</f>
        <v>0</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9375</v>
      </c>
      <c r="X93" s="114" t="n">
        <f aca="false">'Reforecast Q1 2026'!J69</f>
        <v>9375</v>
      </c>
      <c r="Y93" s="114" t="n">
        <f aca="false">IF(W93="","",W93-X93)</f>
        <v>0</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75000</v>
      </c>
      <c r="AM93" s="117" t="n">
        <f aca="false">SUM('Reforecast Q1 2026'!$C69:INDEX('Reforecast Q1 2026'!$C69:$N69,$B$27))</f>
        <v>75000</v>
      </c>
      <c r="AN93" s="117" t="n">
        <f aca="false">AL93-AM93</f>
        <v>0</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349</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350</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351</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352</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117</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180628.58</v>
      </c>
      <c r="X105" s="117" t="n">
        <f aca="false">'Reforecast Q1 2026'!J81</f>
        <v>43614.58</v>
      </c>
      <c r="Y105" s="117" t="n">
        <f aca="false">IF(W105="","",W105-X105)</f>
        <v>137014</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762430.64</v>
      </c>
      <c r="AM105" s="117" t="n">
        <f aca="false">SUM('Reforecast Q1 2026'!$C81:INDEX('Reforecast Q1 2026'!$C81:$N81,$B$27))</f>
        <v>320416.64</v>
      </c>
      <c r="AN105" s="117" t="n">
        <f aca="false">AL105-AM105</f>
        <v>442014</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353</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119" t="n">
        <f aca="false">IF(OR(1&gt;$B$27,ISBLANK(Actuals!C114)),"",Actuals!C114)</f>
        <v>-164713.14</v>
      </c>
      <c r="C138" s="119" t="n">
        <f aca="false">'Reforecast Q1 2026'!C114</f>
        <v>-162509.26</v>
      </c>
      <c r="D138" s="119" t="n">
        <f aca="false">IF(B138="","",B138-C138)</f>
        <v>-2203.88</v>
      </c>
      <c r="E138" s="119" t="n">
        <f aca="false">IF(OR(2&gt;$B$27,ISBLANK(Actuals!D114)),"",Actuals!D114)</f>
        <v>-158387.42</v>
      </c>
      <c r="F138" s="119" t="n">
        <f aca="false">'Reforecast Q1 2026'!D114</f>
        <v>-155592.54</v>
      </c>
      <c r="G138" s="119" t="n">
        <f aca="false">IF(E138="","",E138-F138)</f>
        <v>-2794.87999999998</v>
      </c>
      <c r="H138" s="119" t="n">
        <f aca="false">IF(OR(3&gt;$B$27,ISBLANK(Actuals!E114)),"",Actuals!E114)</f>
        <v>-220909.52</v>
      </c>
      <c r="I138" s="119" t="n">
        <f aca="false">'Reforecast Q1 2026'!E114</f>
        <v>-208014.64</v>
      </c>
      <c r="J138" s="119" t="n">
        <f aca="false">IF(H138="","",H138-I138)</f>
        <v>-12894.88</v>
      </c>
      <c r="K138" s="119" t="n">
        <f aca="false">IF(OR(4&gt;$B$27,ISBLANK(Actuals!F114)),"",Actuals!F114)</f>
        <v>-161790.14</v>
      </c>
      <c r="L138" s="119" t="n">
        <f aca="false">'Reforecast Q1 2026'!F114</f>
        <v>-34475.5116666666</v>
      </c>
      <c r="M138" s="119" t="n">
        <f aca="false">IF(K138="","",K138-L138)</f>
        <v>-127314.628333333</v>
      </c>
      <c r="N138" s="119" t="n">
        <f aca="false">IF(OR(5&gt;$B$27,ISBLANK(Actuals!G114)),"",Actuals!G114)</f>
        <v>-215914.94</v>
      </c>
      <c r="O138" s="119" t="n">
        <f aca="false">'Reforecast Q1 2026'!G114</f>
        <v>-34475.5116666666</v>
      </c>
      <c r="P138" s="119" t="n">
        <f aca="false">IF(N138="","",N138-O138)</f>
        <v>-181439.428333333</v>
      </c>
      <c r="Q138" s="119" t="n">
        <f aca="false">IF(OR(6&gt;$B$27,ISBLANK(Actuals!H114)),"",Actuals!H114)</f>
        <v>185173.79</v>
      </c>
      <c r="R138" s="119" t="n">
        <f aca="false">'Reforecast Q1 2026'!H114</f>
        <v>-34475.5116666666</v>
      </c>
      <c r="S138" s="119" t="n">
        <f aca="false">IF(Q138="","",Q138-R138)</f>
        <v>219649.301666667</v>
      </c>
      <c r="T138" s="119" t="n">
        <f aca="false">IF(OR(7&gt;$B$27,ISBLANK(Actuals!I114)),"",Actuals!I114)</f>
        <v>-118383.36</v>
      </c>
      <c r="U138" s="119" t="n">
        <f aca="false">'Reforecast Q1 2026'!I114</f>
        <v>-34475.5116666666</v>
      </c>
      <c r="V138" s="119" t="n">
        <f aca="false">IF(T138="","",T138-U138)</f>
        <v>-83907.8483333334</v>
      </c>
      <c r="W138" s="119" t="n">
        <f aca="false">IF(OR(8&gt;$B$27,ISBLANK(Actuals!J114)),"",Actuals!J114)</f>
        <v>-3786.69</v>
      </c>
      <c r="X138" s="119" t="n">
        <f aca="false">'Reforecast Q1 2026'!J114</f>
        <v>-34475.5116666666</v>
      </c>
      <c r="Y138" s="119" t="n">
        <f aca="false">IF(W138="","",W138-X138)</f>
        <v>30688.8216666666</v>
      </c>
      <c r="Z138" s="119" t="str">
        <f aca="false">IF(OR(9&gt;$B$27,ISBLANK(Actuals!K114)),"",Actuals!K114)</f>
        <v/>
      </c>
      <c r="AA138" s="119" t="n">
        <f aca="false">'Reforecast Q1 2026'!K114</f>
        <v>-35308.8416666666</v>
      </c>
      <c r="AB138" s="119" t="str">
        <f aca="false">IF(Z138="","",Z138-AA138)</f>
        <v/>
      </c>
      <c r="AC138" s="119" t="str">
        <f aca="false">IF(OR(10&gt;$B$27,ISBLANK(Actuals!L114)),"",Actuals!L114)</f>
        <v/>
      </c>
      <c r="AD138" s="119" t="n">
        <f aca="false">'Reforecast Q1 2026'!L114</f>
        <v>-35308.8416666666</v>
      </c>
      <c r="AE138" s="119" t="str">
        <f aca="false">IF(AC138="","",AC138-AD138)</f>
        <v/>
      </c>
      <c r="AF138" s="119" t="str">
        <f aca="false">IF(OR(11&gt;$B$27,ISBLANK(Actuals!M114)),"",Actuals!M114)</f>
        <v/>
      </c>
      <c r="AG138" s="119" t="n">
        <f aca="false">'Reforecast Q1 2026'!M114</f>
        <v>-44683.8416666666</v>
      </c>
      <c r="AH138" s="119" t="str">
        <f aca="false">IF(AF138="","",AF138-AG138)</f>
        <v/>
      </c>
      <c r="AI138" s="119" t="str">
        <f aca="false">IF(OR(12&gt;$B$27,ISBLANK(Actuals!N114)),"",Actuals!N114)</f>
        <v/>
      </c>
      <c r="AJ138" s="119" t="n">
        <f aca="false">'Reforecast Q1 2026'!N114</f>
        <v>-44683.8416666666</v>
      </c>
      <c r="AK138" s="119" t="str">
        <f aca="false">IF(AI138="","",AI138-AJ138)</f>
        <v/>
      </c>
      <c r="AL138" s="119" t="n">
        <f aca="false">SUM(Actuals!$C114:INDEX(Actuals!$C114:$N114,$B$27))</f>
        <v>-858711.42</v>
      </c>
      <c r="AM138" s="119" t="n">
        <f aca="false">SUM('Reforecast Q1 2026'!$C114:INDEX('Reforecast Q1 2026'!$C114:$N114,$B$27))</f>
        <v>-698493.998333333</v>
      </c>
      <c r="AN138" s="119" t="n">
        <f aca="false">AL138-AM138</f>
        <v>-160217.421666667</v>
      </c>
    </row>
    <row r="140" customFormat="false" ht="15" hidden="false" customHeight="true" outlineLevel="0" collapsed="false">
      <c r="A140" s="113" t="s">
        <v>447</v>
      </c>
    </row>
    <row r="141" customFormat="false" ht="15" hidden="false" customHeight="true" outlineLevel="0" collapsed="false">
      <c r="A141" s="110" t="s">
        <v>448</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171785.53</v>
      </c>
      <c r="X141" s="117" t="n">
        <f aca="false">X81+X138</f>
        <v>137353.036321246</v>
      </c>
      <c r="Y141" s="117" t="n">
        <f aca="false">IF(W141="","",W141-X141)</f>
        <v>34432.4936787533</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1370537.35</v>
      </c>
      <c r="AM141" s="117" t="n">
        <f aca="false">AM81+AM138</f>
        <v>-96451.1971280497</v>
      </c>
      <c r="AN141" s="117" t="n">
        <f aca="false">AL141-AM141</f>
        <v>1466988.54712805</v>
      </c>
    </row>
    <row r="142" customFormat="false" ht="15" hidden="false" customHeight="true" outlineLevel="0" collapsed="false">
      <c r="A142" s="123" t="s">
        <v>450</v>
      </c>
      <c r="B142" s="114" t="n">
        <f aca="false">IF(B141="","",Model!B302-B141)</f>
        <v>0</v>
      </c>
      <c r="C142" s="114" t="s">
        <v>451</v>
      </c>
      <c r="D142" s="114" t="n">
        <f aca="false">IF(B142="","",B142-C142)</f>
        <v>0</v>
      </c>
      <c r="E142" s="114" t="n">
        <f aca="false">IF(E141="","",Model!C302-E141)</f>
        <v>0</v>
      </c>
      <c r="F142" s="114" t="s">
        <v>451</v>
      </c>
      <c r="G142" s="114" t="n">
        <f aca="false">IF(E142="","",E142-F142)</f>
        <v>0</v>
      </c>
      <c r="H142" s="114" t="n">
        <f aca="false">IF(H141="","",Model!D302-H141)</f>
        <v>-2.3283064365387E-010</v>
      </c>
      <c r="I142" s="114" t="s">
        <v>451</v>
      </c>
      <c r="J142" s="114" t="n">
        <f aca="false">IF(H142="","",H142-I142)</f>
        <v>-2.3283064365387E-010</v>
      </c>
      <c r="K142" s="114" t="n">
        <f aca="false">IF(K141="","",Model!E302-K141)</f>
        <v>0</v>
      </c>
      <c r="L142" s="114" t="s">
        <v>451</v>
      </c>
      <c r="M142" s="114" t="n">
        <f aca="false">IF(K142="","",K142-L142)</f>
        <v>0</v>
      </c>
      <c r="N142" s="114" t="n">
        <f aca="false">IF(N141="","",Model!F302-N141)</f>
        <v>0</v>
      </c>
      <c r="O142" s="114" t="s">
        <v>451</v>
      </c>
      <c r="P142" s="114" t="n">
        <f aca="false">IF(N142="","",N142-O142)</f>
        <v>0</v>
      </c>
      <c r="Q142" s="114" t="n">
        <f aca="false">IF(Q141="","",Model!G302-Q141)</f>
        <v>-299000.000000001</v>
      </c>
      <c r="R142" s="114" t="s">
        <v>451</v>
      </c>
      <c r="S142" s="114" t="n">
        <f aca="false">IF(Q142="","",Q142-R142)</f>
        <v>-299000.000000001</v>
      </c>
      <c r="T142" s="114" t="n">
        <f aca="false">IF(T141="","",Model!H302-T141)</f>
        <v>0</v>
      </c>
      <c r="U142" s="114" t="s">
        <v>451</v>
      </c>
      <c r="V142" s="114" t="n">
        <f aca="false">IF(T142="","",T142-U142)</f>
        <v>0</v>
      </c>
      <c r="W142" s="114" t="n">
        <f aca="false">IF(W141="","",Model!I302-W141)</f>
        <v>-692876.895125</v>
      </c>
      <c r="X142" s="114" t="s">
        <v>451</v>
      </c>
      <c r="Y142" s="114" t="n">
        <f aca="false">IF(W142="","",W142-X142)</f>
        <v>-692876.895125</v>
      </c>
      <c r="Z142" s="114" t="str">
        <f aca="false">IF(Z141="","",Model!J302-Z141)</f>
        <v/>
      </c>
      <c r="AA142" s="114" t="s">
        <v>451</v>
      </c>
      <c r="AB142" s="114" t="str">
        <f aca="false">IF(Z142="","",Z142-AA142)</f>
        <v/>
      </c>
      <c r="AC142" s="114" t="str">
        <f aca="false">IF(AC141="","",Model!K302-AC141)</f>
        <v/>
      </c>
      <c r="AD142" s="114" t="s">
        <v>451</v>
      </c>
      <c r="AE142" s="114" t="str">
        <f aca="false">IF(AC142="","",AC142-AD142)</f>
        <v/>
      </c>
      <c r="AF142" s="114" t="str">
        <f aca="false">IF(AF141="","",Model!L302-AF141)</f>
        <v/>
      </c>
      <c r="AG142" s="114" t="s">
        <v>451</v>
      </c>
      <c r="AH142" s="114" t="str">
        <f aca="false">IF(AF142="","",AF142-AG142)</f>
        <v/>
      </c>
      <c r="AI142" s="114" t="str">
        <f aca="false">IF(AI141="","",Model!M302-AI141)</f>
        <v/>
      </c>
      <c r="AJ142" s="114" t="s">
        <v>451</v>
      </c>
      <c r="AK142" s="114" t="str">
        <f aca="false">IF(AI142="","",AI142-AJ142)</f>
        <v/>
      </c>
      <c r="AL142" s="117" t="n">
        <f aca="false">SUM(Model!$B302:INDEX(Model!$B302:$M302,$B$27))-AL141</f>
        <v>-991876.895125001</v>
      </c>
      <c r="AM142" s="117" t="s">
        <v>451</v>
      </c>
      <c r="AN142" s="117" t="n">
        <f aca="false">AL142-AM142</f>
        <v>-991876.895125001</v>
      </c>
    </row>
    <row r="143" customFormat="false" ht="15" hidden="false" customHeight="true" outlineLevel="0" collapsed="false">
      <c r="A143" s="118" t="s">
        <v>453</v>
      </c>
      <c r="B143" s="119" t="n">
        <f aca="false">IF(B141="","",B141+B142)</f>
        <v>-206557.78</v>
      </c>
      <c r="C143" s="119" t="n">
        <f aca="false">C141</f>
        <v>-202748.04</v>
      </c>
      <c r="D143" s="119" t="n">
        <f aca="false">IF(B143="","",B143-C143)</f>
        <v>-3809.73999999999</v>
      </c>
      <c r="E143" s="119" t="n">
        <f aca="false">IF(E141="","",E141+E142)</f>
        <v>-469696.73</v>
      </c>
      <c r="F143" s="119" t="n">
        <f aca="false">F141</f>
        <v>-465294.64</v>
      </c>
      <c r="G143" s="119" t="n">
        <f aca="false">IF(E143="","",E143-F143)</f>
        <v>-4402.09000000003</v>
      </c>
      <c r="H143" s="119" t="n">
        <f aca="false">IF(H141="","",H141+H142)</f>
        <v>21337.26</v>
      </c>
      <c r="I143" s="119" t="n">
        <f aca="false">I141</f>
        <v>35842.05</v>
      </c>
      <c r="J143" s="119" t="n">
        <f aca="false">IF(H143="","",H143-I143)</f>
        <v>-14504.79</v>
      </c>
      <c r="K143" s="119" t="n">
        <f aca="false">IF(K141="","",K141+K142)</f>
        <v>212136.55</v>
      </c>
      <c r="L143" s="119" t="n">
        <f aca="false">L141</f>
        <v>42717.9962542703</v>
      </c>
      <c r="M143" s="119" t="n">
        <f aca="false">IF(K143="","",K143-L143)</f>
        <v>169418.55374573</v>
      </c>
      <c r="N143" s="119" t="n">
        <f aca="false">IF(N141="","",N141+N142)</f>
        <v>-188293.09</v>
      </c>
      <c r="O143" s="119" t="n">
        <f aca="false">O141</f>
        <v>-29679.9204124067</v>
      </c>
      <c r="P143" s="119" t="n">
        <f aca="false">IF(N143="","",N143-O143)</f>
        <v>-158613.169587594</v>
      </c>
      <c r="Q143" s="119" t="n">
        <f aca="false">IF(Q141="","",Q141+Q142)</f>
        <v>204071.03</v>
      </c>
      <c r="R143" s="119" t="n">
        <f aca="false">R141</f>
        <v>-59054.9204124062</v>
      </c>
      <c r="S143" s="119" t="n">
        <f aca="false">IF(Q143="","",Q143-R143)</f>
        <v>263125.950412406</v>
      </c>
      <c r="T143" s="119" t="n">
        <f aca="false">IF(T141="","",T141+T142)</f>
        <v>1326754.58</v>
      </c>
      <c r="U143" s="119" t="n">
        <f aca="false">U141</f>
        <v>444413.241121246</v>
      </c>
      <c r="V143" s="119" t="n">
        <f aca="false">IF(T143="","",T143-U143)</f>
        <v>882341.338878754</v>
      </c>
      <c r="W143" s="119" t="n">
        <f aca="false">IF(W141="","",W141+W142)</f>
        <v>-521091.365125</v>
      </c>
      <c r="X143" s="119" t="n">
        <f aca="false">X141</f>
        <v>137353.036321246</v>
      </c>
      <c r="Y143" s="119" t="n">
        <f aca="false">IF(W143="","",W143-X143)</f>
        <v>-658444.401446247</v>
      </c>
      <c r="Z143" s="119" t="str">
        <f aca="false">IF(Z141="","",Z141+Z142)</f>
        <v/>
      </c>
      <c r="AA143" s="119" t="n">
        <f aca="false">AA141</f>
        <v>136519.706321246</v>
      </c>
      <c r="AB143" s="119" t="str">
        <f aca="false">IF(Z143="","",Z143-AA143)</f>
        <v/>
      </c>
      <c r="AC143" s="119" t="str">
        <f aca="false">IF(AC141="","",AC141+AC142)</f>
        <v/>
      </c>
      <c r="AD143" s="119" t="n">
        <f aca="false">AD141</f>
        <v>441570.274956859</v>
      </c>
      <c r="AE143" s="119" t="str">
        <f aca="false">IF(AC143="","",AC143-AD143)</f>
        <v/>
      </c>
      <c r="AF143" s="119" t="str">
        <f aca="false">IF(AF141="","",AF141+AF142)</f>
        <v/>
      </c>
      <c r="AG143" s="119" t="n">
        <f aca="false">AG141</f>
        <v>463196.20896424</v>
      </c>
      <c r="AH143" s="119" t="str">
        <f aca="false">IF(AF143="","",AF143-AG143)</f>
        <v/>
      </c>
      <c r="AI143" s="119" t="str">
        <f aca="false">IF(AI141="","",AI141+AI142)</f>
        <v/>
      </c>
      <c r="AJ143" s="119" t="n">
        <f aca="false">AJ141</f>
        <v>210821.12487815</v>
      </c>
      <c r="AK143" s="119" t="str">
        <f aca="false">IF(AI143="","",AI143-AJ143)</f>
        <v/>
      </c>
      <c r="AL143" s="119" t="n">
        <f aca="false">AL141+AL142</f>
        <v>378660.454875001</v>
      </c>
      <c r="AM143" s="119" t="n">
        <f aca="false">AM141</f>
        <v>-96451.1971280497</v>
      </c>
      <c r="AN143" s="119"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485</v>
      </c>
    </row>
    <row r="2" customFormat="false" ht="15" hidden="false" customHeight="true" outlineLevel="0" collapsed="false">
      <c r="A2" s="72" t="s">
        <v>486</v>
      </c>
    </row>
    <row r="3" customFormat="false" ht="15" hidden="false" customHeight="true" outlineLevel="0" collapsed="false">
      <c r="A3" s="1" t="s">
        <v>389</v>
      </c>
      <c r="B3" s="1" t="n">
        <f aca="false">SUMPRODUCT(--(Actuals!$C$21:$N$21&lt;&gt;""))</f>
        <v>8</v>
      </c>
    </row>
    <row r="4" customFormat="false" ht="15" hidden="false" customHeight="true" outlineLevel="0" collapsed="false">
      <c r="B4" s="128" t="s">
        <v>487</v>
      </c>
      <c r="C4" s="128"/>
      <c r="D4" s="128"/>
      <c r="E4" s="128"/>
      <c r="F4" s="128" t="s">
        <v>488</v>
      </c>
      <c r="G4" s="128"/>
      <c r="H4" s="128"/>
      <c r="I4" s="128"/>
      <c r="J4" s="128" t="s">
        <v>489</v>
      </c>
      <c r="K4" s="128"/>
      <c r="L4" s="128"/>
      <c r="M4" s="128"/>
      <c r="N4" s="128" t="s">
        <v>490</v>
      </c>
      <c r="O4" s="128"/>
      <c r="P4" s="128"/>
      <c r="Q4" s="128"/>
      <c r="R4" s="128" t="s">
        <v>491</v>
      </c>
      <c r="S4" s="128"/>
      <c r="T4" s="128"/>
      <c r="U4" s="128"/>
      <c r="V4" s="128" t="s">
        <v>492</v>
      </c>
      <c r="W4" s="128"/>
      <c r="X4" s="128"/>
      <c r="Y4" s="128"/>
      <c r="Z4" s="128" t="s">
        <v>493</v>
      </c>
      <c r="AA4" s="128"/>
      <c r="AB4" s="128"/>
      <c r="AC4" s="128"/>
      <c r="AD4" s="128" t="s">
        <v>494</v>
      </c>
      <c r="AE4" s="128"/>
      <c r="AF4" s="128"/>
      <c r="AG4" s="128"/>
      <c r="AH4" s="128" t="s">
        <v>495</v>
      </c>
      <c r="AI4" s="128"/>
      <c r="AJ4" s="128"/>
      <c r="AK4" s="128"/>
      <c r="AL4" s="128" t="s">
        <v>496</v>
      </c>
      <c r="AM4" s="128"/>
      <c r="AN4" s="128"/>
      <c r="AO4" s="128"/>
      <c r="AP4" s="128" t="s">
        <v>497</v>
      </c>
      <c r="AQ4" s="128"/>
      <c r="AR4" s="128"/>
      <c r="AS4" s="128"/>
      <c r="AT4" s="128" t="s">
        <v>498</v>
      </c>
      <c r="AU4" s="128"/>
      <c r="AV4" s="128"/>
      <c r="AW4" s="128"/>
      <c r="AX4" s="129" t="s">
        <v>499</v>
      </c>
      <c r="AY4" s="129"/>
      <c r="AZ4" s="129"/>
    </row>
    <row r="5" customFormat="false" ht="15" hidden="false" customHeight="true" outlineLevel="0" collapsed="false">
      <c r="A5" s="130" t="s">
        <v>391</v>
      </c>
      <c r="B5" s="130" t="s">
        <v>393</v>
      </c>
      <c r="C5" s="130" t="s">
        <v>392</v>
      </c>
      <c r="D5" s="130" t="s">
        <v>500</v>
      </c>
      <c r="E5" s="130" t="s">
        <v>501</v>
      </c>
      <c r="F5" s="130" t="s">
        <v>393</v>
      </c>
      <c r="G5" s="130" t="s">
        <v>392</v>
      </c>
      <c r="H5" s="130" t="s">
        <v>500</v>
      </c>
      <c r="I5" s="130" t="s">
        <v>501</v>
      </c>
      <c r="J5" s="130" t="s">
        <v>393</v>
      </c>
      <c r="K5" s="130" t="s">
        <v>392</v>
      </c>
      <c r="L5" s="130" t="s">
        <v>500</v>
      </c>
      <c r="M5" s="130" t="s">
        <v>501</v>
      </c>
      <c r="N5" s="130" t="s">
        <v>393</v>
      </c>
      <c r="O5" s="130" t="s">
        <v>392</v>
      </c>
      <c r="P5" s="130" t="s">
        <v>500</v>
      </c>
      <c r="Q5" s="130" t="s">
        <v>501</v>
      </c>
      <c r="R5" s="130" t="s">
        <v>393</v>
      </c>
      <c r="S5" s="130" t="s">
        <v>392</v>
      </c>
      <c r="T5" s="130" t="s">
        <v>500</v>
      </c>
      <c r="U5" s="130" t="s">
        <v>501</v>
      </c>
      <c r="V5" s="130" t="s">
        <v>393</v>
      </c>
      <c r="W5" s="130" t="s">
        <v>392</v>
      </c>
      <c r="X5" s="130" t="s">
        <v>500</v>
      </c>
      <c r="Y5" s="130" t="s">
        <v>501</v>
      </c>
      <c r="Z5" s="130" t="s">
        <v>393</v>
      </c>
      <c r="AA5" s="130" t="s">
        <v>392</v>
      </c>
      <c r="AB5" s="130" t="s">
        <v>500</v>
      </c>
      <c r="AC5" s="130" t="s">
        <v>501</v>
      </c>
      <c r="AD5" s="130" t="s">
        <v>393</v>
      </c>
      <c r="AE5" s="130" t="s">
        <v>392</v>
      </c>
      <c r="AF5" s="130" t="s">
        <v>500</v>
      </c>
      <c r="AG5" s="130" t="s">
        <v>501</v>
      </c>
      <c r="AH5" s="130" t="s">
        <v>393</v>
      </c>
      <c r="AI5" s="130" t="s">
        <v>392</v>
      </c>
      <c r="AJ5" s="130" t="s">
        <v>500</v>
      </c>
      <c r="AK5" s="130" t="s">
        <v>501</v>
      </c>
      <c r="AL5" s="130" t="s">
        <v>393</v>
      </c>
      <c r="AM5" s="130" t="s">
        <v>392</v>
      </c>
      <c r="AN5" s="130" t="s">
        <v>500</v>
      </c>
      <c r="AO5" s="130" t="s">
        <v>501</v>
      </c>
      <c r="AP5" s="130" t="s">
        <v>393</v>
      </c>
      <c r="AQ5" s="130" t="s">
        <v>392</v>
      </c>
      <c r="AR5" s="130" t="s">
        <v>500</v>
      </c>
      <c r="AS5" s="130" t="s">
        <v>501</v>
      </c>
      <c r="AT5" s="130" t="s">
        <v>393</v>
      </c>
      <c r="AU5" s="130" t="s">
        <v>392</v>
      </c>
      <c r="AV5" s="130" t="s">
        <v>500</v>
      </c>
      <c r="AW5" s="130" t="s">
        <v>501</v>
      </c>
      <c r="AX5" s="131" t="s">
        <v>362</v>
      </c>
      <c r="AY5" s="131" t="s">
        <v>363</v>
      </c>
      <c r="AZ5" s="131" t="s">
        <v>502</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343</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344</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345</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401</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403</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503</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504</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23906.25</v>
      </c>
      <c r="AF50" s="134" t="n">
        <f aca="false">IF(OR(8&gt;$B$3,ISBLANK(Actuals!J65)),"",Budget!J65-Actuals!J65)</f>
        <v>12632.21</v>
      </c>
      <c r="AG50" s="134" t="n">
        <f aca="false">IFERROR(IF(OR(8&gt;$B$3,ISBLANK(Actuals!J65)),"",(Budget!J65-Actuals!J65)/ABS(Budget!J65)),"")</f>
        <v>0.345723656662049</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191250</v>
      </c>
      <c r="AZ50" s="136" t="n">
        <f aca="false">AX50-AY50</f>
        <v>101057.68</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9375</v>
      </c>
      <c r="AF54" s="134" t="n">
        <f aca="false">IF(OR(8&gt;$B$3,ISBLANK(Actuals!J69)),"",Budget!J69-Actuals!J69)</f>
        <v>852.27</v>
      </c>
      <c r="AG54" s="134" t="n">
        <f aca="false">IFERROR(IF(OR(8&gt;$B$3,ISBLANK(Actuals!J69)),"",(Budget!J69-Actuals!J69)/ABS(Budget!J69)),"")</f>
        <v>0.0833330888888237</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75000</v>
      </c>
      <c r="AZ54" s="136" t="n">
        <f aca="false">AX54-AY54</f>
        <v>6818.16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349</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350</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351</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352</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117</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496916.64</v>
      </c>
      <c r="AZ66" s="136" t="n">
        <f aca="false">AX66-AY66</f>
        <v>-197942.32</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505</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172720.41</v>
      </c>
      <c r="AF97" s="138" t="n">
        <f aca="false">SUM(AF6:AF13)+SUM(AF15:AF95)</f>
        <v>-8090.86000000005</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1516682.07</v>
      </c>
      <c r="AZ97" s="138" t="n">
        <f aca="false">SUM(AZ6:AZ13)+SUM(AZ15:AZ95)</f>
        <v>-747395.68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506</v>
      </c>
    </row>
    <row r="2" customFormat="false" ht="15" hidden="false" customHeight="true" outlineLevel="0" collapsed="false">
      <c r="A2" s="72" t="s">
        <v>486</v>
      </c>
    </row>
    <row r="3" customFormat="false" ht="15" hidden="false" customHeight="true" outlineLevel="0" collapsed="false">
      <c r="A3" s="1" t="s">
        <v>389</v>
      </c>
      <c r="B3" s="1" t="n">
        <f aca="false">SUMPRODUCT(--(Actuals!$C$21:$N$21&lt;&gt;""))</f>
        <v>8</v>
      </c>
    </row>
    <row r="4" customFormat="false" ht="15" hidden="false" customHeight="true" outlineLevel="0" collapsed="false">
      <c r="B4" s="128" t="s">
        <v>487</v>
      </c>
      <c r="C4" s="128"/>
      <c r="D4" s="128"/>
      <c r="E4" s="128"/>
      <c r="F4" s="128" t="s">
        <v>488</v>
      </c>
      <c r="G4" s="128"/>
      <c r="H4" s="128"/>
      <c r="I4" s="128"/>
      <c r="J4" s="128" t="s">
        <v>489</v>
      </c>
      <c r="K4" s="128"/>
      <c r="L4" s="128"/>
      <c r="M4" s="128"/>
      <c r="N4" s="128" t="s">
        <v>490</v>
      </c>
      <c r="O4" s="128"/>
      <c r="P4" s="128"/>
      <c r="Q4" s="128"/>
      <c r="R4" s="128" t="s">
        <v>491</v>
      </c>
      <c r="S4" s="128"/>
      <c r="T4" s="128"/>
      <c r="U4" s="128"/>
      <c r="V4" s="128" t="s">
        <v>492</v>
      </c>
      <c r="W4" s="128"/>
      <c r="X4" s="128"/>
      <c r="Y4" s="128"/>
      <c r="Z4" s="128" t="s">
        <v>493</v>
      </c>
      <c r="AA4" s="128"/>
      <c r="AB4" s="128"/>
      <c r="AC4" s="128"/>
      <c r="AD4" s="128" t="s">
        <v>494</v>
      </c>
      <c r="AE4" s="128"/>
      <c r="AF4" s="128"/>
      <c r="AG4" s="128"/>
      <c r="AH4" s="128" t="s">
        <v>495</v>
      </c>
      <c r="AI4" s="128"/>
      <c r="AJ4" s="128"/>
      <c r="AK4" s="128"/>
      <c r="AL4" s="128" t="s">
        <v>496</v>
      </c>
      <c r="AM4" s="128"/>
      <c r="AN4" s="128"/>
      <c r="AO4" s="128"/>
      <c r="AP4" s="128" t="s">
        <v>497</v>
      </c>
      <c r="AQ4" s="128"/>
      <c r="AR4" s="128"/>
      <c r="AS4" s="128"/>
      <c r="AT4" s="128" t="s">
        <v>498</v>
      </c>
      <c r="AU4" s="128"/>
      <c r="AV4" s="128"/>
      <c r="AW4" s="128"/>
      <c r="AX4" s="129" t="s">
        <v>499</v>
      </c>
      <c r="AY4" s="129"/>
      <c r="AZ4" s="129"/>
    </row>
    <row r="5" customFormat="false" ht="15" hidden="false" customHeight="true" outlineLevel="0" collapsed="false">
      <c r="A5" s="130" t="s">
        <v>391</v>
      </c>
      <c r="B5" s="130" t="s">
        <v>484</v>
      </c>
      <c r="C5" s="130" t="s">
        <v>392</v>
      </c>
      <c r="D5" s="130" t="s">
        <v>500</v>
      </c>
      <c r="E5" s="130" t="s">
        <v>501</v>
      </c>
      <c r="F5" s="130" t="s">
        <v>484</v>
      </c>
      <c r="G5" s="130" t="s">
        <v>392</v>
      </c>
      <c r="H5" s="130" t="s">
        <v>500</v>
      </c>
      <c r="I5" s="130" t="s">
        <v>501</v>
      </c>
      <c r="J5" s="130" t="s">
        <v>484</v>
      </c>
      <c r="K5" s="130" t="s">
        <v>392</v>
      </c>
      <c r="L5" s="130" t="s">
        <v>500</v>
      </c>
      <c r="M5" s="130" t="s">
        <v>501</v>
      </c>
      <c r="N5" s="130" t="s">
        <v>484</v>
      </c>
      <c r="O5" s="130" t="s">
        <v>392</v>
      </c>
      <c r="P5" s="130" t="s">
        <v>500</v>
      </c>
      <c r="Q5" s="130" t="s">
        <v>501</v>
      </c>
      <c r="R5" s="130" t="s">
        <v>484</v>
      </c>
      <c r="S5" s="130" t="s">
        <v>392</v>
      </c>
      <c r="T5" s="130" t="s">
        <v>500</v>
      </c>
      <c r="U5" s="130" t="s">
        <v>501</v>
      </c>
      <c r="V5" s="130" t="s">
        <v>484</v>
      </c>
      <c r="W5" s="130" t="s">
        <v>392</v>
      </c>
      <c r="X5" s="130" t="s">
        <v>500</v>
      </c>
      <c r="Y5" s="130" t="s">
        <v>501</v>
      </c>
      <c r="Z5" s="130" t="s">
        <v>484</v>
      </c>
      <c r="AA5" s="130" t="s">
        <v>392</v>
      </c>
      <c r="AB5" s="130" t="s">
        <v>500</v>
      </c>
      <c r="AC5" s="130" t="s">
        <v>501</v>
      </c>
      <c r="AD5" s="130" t="s">
        <v>484</v>
      </c>
      <c r="AE5" s="130" t="s">
        <v>392</v>
      </c>
      <c r="AF5" s="130" t="s">
        <v>500</v>
      </c>
      <c r="AG5" s="130" t="s">
        <v>501</v>
      </c>
      <c r="AH5" s="130" t="s">
        <v>484</v>
      </c>
      <c r="AI5" s="130" t="s">
        <v>392</v>
      </c>
      <c r="AJ5" s="130" t="s">
        <v>500</v>
      </c>
      <c r="AK5" s="130" t="s">
        <v>501</v>
      </c>
      <c r="AL5" s="130" t="s">
        <v>484</v>
      </c>
      <c r="AM5" s="130" t="s">
        <v>392</v>
      </c>
      <c r="AN5" s="130" t="s">
        <v>500</v>
      </c>
      <c r="AO5" s="130" t="s">
        <v>501</v>
      </c>
      <c r="AP5" s="130" t="s">
        <v>484</v>
      </c>
      <c r="AQ5" s="130" t="s">
        <v>392</v>
      </c>
      <c r="AR5" s="130" t="s">
        <v>500</v>
      </c>
      <c r="AS5" s="130" t="s">
        <v>501</v>
      </c>
      <c r="AT5" s="130" t="s">
        <v>484</v>
      </c>
      <c r="AU5" s="130" t="s">
        <v>392</v>
      </c>
      <c r="AV5" s="130" t="s">
        <v>500</v>
      </c>
      <c r="AW5" s="130" t="s">
        <v>501</v>
      </c>
      <c r="AX5" s="131" t="s">
        <v>362</v>
      </c>
      <c r="AY5" s="131" t="s">
        <v>363</v>
      </c>
      <c r="AZ5" s="131" t="s">
        <v>502</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343</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344</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345</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401</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403</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503</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504</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23906.25</v>
      </c>
      <c r="AF50" s="134" t="n">
        <f aca="false">IF(OR(8&gt;$B$3,ISBLANK(Actuals!J65)),"",'Reforecast Q1 2026'!J65-Actuals!J65)</f>
        <v>0</v>
      </c>
      <c r="AG50" s="134" t="n">
        <f aca="false">IFERROR(IF(OR(8&gt;$B$3,ISBLANK(Actuals!J65)),"",('Reforecast Q1 2026'!J65-Actuals!J65)/ABS('Reforecast Q1 2026'!J65)),"")</f>
        <v>0</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191250</v>
      </c>
      <c r="AZ50" s="136" t="n">
        <f aca="false">AX50-AY50</f>
        <v>0</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9375</v>
      </c>
      <c r="AF54" s="134" t="n">
        <f aca="false">IF(OR(8&gt;$B$3,ISBLANK(Actuals!J69)),"",'Reforecast Q1 2026'!J69-Actuals!J69)</f>
        <v>0</v>
      </c>
      <c r="AG54" s="134" t="n">
        <f aca="false">IFERROR(IF(OR(8&gt;$B$3,ISBLANK(Actuals!J69)),"",('Reforecast Q1 2026'!J69-Actuals!J69)/ABS('Reforecast Q1 2026'!J69)),"")</f>
        <v>0</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75000</v>
      </c>
      <c r="AZ54" s="136" t="n">
        <f aca="false">AX54-AY54</f>
        <v>0</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349</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350</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351</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352</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117</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496916.64</v>
      </c>
      <c r="AZ66" s="136" t="n">
        <f aca="false">AX66-AY66</f>
        <v>-299000</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505</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172720.41</v>
      </c>
      <c r="AF97" s="138" t="n">
        <f aca="false">SUM(AF6:AF13)+SUM(AF15:AF95)</f>
        <v>-35367.3699184602</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1516682.07</v>
      </c>
      <c r="AZ97" s="138" t="n">
        <f aca="false">SUM(AZ6:AZ13)+SUM(AZ15:AZ95)</f>
        <v>-1443716.63805676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09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507</v>
      </c>
    </row>
    <row r="2" customFormat="false" ht="15" hidden="false" customHeight="true" outlineLevel="0" collapsed="false">
      <c r="A2" s="72" t="s">
        <v>508</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343</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509</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344</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118" t="s">
        <v>345</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401</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403</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118"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143"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143" t="s">
        <v>504</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118"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349</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350</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351</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352</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117</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143"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143"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143"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118"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144" t="s">
        <v>510</v>
      </c>
      <c r="B117" s="144"/>
      <c r="C117" s="144"/>
      <c r="D117" s="144"/>
      <c r="E117" s="144"/>
      <c r="F117" s="144"/>
      <c r="G117" s="144"/>
      <c r="H117" s="144"/>
      <c r="I117" s="144"/>
      <c r="J117" s="144"/>
      <c r="K117" s="144"/>
      <c r="L117" s="144"/>
      <c r="M117" s="144"/>
      <c r="N117" s="144"/>
    </row>
    <row r="118" customFormat="false" ht="45.75" hidden="false" customHeight="true" outlineLevel="0" collapsed="false">
      <c r="A118" s="145" t="s">
        <v>511</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512</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513</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514</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515</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516</v>
      </c>
    </row>
    <row r="2" customFormat="false" ht="15" hidden="false" customHeight="true" outlineLevel="0" collapsed="false">
      <c r="A2" s="72" t="s">
        <v>517</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343</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509</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344</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101" t="s">
        <v>345</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401</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403</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101"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106"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106" t="s">
        <v>504</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101" t="s">
        <v>98</v>
      </c>
      <c r="C57" s="155" t="n">
        <v>-40238.7799999999</v>
      </c>
      <c r="D57" s="155" t="n">
        <v>-309702.1</v>
      </c>
      <c r="E57" s="155" t="n">
        <v>243856.69</v>
      </c>
      <c r="F57" s="155" t="n">
        <v>77193.5079209369</v>
      </c>
      <c r="G57" s="155" t="n">
        <v>4795.59125425993</v>
      </c>
      <c r="H57" s="155" t="n">
        <v>-24579.4087457396</v>
      </c>
      <c r="I57" s="155" t="n">
        <v>478888.752787913</v>
      </c>
      <c r="J57" s="155" t="n">
        <v>171828.547987913</v>
      </c>
      <c r="K57" s="155" t="n">
        <v>171828.547987913</v>
      </c>
      <c r="L57" s="155" t="n">
        <v>476879.116623526</v>
      </c>
      <c r="M57" s="155" t="n">
        <v>507880.050630907</v>
      </c>
      <c r="N57" s="155" t="n">
        <v>255504.966544817</v>
      </c>
      <c r="O57" s="155" t="n">
        <v>255504.966544827</v>
      </c>
      <c r="P57" s="155" t="n">
        <v>255504.966544827</v>
      </c>
      <c r="Q57" s="155" t="n">
        <v>255504.966544817</v>
      </c>
      <c r="R57" s="155" t="n">
        <v>-411966.093897963</v>
      </c>
      <c r="S57" s="155" t="n">
        <v>404202.381102027</v>
      </c>
      <c r="T57" s="155" t="n">
        <v>562864.259388238</v>
      </c>
      <c r="U57" s="155" t="n">
        <v>324683.812184128</v>
      </c>
      <c r="V57" s="155" t="n">
        <v>59005.0606073667</v>
      </c>
      <c r="W57" s="155" t="n">
        <v>59005.0606073677</v>
      </c>
      <c r="X57" s="155" t="n">
        <v>80815.3650471163</v>
      </c>
      <c r="Y57" s="155" t="n">
        <v>37194.7561676172</v>
      </c>
      <c r="Z57" s="155" t="n">
        <v>37194.7561676162</v>
      </c>
      <c r="AA57" s="155" t="n">
        <v>37194.7561676172</v>
      </c>
      <c r="AB57" s="155" t="n">
        <v>37194.7561676162</v>
      </c>
      <c r="AC57" s="155" t="n">
        <v>37194.7561676172</v>
      </c>
      <c r="AD57" s="155" t="n">
        <v>110433.446720217</v>
      </c>
      <c r="AE57" s="155" t="n">
        <v>-53608.5849649826</v>
      </c>
      <c r="AF57" s="155" t="n">
        <v>-619655.004096433</v>
      </c>
      <c r="AG57" s="155" t="n">
        <v>104051.055903567</v>
      </c>
      <c r="AH57" s="155" t="n">
        <v>104051.055903567</v>
      </c>
      <c r="AI57" s="155" t="n">
        <v>104051.055903567</v>
      </c>
      <c r="AJ57" s="155" t="n">
        <v>232047.185471317</v>
      </c>
      <c r="AK57" s="155" t="n">
        <v>2720.78666242689</v>
      </c>
      <c r="AL57" s="155" t="n">
        <v>261371.507820827</v>
      </c>
      <c r="AM57" s="155" t="n">
        <v>-161091.336737893</v>
      </c>
      <c r="AN57" s="155" t="n">
        <v>-161091.336737893</v>
      </c>
      <c r="AO57" s="155" t="n">
        <v>-65712.2712752431</v>
      </c>
      <c r="AP57" s="155" t="n">
        <v>-230456.049993373</v>
      </c>
      <c r="AQ57" s="155" t="n">
        <v>-230456.049993373</v>
      </c>
      <c r="AR57" s="155" t="n">
        <v>-230456.049993373</v>
      </c>
      <c r="AS57" s="155" t="n">
        <v>-230456.049993373</v>
      </c>
      <c r="AT57" s="155" t="n">
        <v>-230456.049993373</v>
      </c>
      <c r="AU57" s="155" t="n">
        <v>42029.5353601269</v>
      </c>
      <c r="AV57" s="155" t="n">
        <v>-403030.254050583</v>
      </c>
      <c r="AW57" s="155" t="n">
        <v>-403030.254050583</v>
      </c>
      <c r="AX57" s="155" t="n">
        <v>-403030.254050583</v>
      </c>
      <c r="AY57" s="155" t="n">
        <v>-403030.254050583</v>
      </c>
      <c r="AZ57" s="155" t="n">
        <v>-403030.254050583</v>
      </c>
      <c r="BA57" s="155" t="n">
        <v>-403030.254050583</v>
      </c>
      <c r="BB57" s="155" t="n">
        <v>-412167.385282299</v>
      </c>
      <c r="BC57" s="155" t="n">
        <v>-412167.385282299</v>
      </c>
      <c r="BD57" s="155" t="n">
        <v>-412167.385282299</v>
      </c>
      <c r="BE57" s="155" t="n">
        <v>-412167.385282302</v>
      </c>
      <c r="BF57" s="155" t="n">
        <v>-412167.385282302</v>
      </c>
      <c r="BG57" s="155" t="n">
        <v>-412167.385282302</v>
      </c>
      <c r="BH57" s="155" t="n">
        <v>-412167.385282302</v>
      </c>
      <c r="BI57" s="155" t="n">
        <v>-163231.110226702</v>
      </c>
      <c r="BJ57" s="155" t="n">
        <v>-569827.026150849</v>
      </c>
      <c r="BK57" s="155" t="n">
        <v>-569827.026150849</v>
      </c>
      <c r="BL57" s="155" t="n">
        <v>-569827.026150849</v>
      </c>
      <c r="BM57" s="155" t="n">
        <v>-569827.026150849</v>
      </c>
      <c r="BN57" s="155" t="n">
        <v>-579146.900007199</v>
      </c>
      <c r="BO57" s="155" t="n">
        <v>-579146.900007199</v>
      </c>
      <c r="BP57" s="155" t="n">
        <v>-579146.900007199</v>
      </c>
      <c r="BQ57" s="155" t="n">
        <v>-579146.900007199</v>
      </c>
      <c r="BR57" s="155" t="n">
        <v>-579146.900007199</v>
      </c>
      <c r="BS57" s="155" t="n">
        <v>-579146.900007199</v>
      </c>
      <c r="BT57" s="155" t="n">
        <v>-579146.900007199</v>
      </c>
      <c r="BU57" s="155" t="n">
        <v>-579146.900007199</v>
      </c>
      <c r="BV57" s="155" t="n">
        <v>-579146.900007199</v>
      </c>
      <c r="BW57" s="155" t="n">
        <v>-579146.900007199</v>
      </c>
      <c r="BX57" s="155" t="n">
        <v>-579146.900007199</v>
      </c>
      <c r="BY57" s="155" t="n">
        <v>-579146.900007199</v>
      </c>
      <c r="BZ57" s="155" t="n">
        <v>-588653.171340677</v>
      </c>
      <c r="CA57" s="155" t="n">
        <v>-588653.171340677</v>
      </c>
      <c r="CB57" s="155" t="n">
        <v>-588653.171340677</v>
      </c>
      <c r="CC57" s="155" t="n">
        <v>-588653.171340677</v>
      </c>
      <c r="CD57" s="155" t="n">
        <v>-588653.171340677</v>
      </c>
      <c r="CE57" s="155" t="n">
        <v>-588653.171340677</v>
      </c>
      <c r="CF57" s="155" t="n">
        <v>-588653.171340677</v>
      </c>
      <c r="CG57" s="155" t="n">
        <v>-588653.171340677</v>
      </c>
      <c r="CH57" s="155" t="n">
        <v>-588653.171340677</v>
      </c>
      <c r="CI57" s="155" t="n">
        <v>-588653.171340677</v>
      </c>
      <c r="CJ57" s="155" t="n">
        <v>-588653.171340677</v>
      </c>
      <c r="CK57" s="155" t="n">
        <v>-588653.171340677</v>
      </c>
      <c r="CL57" s="155" t="n">
        <v>-598349.568100823</v>
      </c>
      <c r="CM57" s="155" t="n">
        <v>-598349.568100823</v>
      </c>
      <c r="CN57" s="155" t="n">
        <v>-598349.568100823</v>
      </c>
      <c r="CO57" s="155" t="n">
        <v>-598349.568100823</v>
      </c>
      <c r="CP57" s="155" t="n">
        <v>-598349.568100823</v>
      </c>
      <c r="CQ57" s="155" t="n">
        <v>-598349.568100823</v>
      </c>
      <c r="CR57" s="155" t="n">
        <v>-598349.568100823</v>
      </c>
      <c r="CS57" s="155" t="n">
        <v>-598349.568100823</v>
      </c>
      <c r="CT57" s="155" t="n">
        <v>-598349.568100823</v>
      </c>
      <c r="CU57" s="155" t="n">
        <v>-541129.466733473</v>
      </c>
      <c r="CV57" s="155" t="n">
        <v>-541129.466733473</v>
      </c>
      <c r="CW57" s="155" t="n">
        <v>-541129.466733473</v>
      </c>
      <c r="CX57" s="155" t="n">
        <v>-549875.389401476</v>
      </c>
      <c r="CY57" s="155" t="n">
        <v>-549875.389401476</v>
      </c>
      <c r="CZ57" s="155" t="n">
        <v>-549875.389401476</v>
      </c>
      <c r="DA57" s="155" t="n">
        <v>-549875.389401476</v>
      </c>
      <c r="DB57" s="155" t="n">
        <v>-549875.389401476</v>
      </c>
      <c r="DC57" s="155" t="n">
        <v>-549875.389401476</v>
      </c>
      <c r="DD57" s="155" t="n">
        <v>-549875.389401476</v>
      </c>
      <c r="DE57" s="155" t="n">
        <v>-549875.389401476</v>
      </c>
      <c r="DF57" s="155"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349</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350</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351</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352</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117</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106"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106"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106"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101"/>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101" t="s">
        <v>138</v>
      </c>
      <c r="C114" s="155" t="n">
        <v>-162509.26</v>
      </c>
      <c r="D114" s="155" t="n">
        <v>-155592.54</v>
      </c>
      <c r="E114" s="155" t="n">
        <v>-208014.64</v>
      </c>
      <c r="F114" s="155" t="n">
        <v>-34475.5116666666</v>
      </c>
      <c r="G114" s="155" t="n">
        <v>-34475.5116666666</v>
      </c>
      <c r="H114" s="155" t="n">
        <v>-34475.5116666666</v>
      </c>
      <c r="I114" s="155" t="n">
        <v>-34475.5116666666</v>
      </c>
      <c r="J114" s="155" t="n">
        <v>-34475.5116666666</v>
      </c>
      <c r="K114" s="155" t="n">
        <v>-35308.8416666666</v>
      </c>
      <c r="L114" s="155" t="n">
        <v>-35308.8416666666</v>
      </c>
      <c r="M114" s="155" t="n">
        <v>-44683.8416666666</v>
      </c>
      <c r="N114" s="155" t="n">
        <v>-44683.8416666666</v>
      </c>
      <c r="O114" s="155" t="n">
        <v>-44683.8416666666</v>
      </c>
      <c r="P114" s="155" t="n">
        <v>-44683.8416666666</v>
      </c>
      <c r="Q114" s="155" t="n">
        <v>-44683.8416666666</v>
      </c>
      <c r="R114" s="155" t="n">
        <v>-46245.6435</v>
      </c>
      <c r="S114" s="155" t="n">
        <v>-46245.6435</v>
      </c>
      <c r="T114" s="155" t="n">
        <v>-46245.6435</v>
      </c>
      <c r="U114" s="155" t="n">
        <v>-70151.8935</v>
      </c>
      <c r="V114" s="155" t="n">
        <v>-70151.8935</v>
      </c>
      <c r="W114" s="155" t="n">
        <v>-70151.8935</v>
      </c>
      <c r="X114" s="155" t="n">
        <v>-70151.8935</v>
      </c>
      <c r="Y114" s="155" t="n">
        <v>-70151.8935</v>
      </c>
      <c r="Z114" s="155" t="n">
        <v>-12776.8935</v>
      </c>
      <c r="AA114" s="155" t="n">
        <v>-70151.8935</v>
      </c>
      <c r="AB114" s="155" t="n">
        <v>-70151.8935</v>
      </c>
      <c r="AC114" s="155" t="n">
        <v>-12776.8935</v>
      </c>
      <c r="AD114" s="155" t="n">
        <v>-71744.93137</v>
      </c>
      <c r="AE114" s="155" t="n">
        <v>-71744.93137</v>
      </c>
      <c r="AF114" s="155" t="n">
        <v>-14369.93137</v>
      </c>
      <c r="AG114" s="155" t="n">
        <v>-71744.93137</v>
      </c>
      <c r="AH114" s="155" t="n">
        <v>-71744.93137</v>
      </c>
      <c r="AI114" s="155" t="n">
        <v>-71744.93137</v>
      </c>
      <c r="AJ114" s="155" t="n">
        <v>-81244.93137</v>
      </c>
      <c r="AK114" s="155" t="n">
        <v>-81244.93137</v>
      </c>
      <c r="AL114" s="155" t="n">
        <v>-81244.93137</v>
      </c>
      <c r="AM114" s="155" t="n">
        <v>-81244.93137</v>
      </c>
      <c r="AN114" s="155" t="n">
        <v>-81244.93137</v>
      </c>
      <c r="AO114" s="155" t="n">
        <v>-81244.93137</v>
      </c>
      <c r="AP114" s="155" t="n">
        <v>-82869.8299974</v>
      </c>
      <c r="AQ114" s="155" t="n">
        <v>-82869.8299974</v>
      </c>
      <c r="AR114" s="155" t="n">
        <v>-82869.8299974</v>
      </c>
      <c r="AS114" s="155" t="n">
        <v>-82869.8299974</v>
      </c>
      <c r="AT114" s="155" t="n">
        <v>-82869.8299974</v>
      </c>
      <c r="AU114" s="155" t="n">
        <v>-82869.8299974</v>
      </c>
      <c r="AV114" s="155" t="n">
        <v>-82869.8299974</v>
      </c>
      <c r="AW114" s="155" t="n">
        <v>-82869.8299974</v>
      </c>
      <c r="AX114" s="155" t="n">
        <v>-82869.8299974</v>
      </c>
      <c r="AY114" s="155" t="n">
        <v>-82869.8299974</v>
      </c>
      <c r="AZ114" s="155" t="n">
        <v>-82869.8299974</v>
      </c>
      <c r="BA114" s="155" t="n">
        <v>-82869.8299974</v>
      </c>
      <c r="BB114" s="155" t="n">
        <v>-84527.226597348</v>
      </c>
      <c r="BC114" s="155" t="n">
        <v>-84527.226597348</v>
      </c>
      <c r="BD114" s="155" t="n">
        <v>-84527.226597348</v>
      </c>
      <c r="BE114" s="155" t="n">
        <v>-84527.226597348</v>
      </c>
      <c r="BF114" s="155" t="n">
        <v>-84527.226597348</v>
      </c>
      <c r="BG114" s="155" t="n">
        <v>-84527.226597348</v>
      </c>
      <c r="BH114" s="155" t="n">
        <v>-84527.226597348</v>
      </c>
      <c r="BI114" s="155" t="n">
        <v>-84527.226597348</v>
      </c>
      <c r="BJ114" s="155" t="n">
        <v>-84527.226597348</v>
      </c>
      <c r="BK114" s="155" t="n">
        <v>-84527.226597348</v>
      </c>
      <c r="BL114" s="155" t="n">
        <v>-84527.226597348</v>
      </c>
      <c r="BM114" s="155" t="n">
        <v>-84527.226597348</v>
      </c>
      <c r="BN114" s="155" t="n">
        <v>-86217.771129295</v>
      </c>
      <c r="BO114" s="155" t="n">
        <v>-86217.771129295</v>
      </c>
      <c r="BP114" s="155" t="n">
        <v>-86217.771129295</v>
      </c>
      <c r="BQ114" s="155" t="n">
        <v>-86217.771129295</v>
      </c>
      <c r="BR114" s="155" t="n">
        <v>-86217.771129295</v>
      </c>
      <c r="BS114" s="155" t="n">
        <v>-34704.251129295</v>
      </c>
      <c r="BT114" s="155" t="n">
        <v>-86217.771129295</v>
      </c>
      <c r="BU114" s="155" t="n">
        <v>-86217.771129295</v>
      </c>
      <c r="BV114" s="155" t="n">
        <v>-18455.771129295</v>
      </c>
      <c r="BW114" s="155" t="n">
        <v>-86217.771129295</v>
      </c>
      <c r="BX114" s="155" t="n">
        <v>-86217.771129295</v>
      </c>
      <c r="BY114" s="155" t="n">
        <v>-18455.771129295</v>
      </c>
      <c r="BZ114" s="155" t="n">
        <v>-87942.1265518809</v>
      </c>
      <c r="CA114" s="155" t="n">
        <v>-87942.1265518809</v>
      </c>
      <c r="CB114" s="155" t="n">
        <v>-20180.1265518809</v>
      </c>
      <c r="CC114" s="155" t="n">
        <v>-87942.1265518809</v>
      </c>
      <c r="CD114" s="155" t="n">
        <v>-87942.1265518809</v>
      </c>
      <c r="CE114" s="155" t="n">
        <v>-11443.1265518809</v>
      </c>
      <c r="CF114" s="155" t="n">
        <v>-87942.1265518809</v>
      </c>
      <c r="CG114" s="155" t="n">
        <v>-87942.1265518809</v>
      </c>
      <c r="CH114" s="155" t="n">
        <v>-11443.1265518809</v>
      </c>
      <c r="CI114" s="155" t="n">
        <v>-87942.1265518809</v>
      </c>
      <c r="CJ114" s="155" t="n">
        <v>-87942.1265518809</v>
      </c>
      <c r="CK114" s="155" t="n">
        <v>-4835.09994540163</v>
      </c>
      <c r="CL114" s="155" t="n">
        <v>68160.0309170815</v>
      </c>
      <c r="CM114" s="155" t="n">
        <v>68160.0309170815</v>
      </c>
      <c r="CN114" s="155" t="n">
        <v>68160.0309170815</v>
      </c>
      <c r="CO114" s="155" t="n">
        <v>68160.0309170815</v>
      </c>
      <c r="CP114" s="155" t="n">
        <v>68160.0309170815</v>
      </c>
      <c r="CQ114" s="155" t="n">
        <v>68160.0309170815</v>
      </c>
      <c r="CR114" s="155" t="n">
        <v>68160.0309170815</v>
      </c>
      <c r="CS114" s="155" t="n">
        <v>68160.0309170815</v>
      </c>
      <c r="CT114" s="155" t="n">
        <v>68160.0309170815</v>
      </c>
      <c r="CU114" s="155" t="n">
        <v>70068.524291978</v>
      </c>
      <c r="CV114" s="155" t="n">
        <v>70068.524291978</v>
      </c>
      <c r="CW114" s="155" t="n">
        <v>70068.524291978</v>
      </c>
      <c r="CX114" s="155" t="n">
        <v>124020.82584141</v>
      </c>
      <c r="CY114" s="155" t="n">
        <v>141467.674777818</v>
      </c>
      <c r="CZ114" s="155" t="n">
        <v>141467.674777818</v>
      </c>
      <c r="DA114" s="155" t="n">
        <v>141467.674777818</v>
      </c>
      <c r="DB114" s="155" t="n">
        <v>141467.674777818</v>
      </c>
      <c r="DC114" s="155" t="n">
        <v>141467.674777818</v>
      </c>
      <c r="DD114" s="155" t="n">
        <v>141467.674777818</v>
      </c>
      <c r="DE114" s="155" t="n">
        <v>141467.674777818</v>
      </c>
      <c r="DF114" s="155"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09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518</v>
      </c>
    </row>
    <row r="2" customFormat="false" ht="15" hidden="false" customHeight="true" outlineLevel="0" collapsed="false">
      <c r="A2" s="72" t="s">
        <v>519</v>
      </c>
    </row>
    <row r="4" customFormat="false" ht="31.5" hidden="false" customHeight="true" outlineLevel="0" collapsed="false">
      <c r="A4" s="111" t="s">
        <v>520</v>
      </c>
      <c r="B4" s="111" t="s">
        <v>521</v>
      </c>
      <c r="C4" s="111" t="s">
        <v>522</v>
      </c>
      <c r="D4" s="111" t="s">
        <v>523</v>
      </c>
      <c r="E4" s="111" t="s">
        <v>524</v>
      </c>
      <c r="F4" s="111" t="s">
        <v>525</v>
      </c>
      <c r="G4" s="111" t="s">
        <v>526</v>
      </c>
      <c r="H4" s="111" t="s">
        <v>527</v>
      </c>
      <c r="I4" s="156" t="s">
        <v>528</v>
      </c>
      <c r="J4" s="111" t="s">
        <v>529</v>
      </c>
      <c r="K4" s="111" t="s">
        <v>530</v>
      </c>
      <c r="L4" s="111" t="s">
        <v>531</v>
      </c>
      <c r="M4" s="156" t="s">
        <v>532</v>
      </c>
      <c r="N4" s="156" t="s">
        <v>533</v>
      </c>
      <c r="O4" s="156" t="s">
        <v>534</v>
      </c>
      <c r="P4" s="156" t="s">
        <v>535</v>
      </c>
      <c r="Q4" s="156" t="s">
        <v>536</v>
      </c>
      <c r="R4" s="156" t="s">
        <v>537</v>
      </c>
      <c r="S4" s="156" t="s">
        <v>538</v>
      </c>
    </row>
    <row r="5" customFormat="false" ht="15" hidden="false" customHeight="true" outlineLevel="0" collapsed="false">
      <c r="A5" s="157" t="s">
        <v>268</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3237452.20785205</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269</v>
      </c>
      <c r="B6" s="165" t="n">
        <f aca="false">SUM(Helpers!O96:Z96)</f>
        <v>26182677.7591805</v>
      </c>
      <c r="C6" s="165" t="n">
        <f aca="false">(SUM(Helpers!O97:Z97)-SUM(Helpers!O96:Z96))*(Assumptions!$B$10+Assumptions!$B$12)/Assumptions!$B$9</f>
        <v>1837877.54112971</v>
      </c>
      <c r="D6" s="165" t="n">
        <f aca="false">(SUM(Helpers!O97:Z97)-SUM(Helpers!O96:Z96))*Assumptions!$B$11/Assumptions!$B$9</f>
        <v>1378401.47702782</v>
      </c>
      <c r="E6" s="165" t="n">
        <v>0</v>
      </c>
      <c r="F6" s="166" t="n">
        <f aca="false">SUM(Helpers!O97:Z97)</f>
        <v>29398956.777338</v>
      </c>
      <c r="G6" s="165" t="n">
        <f aca="false">SUM(Helpers!O99:Z99)</f>
        <v>6166974.9733087</v>
      </c>
      <c r="H6" s="166" t="n">
        <f aca="false">SUM(Helpers!O100:Z100)</f>
        <v>1592992.59571297</v>
      </c>
      <c r="I6" s="167" t="n">
        <f aca="false">-SUM(Model!N234:Y234)</f>
        <v>213230.020825</v>
      </c>
      <c r="J6" s="165" t="n">
        <f aca="false">Personnel!$C$46</f>
        <v>222000</v>
      </c>
      <c r="K6" s="168" t="n">
        <f aca="false">I6+J6</f>
        <v>435230.020825</v>
      </c>
      <c r="L6" s="169" t="n">
        <f aca="false">IFERROR(I6/K6,0)</f>
        <v>0.489924891717745</v>
      </c>
      <c r="M6" s="160" t="n">
        <f aca="false">SUM(Helpers!O101:Z101)</f>
        <v>24699166.9350593</v>
      </c>
      <c r="N6" s="160" t="n">
        <f aca="false">B6-M6</f>
        <v>1483510.82412124</v>
      </c>
      <c r="O6" s="160" t="n">
        <f aca="false">IFERROR(H6*M6/B6,0)</f>
        <v>1502733.61684834</v>
      </c>
      <c r="P6" s="160" t="n">
        <f aca="false">H6-O6</f>
        <v>90258.9788646256</v>
      </c>
      <c r="Q6" s="163" t="n">
        <f aca="false">IF(N6&gt;=Assumptions!$B$86,Assumptions!$C$86,IF(N6&gt;=Assumptions!$B$85,Assumptions!$C$85,IF(N6&gt;=Assumptions!$B$84,Assumptions!$C$84,Assumptions!$C$83)))</f>
        <v>0.25</v>
      </c>
      <c r="R6" s="160" t="n">
        <f aca="false">O6*Q6*0.1</f>
        <v>37568.3404212085</v>
      </c>
      <c r="S6" s="160" t="n">
        <f aca="false">P6*0.1</f>
        <v>9025.89788646256</v>
      </c>
    </row>
    <row r="7" customFormat="false" ht="15" hidden="false" customHeight="true" outlineLevel="0" collapsed="false">
      <c r="A7" s="157" t="s">
        <v>270</v>
      </c>
      <c r="B7" s="158" t="n">
        <f aca="false">SUM(Helpers!AA96:AL96)</f>
        <v>53655309.9414803</v>
      </c>
      <c r="C7" s="158" t="n">
        <f aca="false">(SUM(Helpers!AA97:AL97)-SUM(Helpers!AA96:AL96))*(Assumptions!$B$10+Assumptions!$B$12)/Assumptions!$B$9</f>
        <v>3135323.95046852</v>
      </c>
      <c r="D7" s="158" t="n">
        <f aca="false">(SUM(Helpers!AA97:AL97)-SUM(Helpers!AA96:AL96))*Assumptions!$B$11/Assumptions!$B$9</f>
        <v>2351481.5691311</v>
      </c>
      <c r="E7" s="158" t="n">
        <v>0</v>
      </c>
      <c r="F7" s="159" t="n">
        <f aca="false">SUM(Helpers!AA97:AL97)</f>
        <v>59142115.4610799</v>
      </c>
      <c r="G7" s="158" t="n">
        <f aca="false">SUM(Helpers!AA99:AL99)</f>
        <v>7222522.77366857</v>
      </c>
      <c r="H7" s="159" t="n">
        <f aca="false">SUM(Helpers!AA100:AL100)</f>
        <v>2822901.61548357</v>
      </c>
      <c r="I7" s="160" t="n">
        <f aca="false">-SUM(Model!Z234:AK234)</f>
        <v>-0</v>
      </c>
      <c r="J7" s="158" t="n">
        <f aca="false">Personnel!$C$46</f>
        <v>222000</v>
      </c>
      <c r="K7" s="161" t="n">
        <f aca="false">I7+J7</f>
        <v>222000</v>
      </c>
      <c r="L7" s="162" t="n">
        <f aca="false">IFERROR(I7/K7,0)</f>
        <v>-0</v>
      </c>
      <c r="M7" s="160" t="n">
        <f aca="false">SUM(Helpers!AA101:AL101)</f>
        <v>35077463.9093678</v>
      </c>
      <c r="N7" s="160" t="n">
        <f aca="false">B7-M7</f>
        <v>18577846.0321126</v>
      </c>
      <c r="O7" s="160" t="n">
        <f aca="false">IFERROR(H7*M7/B7,0)</f>
        <v>1845487.97956471</v>
      </c>
      <c r="P7" s="160" t="n">
        <f aca="false">H7-O7</f>
        <v>977413.63591886</v>
      </c>
      <c r="Q7" s="163" t="n">
        <f aca="false">IF(N7&gt;=Assumptions!$B$86,Assumptions!$C$86,IF(N7&gt;=Assumptions!$B$85,Assumptions!$C$85,IF(N7&gt;=Assumptions!$B$84,Assumptions!$C$84,Assumptions!$C$83)))</f>
        <v>0.25</v>
      </c>
      <c r="R7" s="160" t="n">
        <f aca="false">O7*Q7*0.1</f>
        <v>46137.1994891178</v>
      </c>
      <c r="S7" s="160" t="n">
        <f aca="false">P7*0.1</f>
        <v>97741.363591886</v>
      </c>
    </row>
    <row r="8" customFormat="false" ht="15" hidden="false" customHeight="true" outlineLevel="0" collapsed="false">
      <c r="A8" s="164" t="s">
        <v>271</v>
      </c>
      <c r="B8" s="165" t="n">
        <f aca="false">SUM(Helpers!AM96:AX96)</f>
        <v>5454020.6293392</v>
      </c>
      <c r="C8" s="165" t="n">
        <f aca="false">(SUM(Helpers!AM97:AX97)-SUM(Helpers!AM96:AX96))*(Assumptions!$B$10+Assumptions!$B$12)/Assumptions!$B$9</f>
        <v>894462.221464115</v>
      </c>
      <c r="D8" s="165" t="n">
        <f aca="false">(SUM(Helpers!AM97:AX97)-SUM(Helpers!AM96:AX96))*Assumptions!$B$11/Assumptions!$B$9</f>
        <v>670843.415635766</v>
      </c>
      <c r="E8" s="165" t="n">
        <v>0</v>
      </c>
      <c r="F8" s="166" t="n">
        <f aca="false">SUM(Helpers!AM97:AX97)</f>
        <v>7019326.26643908</v>
      </c>
      <c r="G8" s="165" t="n">
        <f aca="false">SUM(Helpers!AM99:AX99)</f>
        <v>344295.52710434</v>
      </c>
      <c r="H8" s="166" t="n">
        <f aca="false">SUM(Helpers!AM100:AX100)</f>
        <v>235895.766653094</v>
      </c>
      <c r="I8" s="167" t="n">
        <f aca="false">-SUM(Model!AL234:AW234)</f>
        <v>-0</v>
      </c>
      <c r="J8" s="165" t="n">
        <f aca="false">Personnel!$C$46</f>
        <v>222000</v>
      </c>
      <c r="K8" s="168" t="n">
        <f aca="false">I8+J8</f>
        <v>222000</v>
      </c>
      <c r="L8" s="169" t="n">
        <f aca="false">IFERROR(I8/K8,0)</f>
        <v>-0</v>
      </c>
      <c r="M8" s="160" t="n">
        <f aca="false">SUM(Helpers!AM101:AX101)</f>
        <v>489046.905573</v>
      </c>
      <c r="N8" s="160" t="n">
        <f aca="false">B8-M8</f>
        <v>4964973.7237662</v>
      </c>
      <c r="O8" s="160" t="n">
        <f aca="false">IFERROR(H8*M8/B8,0)</f>
        <v>21152.1192455488</v>
      </c>
      <c r="P8" s="160" t="n">
        <f aca="false">H8-O8</f>
        <v>214743.647407545</v>
      </c>
      <c r="Q8" s="163" t="n">
        <f aca="false">IF(N8&gt;=Assumptions!$B$86,Assumptions!$C$86,IF(N8&gt;=Assumptions!$B$85,Assumptions!$C$85,IF(N8&gt;=Assumptions!$B$84,Assumptions!$C$84,Assumptions!$C$83)))</f>
        <v>0.25</v>
      </c>
      <c r="R8" s="160" t="n">
        <f aca="false">O8*Q8*0.1</f>
        <v>528.80298113872</v>
      </c>
      <c r="S8" s="160" t="n">
        <f aca="false">P8*0.1</f>
        <v>21474.3647407545</v>
      </c>
    </row>
    <row r="9" customFormat="false" ht="15" hidden="false" customHeight="true" outlineLevel="0" collapsed="false">
      <c r="A9" s="157" t="s">
        <v>272</v>
      </c>
      <c r="B9" s="158" t="n">
        <f aca="false">SUM(Helpers!AY96:BJ96)</f>
        <v>0</v>
      </c>
      <c r="C9" s="158" t="n">
        <f aca="false">(SUM(Helpers!AY97:BJ97)-SUM(Helpers!AY96:BJ96))*(Assumptions!$B$10+Assumptions!$B$12)/Assumptions!$B$9</f>
        <v>0</v>
      </c>
      <c r="D9" s="158" t="n">
        <f aca="false">(SUM(Helpers!AY97:BJ97)-SUM(Helpers!AY96:BJ96))*Assumptions!$B$11/Assumptions!$B$9</f>
        <v>0</v>
      </c>
      <c r="E9" s="158" t="n">
        <v>0</v>
      </c>
      <c r="F9" s="159" t="n">
        <f aca="false">SUM(Helpers!AY97:BJ97)</f>
        <v>0</v>
      </c>
      <c r="G9" s="158" t="n">
        <f aca="false">SUM(Helpers!AY99:BJ99)</f>
        <v>-2936383.27425205</v>
      </c>
      <c r="H9" s="159" t="n">
        <f aca="false">SUM(Helpers!AY100:BJ100)</f>
        <v>0</v>
      </c>
      <c r="I9" s="160" t="n">
        <f aca="false">-SUM(Model!AX234:BI234)</f>
        <v>-0</v>
      </c>
      <c r="J9" s="158" t="n">
        <f aca="false">Personnel!$C$46</f>
        <v>222000</v>
      </c>
      <c r="K9" s="161" t="n">
        <f aca="false">I9+J9</f>
        <v>222000</v>
      </c>
      <c r="L9" s="162" t="n">
        <f aca="false">IFERROR(I9/K9,0)</f>
        <v>-0</v>
      </c>
      <c r="M9" s="160" t="n">
        <f aca="false">SUM(Helpers!AY101:BJ101)</f>
        <v>0</v>
      </c>
      <c r="N9" s="160" t="n">
        <f aca="false">B9-M9</f>
        <v>0</v>
      </c>
      <c r="O9" s="160" t="n">
        <f aca="false">IFERROR(H9*M9/B9,0)</f>
        <v>0</v>
      </c>
      <c r="P9" s="160" t="n">
        <f aca="false">H9-O9</f>
        <v>0</v>
      </c>
      <c r="Q9" s="163" t="n">
        <f aca="false">IF(N9&gt;=Assumptions!$B$86,Assumptions!$C$86,IF(N9&gt;=Assumptions!$B$85,Assumptions!$C$85,IF(N9&gt;=Assumptions!$B$84,Assumptions!$C$84,Assumptions!$C$83)))</f>
        <v>0.25</v>
      </c>
      <c r="R9" s="160" t="n">
        <f aca="false">O9*Q9*0.1</f>
        <v>0</v>
      </c>
      <c r="S9" s="160" t="n">
        <f aca="false">P9*0.1</f>
        <v>0</v>
      </c>
    </row>
    <row r="10" customFormat="false" ht="15" hidden="false" customHeight="true" outlineLevel="0" collapsed="false">
      <c r="A10" s="164" t="s">
        <v>273</v>
      </c>
      <c r="B10" s="165" t="n">
        <f aca="false">SUM(Helpers!BK96:BV96)</f>
        <v>0</v>
      </c>
      <c r="C10" s="165" t="n">
        <f aca="false">(SUM(Helpers!BK97:BV97)-SUM(Helpers!BK96:BV96))*(Assumptions!$B$10+Assumptions!$B$12)/Assumptions!$B$9</f>
        <v>0</v>
      </c>
      <c r="D10" s="165" t="n">
        <f aca="false">(SUM(Helpers!BK97:BV97)-SUM(Helpers!BK96:BV96))*Assumptions!$B$11/Assumptions!$B$9</f>
        <v>0</v>
      </c>
      <c r="E10" s="165" t="n">
        <v>0</v>
      </c>
      <c r="F10" s="166" t="n">
        <f aca="false">SUM(Helpers!BK97:BV97)</f>
        <v>0</v>
      </c>
      <c r="G10" s="165" t="n">
        <f aca="false">SUM(Helpers!BK99:BV99)</f>
        <v>-5017967.1108389</v>
      </c>
      <c r="H10" s="166" t="n">
        <f aca="false">SUM(Helpers!BK100:BV100)</f>
        <v>0</v>
      </c>
      <c r="I10" s="167" t="n">
        <f aca="false">-SUM(Model!BJ234:BU234)</f>
        <v>-0</v>
      </c>
      <c r="J10" s="165" t="n">
        <f aca="false">Personnel!$C$46</f>
        <v>222000</v>
      </c>
      <c r="K10" s="168" t="n">
        <f aca="false">I10+J10</f>
        <v>222000</v>
      </c>
      <c r="L10" s="169" t="n">
        <f aca="false">IFERROR(I10/K10,0)</f>
        <v>-0</v>
      </c>
      <c r="M10" s="160" t="n">
        <f aca="false">SUM(Helpers!BK101:BV101)</f>
        <v>0</v>
      </c>
      <c r="N10" s="160" t="n">
        <f aca="false">B10-M10</f>
        <v>0</v>
      </c>
      <c r="O10" s="160" t="n">
        <f aca="false">IFERROR(H10*M10/B10,0)</f>
        <v>0</v>
      </c>
      <c r="P10" s="160" t="n">
        <f aca="false">H10-O10</f>
        <v>0</v>
      </c>
      <c r="Q10" s="163" t="n">
        <f aca="false">IF(N10&gt;=Assumptions!$B$86,Assumptions!$C$86,IF(N10&gt;=Assumptions!$B$85,Assumptions!$C$85,IF(N10&gt;=Assumptions!$B$84,Assumptions!$C$84,Assumptions!$C$83)))</f>
        <v>0.25</v>
      </c>
      <c r="R10" s="160" t="n">
        <f aca="false">O10*Q10*0.1</f>
        <v>0</v>
      </c>
      <c r="S10" s="160" t="n">
        <f aca="false">P10*0.1</f>
        <v>0</v>
      </c>
    </row>
    <row r="11" customFormat="false" ht="15" hidden="false" customHeight="true" outlineLevel="0" collapsed="false">
      <c r="A11" s="157" t="s">
        <v>274</v>
      </c>
      <c r="B11" s="158" t="n">
        <f aca="false">SUM(Helpers!BW96:CH96)</f>
        <v>0</v>
      </c>
      <c r="C11" s="158" t="n">
        <f aca="false">(SUM(Helpers!BW97:CH97)-SUM(Helpers!BW96:CH96))*(Assumptions!$B$10+Assumptions!$B$12)/Assumptions!$B$9</f>
        <v>0</v>
      </c>
      <c r="D11" s="158" t="n">
        <f aca="false">(SUM(Helpers!BW97:CH97)-SUM(Helpers!BW96:CH96))*Assumptions!$B$11/Assumptions!$B$9</f>
        <v>0</v>
      </c>
      <c r="E11" s="158" t="n">
        <v>0</v>
      </c>
      <c r="F11" s="159" t="n">
        <f aca="false">SUM(Helpers!BW97:CH97)</f>
        <v>0</v>
      </c>
      <c r="G11" s="158" t="n">
        <f aca="false">SUM(Helpers!BW99:CH99)</f>
        <v>-5118326.45305568</v>
      </c>
      <c r="H11" s="159" t="n">
        <f aca="false">SUM(Helpers!BW100:CH100)</f>
        <v>0</v>
      </c>
      <c r="I11" s="160" t="n">
        <f aca="false">-SUM(Model!BV234:CG234)</f>
        <v>-0</v>
      </c>
      <c r="J11" s="158" t="n">
        <f aca="false">Personnel!$C$46</f>
        <v>222000</v>
      </c>
      <c r="K11" s="161" t="n">
        <f aca="false">I11+J11</f>
        <v>222000</v>
      </c>
      <c r="L11" s="162" t="n">
        <f aca="false">IFERROR(I11/K11,0)</f>
        <v>-0</v>
      </c>
      <c r="M11" s="160" t="n">
        <f aca="false">SUM(Helpers!BW101:CH101)</f>
        <v>0</v>
      </c>
      <c r="N11" s="160" t="n">
        <f aca="false">B11-M11</f>
        <v>0</v>
      </c>
      <c r="O11" s="160" t="n">
        <f aca="false">IFERROR(H11*M11/B11,0)</f>
        <v>0</v>
      </c>
      <c r="P11" s="160" t="n">
        <f aca="false">H11-O11</f>
        <v>0</v>
      </c>
      <c r="Q11" s="163" t="n">
        <f aca="false">IF(N11&gt;=Assumptions!$B$86,Assumptions!$C$86,IF(N11&gt;=Assumptions!$B$85,Assumptions!$C$85,IF(N11&gt;=Assumptions!$B$84,Assumptions!$C$84,Assumptions!$C$83)))</f>
        <v>0.25</v>
      </c>
      <c r="R11" s="160" t="n">
        <f aca="false">O11*Q11*0.1</f>
        <v>0</v>
      </c>
      <c r="S11" s="160" t="n">
        <f aca="false">P11*0.1</f>
        <v>0</v>
      </c>
    </row>
    <row r="12" customFormat="false" ht="15" hidden="false" customHeight="true" outlineLevel="0" collapsed="false">
      <c r="A12" s="164" t="s">
        <v>275</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539</v>
      </c>
      <c r="B13" s="170" t="n">
        <f aca="false">SUM(B5:B12)</f>
        <v>85292008.33</v>
      </c>
      <c r="C13" s="170" t="n">
        <f aca="false">SUM(C5:C12)</f>
        <v>5867663.71306235</v>
      </c>
      <c r="D13" s="170" t="n">
        <f aca="false">SUM(D5:D12)</f>
        <v>4400726.46179468</v>
      </c>
      <c r="E13" s="170" t="n">
        <f aca="false">SUM(E5:E12)</f>
        <v>0</v>
      </c>
      <c r="F13" s="170" t="n">
        <f aca="false">SUM(F5:F12)</f>
        <v>95560398.504857</v>
      </c>
      <c r="G13" s="170" t="n">
        <f aca="false">SUM(G5:G12)</f>
        <v>-1322124.33832977</v>
      </c>
      <c r="H13" s="170" t="n">
        <f aca="false">SUM(H5:H12)</f>
        <v>4651789.97784963</v>
      </c>
      <c r="I13" s="171" t="n">
        <f aca="false">SUM(I5:I12)</f>
        <v>213230.020825</v>
      </c>
      <c r="J13" s="170" t="n">
        <f aca="false">SUM(J5:J12)</f>
        <v>1720500</v>
      </c>
      <c r="K13" s="170" t="n">
        <f aca="false">SUM(K5:K12)</f>
        <v>1933730.020825</v>
      </c>
      <c r="L13" s="172" t="n">
        <f aca="false">IFERROR(I13/K13,0)</f>
        <v>0.110268764785494</v>
      </c>
      <c r="M13" s="173" t="n">
        <f aca="false">SUM(M5:M12)</f>
        <v>60265677.75</v>
      </c>
      <c r="N13" s="173" t="n">
        <f aca="false">SUM(N5:N12)</f>
        <v>25026330.58</v>
      </c>
      <c r="O13" s="173" t="n">
        <f aca="false">SUM(O5:O12)</f>
        <v>3369373.7156586</v>
      </c>
      <c r="P13" s="173" t="n">
        <f aca="false">SUM(P5:P12)</f>
        <v>1282416.26219103</v>
      </c>
      <c r="Q13" s="174" t="n">
        <f aca="false">IFERROR(R13/O13,0)</f>
        <v>0.025</v>
      </c>
      <c r="R13" s="173" t="n">
        <f aca="false">SUM(R5:R12)</f>
        <v>84234.342891465</v>
      </c>
      <c r="S13" s="173" t="n">
        <f aca="false">SUM(S5:S12)</f>
        <v>128241.626219103</v>
      </c>
    </row>
    <row r="15" customFormat="false" ht="15" hidden="false" customHeight="true" outlineLevel="0" collapsed="false">
      <c r="A15" s="94" t="s">
        <v>200</v>
      </c>
    </row>
    <row r="16" customFormat="false" ht="15" hidden="false" customHeight="true" outlineLevel="0" collapsed="false">
      <c r="A16" s="175" t="s">
        <v>540</v>
      </c>
      <c r="B16" s="175"/>
      <c r="C16" s="175"/>
      <c r="D16" s="175"/>
      <c r="E16" s="175"/>
      <c r="F16" s="175"/>
      <c r="G16" s="175"/>
      <c r="H16" s="175"/>
    </row>
    <row r="17" customFormat="false" ht="15" hidden="false" customHeight="true" outlineLevel="0" collapsed="false">
      <c r="A17" s="175" t="s">
        <v>541</v>
      </c>
      <c r="B17" s="175"/>
      <c r="C17" s="175"/>
      <c r="D17" s="175"/>
      <c r="E17" s="175"/>
      <c r="F17" s="175"/>
      <c r="G17" s="175"/>
      <c r="H17" s="175"/>
    </row>
    <row r="18" customFormat="false" ht="15" hidden="false" customHeight="true" outlineLevel="0" collapsed="false">
      <c r="A18" s="175" t="s">
        <v>542</v>
      </c>
      <c r="B18" s="175"/>
      <c r="C18" s="175"/>
      <c r="D18" s="175"/>
      <c r="E18" s="175"/>
      <c r="F18" s="175"/>
      <c r="G18" s="175"/>
      <c r="H18" s="175"/>
    </row>
    <row r="19" customFormat="false" ht="15" hidden="false" customHeight="true" outlineLevel="0" collapsed="false">
      <c r="A19" s="175" t="s">
        <v>543</v>
      </c>
      <c r="B19" s="175"/>
      <c r="C19" s="175"/>
      <c r="D19" s="175"/>
      <c r="E19" s="175"/>
      <c r="F19" s="175"/>
      <c r="G19" s="175"/>
      <c r="H19" s="175"/>
    </row>
    <row r="20" customFormat="false" ht="15" hidden="false" customHeight="true" outlineLevel="0" collapsed="false">
      <c r="A20" s="175" t="s">
        <v>544</v>
      </c>
      <c r="B20" s="175"/>
      <c r="C20" s="175"/>
      <c r="D20" s="175"/>
      <c r="E20" s="175"/>
      <c r="F20" s="175"/>
      <c r="G20" s="175"/>
      <c r="H20" s="175"/>
    </row>
    <row r="21" customFormat="false" ht="15" hidden="false" customHeight="true" outlineLevel="0" collapsed="false">
      <c r="A21" s="72" t="s">
        <v>545</v>
      </c>
    </row>
    <row r="22" customFormat="false" ht="15" hidden="false" customHeight="true" outlineLevel="0" collapsed="false">
      <c r="A22" s="72" t="s">
        <v>546</v>
      </c>
    </row>
    <row r="23" customFormat="false" ht="15" hidden="false" customHeight="true" outlineLevel="0" collapsed="false">
      <c r="A23" s="72" t="s">
        <v>547</v>
      </c>
    </row>
    <row r="24" customFormat="false" ht="15" hidden="false" customHeight="true" outlineLevel="0" collapsed="false">
      <c r="A24" s="72" t="s">
        <v>548</v>
      </c>
    </row>
    <row r="25" customFormat="false" ht="15" hidden="false" customHeight="true" outlineLevel="0" collapsed="false">
      <c r="A25" s="72" t="s">
        <v>549</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W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7" activeCellId="0" sqref="D7"/>
    </sheetView>
  </sheetViews>
  <sheetFormatPr defaultColWidth="8.7109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550</v>
      </c>
      <c r="B1" s="44" t="s">
        <v>551</v>
      </c>
      <c r="C1" s="44" t="s">
        <v>552</v>
      </c>
      <c r="D1" s="44" t="s">
        <v>553</v>
      </c>
      <c r="E1" s="44" t="s">
        <v>554</v>
      </c>
      <c r="F1" s="44" t="s">
        <v>555</v>
      </c>
      <c r="G1" s="44" t="s">
        <v>556</v>
      </c>
      <c r="H1" s="44" t="s">
        <v>557</v>
      </c>
      <c r="I1" s="44" t="s">
        <v>558</v>
      </c>
      <c r="J1" s="44" t="s">
        <v>559</v>
      </c>
      <c r="K1" s="44" t="s">
        <v>560</v>
      </c>
      <c r="L1" s="44" t="s">
        <v>561</v>
      </c>
      <c r="N1" s="44" t="s">
        <v>562</v>
      </c>
      <c r="O1" s="44" t="s">
        <v>563</v>
      </c>
      <c r="P1" s="44" t="s">
        <v>564</v>
      </c>
      <c r="Q1" s="44" t="s">
        <v>565</v>
      </c>
      <c r="R1" s="44" t="s">
        <v>566</v>
      </c>
      <c r="S1" s="44" t="s">
        <v>567</v>
      </c>
      <c r="T1" s="44" t="s">
        <v>568</v>
      </c>
      <c r="V1" s="1" t="s">
        <v>569</v>
      </c>
      <c r="W1" s="176" t="s">
        <v>570</v>
      </c>
    </row>
    <row r="2" customFormat="false" ht="15" hidden="false" customHeight="true" outlineLevel="0" collapsed="false">
      <c r="A2" s="177" t="s">
        <v>7</v>
      </c>
      <c r="B2" s="178" t="n">
        <v>7126075</v>
      </c>
      <c r="C2" s="179" t="n">
        <v>1</v>
      </c>
      <c r="D2" s="179" t="n">
        <v>8</v>
      </c>
      <c r="E2" s="179" t="n">
        <v>2</v>
      </c>
      <c r="F2" s="179" t="s">
        <v>571</v>
      </c>
      <c r="G2" s="179" t="s">
        <v>572</v>
      </c>
      <c r="H2" s="179" t="n">
        <v>0</v>
      </c>
      <c r="I2" s="180" t="n">
        <f aca="false">IF(H2=1,Assumptions!$B$16,IF(H2=2,Assumptions!$B$17,0))</f>
        <v>0</v>
      </c>
      <c r="J2" s="179" t="s">
        <v>571</v>
      </c>
      <c r="K2" s="179" t="s">
        <v>571</v>
      </c>
      <c r="L2" s="179" t="s">
        <v>573</v>
      </c>
      <c r="N2" s="178" t="n">
        <v>194932</v>
      </c>
      <c r="O2" s="178" t="n">
        <f aca="false">B2*Assumptions!$B$11</f>
        <v>367676.9657</v>
      </c>
      <c r="P2" s="178" t="n">
        <v>46323</v>
      </c>
      <c r="Q2" s="178" t="n">
        <f aca="false">N2+O2+P2</f>
        <v>608931.9657</v>
      </c>
      <c r="R2" s="178" t="n">
        <f aca="false">Q2*0.05</f>
        <v>30446.598285</v>
      </c>
      <c r="S2" s="177" t="n">
        <f aca="false">C2+D2-1</f>
        <v>8</v>
      </c>
      <c r="T2" s="181"/>
      <c r="V2" s="1" t="s">
        <v>574</v>
      </c>
      <c r="W2" s="182" t="n">
        <f aca="false">C2+D2-1</f>
        <v>8</v>
      </c>
    </row>
    <row r="3" customFormat="false" ht="15" hidden="false" customHeight="true" outlineLevel="0" collapsed="false">
      <c r="A3" s="177" t="s">
        <v>8</v>
      </c>
      <c r="B3" s="178" t="n">
        <v>20176449</v>
      </c>
      <c r="C3" s="179" t="n">
        <v>1</v>
      </c>
      <c r="D3" s="179"/>
      <c r="E3" s="179"/>
      <c r="F3" s="179" t="s">
        <v>571</v>
      </c>
      <c r="G3" s="179" t="s">
        <v>572</v>
      </c>
      <c r="H3" s="179" t="n">
        <v>0</v>
      </c>
      <c r="I3" s="180" t="n">
        <f aca="false">IF(H3=1,Assumptions!$B$16,IF(H3=2,Assumptions!$B$17,0))</f>
        <v>0</v>
      </c>
      <c r="J3" s="179" t="s">
        <v>571</v>
      </c>
      <c r="K3" s="179" t="s">
        <v>571</v>
      </c>
      <c r="L3" s="179" t="s">
        <v>573</v>
      </c>
      <c r="N3" s="178" t="n">
        <v>888067</v>
      </c>
      <c r="O3" s="178" t="n">
        <f aca="false">B3*Assumptions!$B$11</f>
        <v>1041024.062604</v>
      </c>
      <c r="P3" s="178" t="n">
        <v>176626</v>
      </c>
      <c r="Q3" s="178" t="n">
        <f aca="false">N3+O3+P3</f>
        <v>2105717.062604</v>
      </c>
      <c r="R3" s="178" t="n">
        <f aca="false">Q3*0.05</f>
        <v>105285.8531302</v>
      </c>
      <c r="S3" s="177" t="n">
        <f aca="false">C3+D3-1</f>
        <v>0</v>
      </c>
      <c r="T3" s="181"/>
      <c r="V3" s="1" t="s">
        <v>575</v>
      </c>
      <c r="W3" s="182" t="n">
        <v>18</v>
      </c>
    </row>
    <row r="4" customFormat="false" ht="15" hidden="false" customHeight="true" outlineLevel="0" collapsed="false">
      <c r="A4" s="177" t="s">
        <v>9</v>
      </c>
      <c r="B4" s="178" t="n">
        <v>11929880</v>
      </c>
      <c r="C4" s="179" t="n">
        <v>1</v>
      </c>
      <c r="D4" s="179"/>
      <c r="E4" s="179"/>
      <c r="F4" s="179" t="s">
        <v>572</v>
      </c>
      <c r="G4" s="179" t="s">
        <v>572</v>
      </c>
      <c r="H4" s="179" t="n">
        <v>1</v>
      </c>
      <c r="I4" s="180" t="n">
        <f aca="false">IF(H4=1,Assumptions!$B$16,IF(H4=2,Assumptions!$B$17,0))</f>
        <v>0.0074</v>
      </c>
      <c r="J4" s="179" t="s">
        <v>571</v>
      </c>
      <c r="K4" s="179" t="s">
        <v>572</v>
      </c>
      <c r="L4" s="179" t="s">
        <v>576</v>
      </c>
      <c r="N4" s="178" t="n">
        <f aca="false">B4*Assumptions!$B$10</f>
        <v>615534.08848</v>
      </c>
      <c r="O4" s="178" t="n">
        <f aca="false">B4*Assumptions!$B$11</f>
        <v>615534.08848</v>
      </c>
      <c r="P4" s="178" t="n">
        <f aca="false">B4*Assumptions!$B$12</f>
        <v>205182.00612</v>
      </c>
      <c r="Q4" s="178" t="n">
        <f aca="false">N4+O4+P4</f>
        <v>1436250.18308</v>
      </c>
      <c r="R4" s="178" t="n">
        <f aca="false">Q4*0.05</f>
        <v>71812.509154</v>
      </c>
      <c r="S4" s="177" t="n">
        <f aca="false">C4+D4-1</f>
        <v>0</v>
      </c>
      <c r="T4" s="181"/>
      <c r="W4" s="182" t="n">
        <v>17</v>
      </c>
    </row>
    <row r="5" customFormat="false" ht="15" hidden="false" customHeight="true" outlineLevel="0" collapsed="false">
      <c r="A5" s="177" t="s">
        <v>10</v>
      </c>
      <c r="B5" s="178" t="n">
        <v>14427884</v>
      </c>
      <c r="C5" s="179" t="n">
        <v>1</v>
      </c>
      <c r="D5" s="179"/>
      <c r="E5" s="179"/>
      <c r="F5" s="179" t="s">
        <v>572</v>
      </c>
      <c r="G5" s="179" t="s">
        <v>572</v>
      </c>
      <c r="H5" s="179" t="n">
        <v>1</v>
      </c>
      <c r="I5" s="180" t="n">
        <f aca="false">IF(H5=1,Assumptions!$B$16,IF(H5=2,Assumptions!$B$17,0))</f>
        <v>0.0074</v>
      </c>
      <c r="J5" s="179" t="s">
        <v>571</v>
      </c>
      <c r="K5" s="179" t="s">
        <v>572</v>
      </c>
      <c r="L5" s="179" t="s">
        <v>576</v>
      </c>
      <c r="N5" s="178" t="n">
        <f aca="false">B5*Assumptions!$B$10</f>
        <v>744421.102864</v>
      </c>
      <c r="O5" s="178" t="n">
        <f aca="false">B5*Assumptions!$B$11</f>
        <v>744421.102864</v>
      </c>
      <c r="P5" s="178" t="n">
        <f aca="false">B5*Assumptions!$B$12</f>
        <v>248145.176916</v>
      </c>
      <c r="Q5" s="178" t="n">
        <f aca="false">N5+O5+P5</f>
        <v>1736987.382644</v>
      </c>
      <c r="R5" s="178" t="n">
        <f aca="false">Q5*0.05</f>
        <v>86849.3691322</v>
      </c>
      <c r="S5" s="177" t="n">
        <f aca="false">C5+D5-1</f>
        <v>0</v>
      </c>
      <c r="T5" s="181"/>
      <c r="W5" s="182" t="n">
        <v>19</v>
      </c>
    </row>
    <row r="6" customFormat="false" ht="15" hidden="false" customHeight="true" outlineLevel="0" collapsed="false">
      <c r="A6" s="177" t="s">
        <v>11</v>
      </c>
      <c r="B6" s="178" t="n">
        <v>3623245</v>
      </c>
      <c r="C6" s="179" t="n">
        <v>1</v>
      </c>
      <c r="D6" s="179"/>
      <c r="E6" s="179"/>
      <c r="F6" s="179" t="s">
        <v>571</v>
      </c>
      <c r="G6" s="179" t="s">
        <v>572</v>
      </c>
      <c r="H6" s="179" t="n">
        <v>0</v>
      </c>
      <c r="I6" s="180" t="n">
        <f aca="false">IF(H6=1,Assumptions!$B$16,IF(H6=2,Assumptions!$B$17,0))</f>
        <v>0</v>
      </c>
      <c r="J6" s="179" t="s">
        <v>571</v>
      </c>
      <c r="K6" s="179" t="s">
        <v>572</v>
      </c>
      <c r="L6" s="179" t="s">
        <v>576</v>
      </c>
      <c r="N6" s="178" t="n">
        <v>245000</v>
      </c>
      <c r="O6" s="178" t="n">
        <f aca="false">B6*Assumptions!$B$11</f>
        <v>186944.94902</v>
      </c>
      <c r="P6" s="178" t="n">
        <v>0</v>
      </c>
      <c r="Q6" s="178" t="n">
        <f aca="false">N6+O6+P6</f>
        <v>431944.94902</v>
      </c>
      <c r="R6" s="178" t="n">
        <f aca="false">Q6*0.05</f>
        <v>21597.247451</v>
      </c>
      <c r="S6" s="177" t="n">
        <f aca="false">C6+D6-1</f>
        <v>0</v>
      </c>
      <c r="T6" s="181" t="n">
        <f aca="false">Assumptions!$B$15</f>
        <v>0.015</v>
      </c>
      <c r="W6" s="182" t="n">
        <v>15</v>
      </c>
    </row>
    <row r="7" customFormat="false" ht="15" hidden="false" customHeight="true" outlineLevel="0" collapsed="false">
      <c r="A7" s="177" t="s">
        <v>12</v>
      </c>
      <c r="B7" s="178" t="n">
        <v>42794765</v>
      </c>
      <c r="C7" s="179" t="n">
        <v>5</v>
      </c>
      <c r="D7" s="179"/>
      <c r="E7" s="179"/>
      <c r="F7" s="179" t="s">
        <v>572</v>
      </c>
      <c r="G7" s="179" t="s">
        <v>572</v>
      </c>
      <c r="H7" s="179" t="n">
        <v>1</v>
      </c>
      <c r="I7" s="180" t="n">
        <f aca="false">Assumptions!$B$18</f>
        <v>0.00725158134079107</v>
      </c>
      <c r="J7" s="179" t="s">
        <v>572</v>
      </c>
      <c r="K7" s="179" t="s">
        <v>572</v>
      </c>
      <c r="L7" s="179" t="s">
        <v>573</v>
      </c>
      <c r="N7" s="178" t="n">
        <f aca="false">B7*Assumptions!$B$10</f>
        <v>2208038.69494</v>
      </c>
      <c r="O7" s="178" t="n">
        <f aca="false">B7*Assumptions!$B$11</f>
        <v>2208038.69494</v>
      </c>
      <c r="P7" s="178" t="n">
        <f aca="false">B7*Assumptions!$B$12</f>
        <v>736027.163235</v>
      </c>
      <c r="Q7" s="178" t="n">
        <f aca="false">N7+O7+P7</f>
        <v>5152104.553115</v>
      </c>
      <c r="R7" s="178" t="n">
        <f aca="false">Q7*0.05</f>
        <v>257605.22765575</v>
      </c>
      <c r="S7" s="177" t="n">
        <f aca="false">C7+D7-1</f>
        <v>4</v>
      </c>
      <c r="T7" s="181" t="n">
        <f aca="false">839113/B7</f>
        <v>0.0196078422208885</v>
      </c>
      <c r="W7" s="182" t="n">
        <v>36</v>
      </c>
    </row>
    <row r="8" customFormat="false" ht="15" hidden="false" customHeight="true" outlineLevel="0" collapsed="false">
      <c r="A8" s="177" t="s">
        <v>13</v>
      </c>
      <c r="B8" s="178" t="n">
        <v>12993776.05</v>
      </c>
      <c r="C8" s="179" t="n">
        <v>6</v>
      </c>
      <c r="D8" s="179" t="n">
        <v>19</v>
      </c>
      <c r="E8" s="179" t="n">
        <v>3</v>
      </c>
      <c r="F8" s="179" t="s">
        <v>572</v>
      </c>
      <c r="G8" s="179" t="s">
        <v>572</v>
      </c>
      <c r="H8" s="179" t="n">
        <v>1</v>
      </c>
      <c r="I8" s="180" t="n">
        <f aca="false">Assumptions!$B$18</f>
        <v>0.00725158134079107</v>
      </c>
      <c r="J8" s="179" t="s">
        <v>571</v>
      </c>
      <c r="K8" s="179" t="s">
        <v>572</v>
      </c>
      <c r="L8" s="179" t="s">
        <v>576</v>
      </c>
      <c r="N8" s="178" t="n">
        <f aca="false">B8*Assumptions!$B$10</f>
        <v>670426.8690758</v>
      </c>
      <c r="O8" s="178" t="n">
        <f aca="false">B8*Assumptions!$B$11</f>
        <v>670426.8690758</v>
      </c>
      <c r="P8" s="178" t="n">
        <f aca="false">B8*Assumptions!$B$12</f>
        <v>223479.95428395</v>
      </c>
      <c r="Q8" s="178" t="n">
        <f aca="false">N8+O8+P8</f>
        <v>1564333.69243555</v>
      </c>
      <c r="R8" s="178" t="n">
        <f aca="false">Q8*0.05</f>
        <v>78216.6846217775</v>
      </c>
      <c r="S8" s="177" t="n">
        <f aca="false">C8+D8-1</f>
        <v>24</v>
      </c>
      <c r="T8" s="181" t="n">
        <f aca="false">192026.25/B8</f>
        <v>0.0147783253506205</v>
      </c>
      <c r="W8" s="182" t="n">
        <f aca="false">C8+D8-1</f>
        <v>24</v>
      </c>
    </row>
    <row r="9" customFormat="false" ht="15" hidden="false" customHeight="true" outlineLevel="0" collapsed="false">
      <c r="A9" s="177" t="s">
        <v>14</v>
      </c>
      <c r="B9" s="178" t="n">
        <v>14337010.8</v>
      </c>
      <c r="C9" s="179" t="n">
        <v>5</v>
      </c>
      <c r="D9" s="179" t="n">
        <v>19</v>
      </c>
      <c r="E9" s="179" t="n">
        <v>3</v>
      </c>
      <c r="F9" s="179" t="s">
        <v>572</v>
      </c>
      <c r="G9" s="179" t="s">
        <v>572</v>
      </c>
      <c r="H9" s="179" t="n">
        <v>1</v>
      </c>
      <c r="I9" s="180" t="n">
        <v>0</v>
      </c>
      <c r="J9" s="179" t="s">
        <v>571</v>
      </c>
      <c r="K9" s="179" t="s">
        <v>572</v>
      </c>
      <c r="L9" s="179" t="s">
        <v>576</v>
      </c>
      <c r="N9" s="178" t="n">
        <f aca="false">B9*Assumptions!$B$10</f>
        <v>739732.4092368</v>
      </c>
      <c r="O9" s="178" t="n">
        <f aca="false">B9*Assumptions!$B$11</f>
        <v>739732.4092368</v>
      </c>
      <c r="P9" s="178" t="n">
        <f aca="false">B9*Assumptions!$B$12</f>
        <v>246582.2487492</v>
      </c>
      <c r="Q9" s="178" t="n">
        <f aca="false">N9+O9+P9</f>
        <v>1726047.0672228</v>
      </c>
      <c r="R9" s="178" t="n">
        <f aca="false">Q9*0.05</f>
        <v>86302.35336114</v>
      </c>
      <c r="S9" s="177" t="n">
        <f aca="false">C9+D9-1</f>
        <v>23</v>
      </c>
      <c r="T9" s="181" t="n">
        <f aca="false">211877.01/B9</f>
        <v>0.0147783253396168</v>
      </c>
      <c r="W9" s="182" t="n">
        <f aca="false">C9+D9-1</f>
        <v>23</v>
      </c>
    </row>
    <row r="10" customFormat="false" ht="15" hidden="false" customHeight="true" outlineLevel="0" collapsed="false">
      <c r="A10" s="177" t="s">
        <v>15</v>
      </c>
      <c r="B10" s="178" t="n">
        <v>21263405</v>
      </c>
      <c r="C10" s="179" t="n">
        <v>9</v>
      </c>
      <c r="D10" s="179" t="n">
        <v>24</v>
      </c>
      <c r="E10" s="179" t="n">
        <v>2</v>
      </c>
      <c r="F10" s="179" t="s">
        <v>572</v>
      </c>
      <c r="G10" s="179" t="s">
        <v>572</v>
      </c>
      <c r="H10" s="179" t="n">
        <v>2</v>
      </c>
      <c r="I10" s="180" t="n">
        <f aca="false">IF(H10=1,Assumptions!$B$16,IF(H10=2,Assumptions!$B$17,0))</f>
        <v>0.0325</v>
      </c>
      <c r="J10" s="179" t="s">
        <v>571</v>
      </c>
      <c r="K10" s="179" t="s">
        <v>572</v>
      </c>
      <c r="L10" s="179" t="s">
        <v>576</v>
      </c>
      <c r="N10" s="178" t="n">
        <f aca="false">B10*Assumptions!$B$10</f>
        <v>1097106.64438</v>
      </c>
      <c r="O10" s="178" t="n">
        <f aca="false">B10*Assumptions!$B$11</f>
        <v>1097106.64438</v>
      </c>
      <c r="P10" s="178" t="n">
        <f aca="false">B10*Assumptions!$B$12</f>
        <v>365709.302595</v>
      </c>
      <c r="Q10" s="178" t="n">
        <f aca="false">N10+O10+P10</f>
        <v>2559922.591355</v>
      </c>
      <c r="R10" s="178" t="n">
        <f aca="false">Q10*0.05</f>
        <v>127996.12956775</v>
      </c>
      <c r="S10" s="177" t="n">
        <f aca="false">C10+D10-1</f>
        <v>32</v>
      </c>
      <c r="T10" s="181" t="n">
        <f aca="false">Assumptions!$B$15</f>
        <v>0.015</v>
      </c>
      <c r="W10" s="182" t="n">
        <f aca="false">C10+D10-1</f>
        <v>32</v>
      </c>
    </row>
    <row r="11" customFormat="false" ht="15" hidden="false" customHeight="true" outlineLevel="0" collapsed="false">
      <c r="A11" s="177" t="s">
        <v>16</v>
      </c>
      <c r="B11" s="178" t="n">
        <v>9577109</v>
      </c>
      <c r="C11" s="179" t="n">
        <v>11</v>
      </c>
      <c r="D11" s="179" t="n">
        <v>19</v>
      </c>
      <c r="E11" s="179" t="n">
        <v>3</v>
      </c>
      <c r="F11" s="179" t="s">
        <v>571</v>
      </c>
      <c r="G11" s="179" t="s">
        <v>572</v>
      </c>
      <c r="H11" s="179" t="n">
        <v>0</v>
      </c>
      <c r="I11" s="180" t="n">
        <f aca="false">IF(H11=1,Assumptions!$B$16,IF(H11=2,Assumptions!$B$17,0))</f>
        <v>0</v>
      </c>
      <c r="J11" s="179" t="s">
        <v>571</v>
      </c>
      <c r="K11" s="179" t="s">
        <v>571</v>
      </c>
      <c r="L11" s="179" t="s">
        <v>573</v>
      </c>
      <c r="N11" s="178" t="n">
        <f aca="false">B11*Assumptions!$B$10</f>
        <v>494140.515964</v>
      </c>
      <c r="O11" s="178" t="n">
        <f aca="false">B11*Assumptions!$B$11</f>
        <v>494140.515964</v>
      </c>
      <c r="P11" s="178" t="n">
        <f aca="false">B11*Assumptions!$B$12</f>
        <v>164716.697691</v>
      </c>
      <c r="Q11" s="178" t="n">
        <f aca="false">N11+O11+P11</f>
        <v>1152997.729619</v>
      </c>
      <c r="R11" s="178" t="n">
        <f aca="false">Q11*0.05</f>
        <v>57649.88648095</v>
      </c>
      <c r="S11" s="177" t="n">
        <f aca="false">C11+D11-1</f>
        <v>29</v>
      </c>
      <c r="T11" s="181" t="n">
        <f aca="false">Assumptions!$B$15</f>
        <v>0.015</v>
      </c>
      <c r="W11" s="182" t="n">
        <f aca="false">C11+D11-1</f>
        <v>29</v>
      </c>
    </row>
    <row r="12" customFormat="false" ht="15" hidden="false" customHeight="true" outlineLevel="0" collapsed="false">
      <c r="A12" s="177" t="s">
        <v>17</v>
      </c>
      <c r="B12" s="178" t="n">
        <v>7545203</v>
      </c>
      <c r="C12" s="179" t="n">
        <v>10</v>
      </c>
      <c r="D12" s="179" t="n">
        <v>19</v>
      </c>
      <c r="E12" s="179" t="n">
        <v>3</v>
      </c>
      <c r="F12" s="179" t="s">
        <v>571</v>
      </c>
      <c r="G12" s="179" t="s">
        <v>572</v>
      </c>
      <c r="H12" s="179" t="n">
        <v>0</v>
      </c>
      <c r="I12" s="180" t="n">
        <f aca="false">IF(H12=1,Assumptions!$B$16,IF(H12=2,Assumptions!$B$17,0))</f>
        <v>0</v>
      </c>
      <c r="J12" s="179" t="s">
        <v>571</v>
      </c>
      <c r="K12" s="179" t="s">
        <v>571</v>
      </c>
      <c r="L12" s="179" t="s">
        <v>573</v>
      </c>
      <c r="N12" s="178" t="n">
        <f aca="false">B12*Assumptions!$B$10</f>
        <v>389302.293988</v>
      </c>
      <c r="O12" s="178" t="n">
        <f aca="false">B12*Assumptions!$B$11</f>
        <v>389302.293988</v>
      </c>
      <c r="P12" s="178" t="n">
        <f aca="false">B12*Assumptions!$B$12</f>
        <v>129769.946397</v>
      </c>
      <c r="Q12" s="178" t="n">
        <f aca="false">N12+O12+P12</f>
        <v>908374.534373</v>
      </c>
      <c r="R12" s="178" t="n">
        <f aca="false">Q12*0.05</f>
        <v>45418.72671865</v>
      </c>
      <c r="S12" s="177" t="n">
        <f aca="false">C12+D12-1</f>
        <v>28</v>
      </c>
      <c r="T12" s="181" t="n">
        <f aca="false">Assumptions!$B$15</f>
        <v>0.015</v>
      </c>
      <c r="W12" s="182" t="n">
        <f aca="false">C12+D12-1</f>
        <v>28</v>
      </c>
    </row>
    <row r="13" customFormat="false" ht="15" hidden="false" customHeight="true" outlineLevel="0" collapsed="false">
      <c r="A13" s="177" t="s">
        <v>18</v>
      </c>
      <c r="B13" s="178" t="n">
        <v>45266770</v>
      </c>
      <c r="C13" s="179" t="n">
        <v>13</v>
      </c>
      <c r="D13" s="179" t="n">
        <v>30</v>
      </c>
      <c r="E13" s="179" t="n">
        <v>1</v>
      </c>
      <c r="F13" s="179" t="s">
        <v>572</v>
      </c>
      <c r="G13" s="179" t="s">
        <v>572</v>
      </c>
      <c r="H13" s="179" t="n">
        <v>2</v>
      </c>
      <c r="I13" s="180" t="n">
        <f aca="false">IF(H13=1,Assumptions!$B$16,IF(H13=2,Assumptions!$B$17,0))</f>
        <v>0.0325</v>
      </c>
      <c r="J13" s="179" t="s">
        <v>572</v>
      </c>
      <c r="K13" s="179" t="s">
        <v>572</v>
      </c>
      <c r="L13" s="179" t="s">
        <v>573</v>
      </c>
      <c r="N13" s="178" t="n">
        <f aca="false">B13*Assumptions!$B$10</f>
        <v>2335584.26492</v>
      </c>
      <c r="O13" s="178" t="n">
        <f aca="false">B13*Assumptions!$B$11</f>
        <v>2335584.26492</v>
      </c>
      <c r="P13" s="178" t="n">
        <f aca="false">B13*Assumptions!$B$12</f>
        <v>778543.17723</v>
      </c>
      <c r="Q13" s="178" t="n">
        <f aca="false">N13+O13+P13</f>
        <v>5449711.70707</v>
      </c>
      <c r="R13" s="178" t="n">
        <f aca="false">Q13*0.05</f>
        <v>272485.5853535</v>
      </c>
      <c r="S13" s="177" t="n">
        <f aca="false">C13+D13-1</f>
        <v>42</v>
      </c>
      <c r="T13" s="181" t="n">
        <f aca="false">Assumptions!$B$15</f>
        <v>0.015</v>
      </c>
      <c r="W13" s="182" t="n">
        <f aca="false">C13+D13-1</f>
        <v>42</v>
      </c>
    </row>
    <row r="14" customFormat="false" ht="15" hidden="false" customHeight="true" outlineLevel="0" collapsed="false">
      <c r="A14" s="177" t="s">
        <v>19</v>
      </c>
      <c r="B14" s="178" t="n">
        <v>41354632</v>
      </c>
      <c r="C14" s="179" t="n">
        <v>27</v>
      </c>
      <c r="D14" s="179" t="n">
        <v>30</v>
      </c>
      <c r="E14" s="179" t="n">
        <v>1</v>
      </c>
      <c r="F14" s="179" t="s">
        <v>572</v>
      </c>
      <c r="G14" s="179" t="s">
        <v>572</v>
      </c>
      <c r="H14" s="179" t="n">
        <v>2</v>
      </c>
      <c r="I14" s="180" t="n">
        <f aca="false">IF(H14=1,Assumptions!$B$16,IF(H14=2,Assumptions!$B$17,0))</f>
        <v>0.0325</v>
      </c>
      <c r="J14" s="179" t="s">
        <v>572</v>
      </c>
      <c r="K14" s="179" t="s">
        <v>572</v>
      </c>
      <c r="L14" s="179" t="s">
        <v>573</v>
      </c>
      <c r="N14" s="178" t="n">
        <f aca="false">B14*Assumptions!$B$10</f>
        <v>2133733.592672</v>
      </c>
      <c r="O14" s="178" t="n">
        <f aca="false">B14*Assumptions!$B$11</f>
        <v>2133733.592672</v>
      </c>
      <c r="P14" s="178" t="n">
        <f aca="false">B14*Assumptions!$B$12</f>
        <v>711258.315768</v>
      </c>
      <c r="Q14" s="178" t="n">
        <f aca="false">N14+O14+P14</f>
        <v>4978725.501112</v>
      </c>
      <c r="R14" s="178" t="n">
        <f aca="false">Q14*0.05</f>
        <v>248936.2750556</v>
      </c>
      <c r="S14" s="177" t="n">
        <f aca="false">C14+D14-1</f>
        <v>56</v>
      </c>
      <c r="T14" s="181" t="n">
        <f aca="false">Assumptions!$B$15</f>
        <v>0.015</v>
      </c>
      <c r="W14" s="182"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1"/>
    </row>
    <row r="16" customFormat="false" ht="15" hidden="false" customHeight="true" outlineLevel="0" collapsed="false">
      <c r="A16" s="90"/>
      <c r="B16" s="90"/>
      <c r="C16" s="90"/>
      <c r="D16" s="90"/>
      <c r="E16" s="90"/>
      <c r="F16" s="90"/>
      <c r="G16" s="90"/>
      <c r="H16" s="90"/>
      <c r="I16" s="90"/>
      <c r="J16" s="90"/>
      <c r="K16" s="90"/>
      <c r="L16" s="90"/>
      <c r="M16" s="183" t="s">
        <v>577</v>
      </c>
      <c r="N16" s="90"/>
      <c r="O16" s="90"/>
      <c r="P16" s="90"/>
      <c r="Q16" s="90"/>
      <c r="R16" s="90"/>
      <c r="S16" s="90"/>
      <c r="T16" s="181"/>
    </row>
    <row r="17" customFormat="false" ht="15" hidden="false" customHeight="true" outlineLevel="0" collapsed="false">
      <c r="A17" s="177" t="s">
        <v>20</v>
      </c>
      <c r="B17" s="178" t="n">
        <v>15316015</v>
      </c>
      <c r="C17" s="179" t="n">
        <v>14</v>
      </c>
      <c r="D17" s="179" t="n">
        <v>19</v>
      </c>
      <c r="E17" s="179" t="n">
        <v>3</v>
      </c>
      <c r="F17" s="179" t="s">
        <v>572</v>
      </c>
      <c r="G17" s="179" t="s">
        <v>572</v>
      </c>
      <c r="H17" s="179" t="n">
        <v>2</v>
      </c>
      <c r="I17" s="180" t="n">
        <f aca="false">IF(H17=1,Assumptions!$B$16,IF(H17=2,Assumptions!$B$17,0))</f>
        <v>0.0325</v>
      </c>
      <c r="J17" s="179" t="s">
        <v>571</v>
      </c>
      <c r="K17" s="179" t="s">
        <v>571</v>
      </c>
      <c r="L17" s="179" t="s">
        <v>573</v>
      </c>
      <c r="M17" s="184" t="s">
        <v>572</v>
      </c>
      <c r="N17" s="178" t="n">
        <f aca="false">B17*Assumptions!$B$10</f>
        <v>790245.10994</v>
      </c>
      <c r="O17" s="178" t="n">
        <f aca="false">B17*Assumptions!$B$11</f>
        <v>790245.10994</v>
      </c>
      <c r="P17" s="178" t="n">
        <f aca="false">B17*Assumptions!$B$12</f>
        <v>263420.141985</v>
      </c>
      <c r="Q17" s="178" t="n">
        <f aca="false">N17+O17+P17</f>
        <v>1843910.361865</v>
      </c>
      <c r="R17" s="178" t="n">
        <f aca="false">Q17*0.05</f>
        <v>92195.51809325</v>
      </c>
      <c r="S17" s="177" t="n">
        <f aca="false">C17+D17-1</f>
        <v>32</v>
      </c>
      <c r="T17" s="181" t="n">
        <f aca="false">Assumptions!$B$15</f>
        <v>0.015</v>
      </c>
      <c r="W17" s="182" t="n">
        <f aca="false">C17+D17-1</f>
        <v>32</v>
      </c>
    </row>
    <row r="18" customFormat="false" ht="15" hidden="false" customHeight="true" outlineLevel="0" collapsed="false">
      <c r="A18" s="177" t="s">
        <v>21</v>
      </c>
      <c r="B18" s="178" t="n">
        <v>11317385</v>
      </c>
      <c r="C18" s="179" t="n">
        <v>15</v>
      </c>
      <c r="D18" s="179" t="n">
        <v>19</v>
      </c>
      <c r="E18" s="179" t="n">
        <v>3</v>
      </c>
      <c r="F18" s="179" t="s">
        <v>572</v>
      </c>
      <c r="G18" s="179" t="s">
        <v>572</v>
      </c>
      <c r="H18" s="179" t="n">
        <v>2</v>
      </c>
      <c r="I18" s="180" t="n">
        <f aca="false">IF(H18=1,Assumptions!$B$16,IF(H18=2,Assumptions!$B$17,0))</f>
        <v>0.0325</v>
      </c>
      <c r="J18" s="179" t="s">
        <v>571</v>
      </c>
      <c r="K18" s="179" t="s">
        <v>571</v>
      </c>
      <c r="L18" s="179" t="s">
        <v>573</v>
      </c>
      <c r="M18" s="184" t="s">
        <v>572</v>
      </c>
      <c r="N18" s="178" t="n">
        <f aca="false">B18*Assumptions!$B$10</f>
        <v>583931.79646</v>
      </c>
      <c r="O18" s="178" t="n">
        <f aca="false">B18*Assumptions!$B$11</f>
        <v>583931.79646</v>
      </c>
      <c r="P18" s="178" t="n">
        <f aca="false">B18*Assumptions!$B$12</f>
        <v>194647.704615</v>
      </c>
      <c r="Q18" s="178" t="n">
        <f aca="false">N18+O18+P18</f>
        <v>1362511.297535</v>
      </c>
      <c r="R18" s="178" t="n">
        <f aca="false">Q18*0.05</f>
        <v>68125.56487675</v>
      </c>
      <c r="S18" s="177" t="n">
        <f aca="false">C18+D18-1</f>
        <v>33</v>
      </c>
      <c r="T18" s="181" t="n">
        <f aca="false">Assumptions!$B$15</f>
        <v>0.015</v>
      </c>
      <c r="W18" s="182" t="n">
        <f aca="false">C18+D18-1</f>
        <v>33</v>
      </c>
    </row>
    <row r="19" customFormat="false" ht="15" hidden="false" customHeight="true" outlineLevel="0" collapsed="false">
      <c r="A19" s="177" t="s">
        <v>22</v>
      </c>
      <c r="B19" s="178" t="n">
        <v>18442769</v>
      </c>
      <c r="C19" s="179" t="n">
        <v>16</v>
      </c>
      <c r="D19" s="179" t="n">
        <v>19</v>
      </c>
      <c r="E19" s="179" t="n">
        <v>3</v>
      </c>
      <c r="F19" s="179" t="s">
        <v>572</v>
      </c>
      <c r="G19" s="179" t="s">
        <v>572</v>
      </c>
      <c r="H19" s="179" t="n">
        <v>2</v>
      </c>
      <c r="I19" s="180" t="n">
        <f aca="false">IF(H19=1,Assumptions!$B$16,IF(H19=2,Assumptions!$B$17,0))</f>
        <v>0.0325</v>
      </c>
      <c r="J19" s="179" t="s">
        <v>571</v>
      </c>
      <c r="K19" s="179" t="s">
        <v>571</v>
      </c>
      <c r="L19" s="179" t="s">
        <v>573</v>
      </c>
      <c r="M19" s="184" t="s">
        <v>572</v>
      </c>
      <c r="N19" s="178" t="n">
        <f aca="false">B19*Assumptions!$B$10</f>
        <v>951573.109324</v>
      </c>
      <c r="O19" s="178" t="n">
        <f aca="false">B19*Assumptions!$B$11</f>
        <v>951573.109324</v>
      </c>
      <c r="P19" s="178" t="n">
        <f aca="false">B19*Assumptions!$B$12</f>
        <v>317197.184031</v>
      </c>
      <c r="Q19" s="178" t="n">
        <f aca="false">N19+O19+P19</f>
        <v>2220343.402679</v>
      </c>
      <c r="R19" s="178" t="n">
        <f aca="false">Q19*0.05</f>
        <v>111017.17013395</v>
      </c>
      <c r="S19" s="177" t="n">
        <f aca="false">C19+D19-1</f>
        <v>34</v>
      </c>
      <c r="T19" s="181" t="n">
        <f aca="false">Assumptions!$B$15</f>
        <v>0.015</v>
      </c>
      <c r="W19" s="182" t="n">
        <f aca="false">C19+D19-1</f>
        <v>34</v>
      </c>
    </row>
    <row r="20" customFormat="false" ht="15" hidden="false" customHeight="true" outlineLevel="0" collapsed="false">
      <c r="A20" s="177" t="s">
        <v>23</v>
      </c>
      <c r="B20" s="178" t="n">
        <v>25026330.58</v>
      </c>
      <c r="C20" s="179" t="n">
        <v>20</v>
      </c>
      <c r="D20" s="179" t="n">
        <v>24</v>
      </c>
      <c r="E20" s="179" t="n">
        <v>2</v>
      </c>
      <c r="F20" s="179" t="s">
        <v>571</v>
      </c>
      <c r="G20" s="179" t="s">
        <v>572</v>
      </c>
      <c r="H20" s="179" t="n">
        <v>0</v>
      </c>
      <c r="I20" s="180" t="n">
        <f aca="false">IF(H20=1,Assumptions!$B$16,IF(H20=2,Assumptions!$B$17,0))</f>
        <v>0</v>
      </c>
      <c r="J20" s="179" t="s">
        <v>571</v>
      </c>
      <c r="K20" s="179" t="s">
        <v>571</v>
      </c>
      <c r="L20" s="179" t="s">
        <v>576</v>
      </c>
      <c r="M20" s="184" t="s">
        <v>571</v>
      </c>
      <c r="N20" s="178" t="n">
        <f aca="false">B20*Assumptions!$B$10</f>
        <v>1291258.55260568</v>
      </c>
      <c r="O20" s="178" t="n">
        <f aca="false">B20*Assumptions!$B$11</f>
        <v>1291258.55260568</v>
      </c>
      <c r="P20" s="178" t="n">
        <f aca="false">B20*Assumptions!$B$12</f>
        <v>430427.85964542</v>
      </c>
      <c r="Q20" s="178" t="n">
        <f aca="false">N20+O20+P20</f>
        <v>3012944.96485678</v>
      </c>
      <c r="R20" s="178" t="n">
        <f aca="false">Q20*0.05</f>
        <v>150647.248242839</v>
      </c>
      <c r="S20" s="177" t="n">
        <f aca="false">C20+D20-1</f>
        <v>43</v>
      </c>
      <c r="T20" s="181"/>
      <c r="W20" s="182" t="n">
        <f aca="false">C20+D20-1</f>
        <v>43</v>
      </c>
    </row>
    <row r="21" customFormat="false" ht="15" hidden="false" customHeight="true" outlineLevel="0" collapsed="false">
      <c r="A21" s="177" t="s">
        <v>578</v>
      </c>
      <c r="B21" s="178" t="n">
        <v>15189508.75</v>
      </c>
      <c r="C21" s="179" t="n">
        <v>10</v>
      </c>
      <c r="D21" s="179" t="n">
        <v>19</v>
      </c>
      <c r="E21" s="179" t="n">
        <v>3</v>
      </c>
      <c r="F21" s="179" t="s">
        <v>571</v>
      </c>
      <c r="G21" s="179" t="s">
        <v>572</v>
      </c>
      <c r="H21" s="179" t="n">
        <v>0</v>
      </c>
      <c r="I21" s="180" t="n">
        <f aca="false">IF(H21=1,Assumptions!$B$16,IF(H21=2,Assumptions!$B$17,0))</f>
        <v>0</v>
      </c>
      <c r="J21" s="179" t="s">
        <v>571</v>
      </c>
      <c r="K21" s="179" t="s">
        <v>571</v>
      </c>
      <c r="L21" s="179" t="s">
        <v>573</v>
      </c>
      <c r="M21" s="184" t="s">
        <v>572</v>
      </c>
      <c r="N21" s="178" t="n">
        <f aca="false">B21*Assumptions!$B$10</f>
        <v>783717.893465</v>
      </c>
      <c r="O21" s="178" t="n">
        <f aca="false">B21*Assumptions!$B$11</f>
        <v>783717.893465</v>
      </c>
      <c r="P21" s="178" t="n">
        <f aca="false">B21*Assumptions!$B$12</f>
        <v>261244.36099125</v>
      </c>
      <c r="Q21" s="178" t="n">
        <f aca="false">N21+O21+P21</f>
        <v>1828680.14792125</v>
      </c>
      <c r="R21" s="178" t="n">
        <f aca="false">Q21*0.05</f>
        <v>91434.0073960625</v>
      </c>
      <c r="S21" s="177" t="n">
        <f aca="false">C21+D21-1</f>
        <v>28</v>
      </c>
      <c r="T21" s="181"/>
      <c r="W21" s="182" t="n">
        <f aca="false">C21+D21-1</f>
        <v>28</v>
      </c>
    </row>
    <row r="22" customFormat="false" ht="15" hidden="false" customHeight="true" outlineLevel="0" collapsed="false">
      <c r="A22" s="177" t="s">
        <v>25</v>
      </c>
      <c r="B22" s="178" t="n">
        <v>15000000</v>
      </c>
      <c r="C22" s="179" t="n">
        <v>31</v>
      </c>
      <c r="D22" s="179" t="n">
        <v>19</v>
      </c>
      <c r="E22" s="179" t="n">
        <v>3</v>
      </c>
      <c r="F22" s="179" t="s">
        <v>571</v>
      </c>
      <c r="G22" s="179" t="s">
        <v>571</v>
      </c>
      <c r="H22" s="179" t="n">
        <v>0</v>
      </c>
      <c r="I22" s="180" t="n">
        <f aca="false">IF(H22=1,Assumptions!$B$16,IF(H22=2,Assumptions!$B$17,0))</f>
        <v>0</v>
      </c>
      <c r="J22" s="179" t="s">
        <v>571</v>
      </c>
      <c r="K22" s="179" t="s">
        <v>571</v>
      </c>
      <c r="L22" s="179" t="s">
        <v>576</v>
      </c>
      <c r="M22" s="184" t="s">
        <v>571</v>
      </c>
      <c r="N22" s="178" t="n">
        <v>730519</v>
      </c>
      <c r="O22" s="178" t="n">
        <v>730519</v>
      </c>
      <c r="P22" s="178" t="n">
        <v>243506</v>
      </c>
      <c r="Q22" s="178" t="n">
        <f aca="false">N22+O22+P22</f>
        <v>1704544</v>
      </c>
      <c r="R22" s="178" t="n">
        <f aca="false">Q22*0.05</f>
        <v>85227.2</v>
      </c>
      <c r="S22" s="177" t="n">
        <f aca="false">C22+D22-1</f>
        <v>49</v>
      </c>
      <c r="T22" s="181"/>
      <c r="W22" s="182" t="n">
        <f aca="false">C22+D22-1</f>
        <v>49</v>
      </c>
    </row>
    <row r="23" customFormat="false" ht="15" hidden="false" customHeight="true" outlineLevel="0" collapsed="false">
      <c r="A23" s="177" t="s">
        <v>26</v>
      </c>
      <c r="B23" s="178" t="n">
        <v>15000000</v>
      </c>
      <c r="C23" s="179" t="n">
        <v>34</v>
      </c>
      <c r="D23" s="179" t="n">
        <v>19</v>
      </c>
      <c r="E23" s="179" t="n">
        <v>3</v>
      </c>
      <c r="F23" s="179" t="s">
        <v>572</v>
      </c>
      <c r="G23" s="179" t="s">
        <v>571</v>
      </c>
      <c r="H23" s="179" t="n">
        <v>2</v>
      </c>
      <c r="I23" s="180" t="n">
        <f aca="false">IF(H23=1,Assumptions!$B$16,IF(H23=2,Assumptions!$B$17,0))</f>
        <v>0.0325</v>
      </c>
      <c r="J23" s="179" t="s">
        <v>571</v>
      </c>
      <c r="K23" s="179" t="s">
        <v>571</v>
      </c>
      <c r="L23" s="179" t="s">
        <v>576</v>
      </c>
      <c r="M23" s="184" t="s">
        <v>572</v>
      </c>
      <c r="N23" s="178" t="n">
        <v>730519</v>
      </c>
      <c r="O23" s="178" t="n">
        <v>730519</v>
      </c>
      <c r="P23" s="178" t="n">
        <v>243506</v>
      </c>
      <c r="Q23" s="178" t="n">
        <f aca="false">N23+O23+P23</f>
        <v>1704544</v>
      </c>
      <c r="R23" s="178" t="n">
        <f aca="false">Q23*0.05</f>
        <v>85227.2</v>
      </c>
      <c r="S23" s="177" t="n">
        <f aca="false">C23+D23-1</f>
        <v>52</v>
      </c>
      <c r="T23" s="181" t="n">
        <f aca="false">Assumptions!$B$15</f>
        <v>0.015</v>
      </c>
      <c r="W23" s="182" t="n">
        <f aca="false">C23+D23-1</f>
        <v>52</v>
      </c>
    </row>
    <row r="24" customFormat="false" ht="15" hidden="false" customHeight="true" outlineLevel="0" collapsed="false">
      <c r="A24" s="177" t="s">
        <v>27</v>
      </c>
      <c r="B24" s="178" t="n">
        <v>18000000</v>
      </c>
      <c r="C24" s="179" t="n">
        <v>37</v>
      </c>
      <c r="D24" s="179" t="n">
        <v>19</v>
      </c>
      <c r="E24" s="179" t="n">
        <v>3</v>
      </c>
      <c r="F24" s="179" t="s">
        <v>571</v>
      </c>
      <c r="G24" s="179" t="s">
        <v>571</v>
      </c>
      <c r="H24" s="179" t="n">
        <v>0</v>
      </c>
      <c r="I24" s="180" t="n">
        <f aca="false">IF(H24=1,Assumptions!$B$16,IF(H24=2,Assumptions!$B$17,0))</f>
        <v>0</v>
      </c>
      <c r="J24" s="179" t="s">
        <v>571</v>
      </c>
      <c r="K24" s="179" t="s">
        <v>571</v>
      </c>
      <c r="L24" s="179" t="s">
        <v>576</v>
      </c>
      <c r="M24" s="184" t="s">
        <v>571</v>
      </c>
      <c r="N24" s="178" t="n">
        <v>876623</v>
      </c>
      <c r="O24" s="178" t="n">
        <v>876623</v>
      </c>
      <c r="P24" s="178" t="n">
        <v>292208</v>
      </c>
      <c r="Q24" s="178" t="n">
        <f aca="false">N24+O24+P24</f>
        <v>2045454</v>
      </c>
      <c r="R24" s="178" t="n">
        <f aca="false">Q24*0.05</f>
        <v>102272.7</v>
      </c>
      <c r="S24" s="177" t="n">
        <f aca="false">C24+D24-1</f>
        <v>55</v>
      </c>
      <c r="T24" s="181"/>
      <c r="W24" s="182" t="n">
        <f aca="false">C24+D24-1</f>
        <v>55</v>
      </c>
    </row>
    <row r="25" customFormat="false" ht="15" hidden="false" customHeight="true" outlineLevel="0" collapsed="false">
      <c r="A25" s="177" t="s">
        <v>28</v>
      </c>
      <c r="B25" s="178" t="n">
        <v>18000000</v>
      </c>
      <c r="C25" s="179" t="n">
        <v>40</v>
      </c>
      <c r="D25" s="179" t="n">
        <v>19</v>
      </c>
      <c r="E25" s="179" t="n">
        <v>3</v>
      </c>
      <c r="F25" s="179" t="s">
        <v>571</v>
      </c>
      <c r="G25" s="179" t="s">
        <v>571</v>
      </c>
      <c r="H25" s="179" t="n">
        <v>0</v>
      </c>
      <c r="I25" s="180" t="n">
        <f aca="false">IF(H25=1,Assumptions!$B$16,IF(H25=2,Assumptions!$B$17,0))</f>
        <v>0</v>
      </c>
      <c r="J25" s="179" t="s">
        <v>571</v>
      </c>
      <c r="K25" s="179" t="s">
        <v>571</v>
      </c>
      <c r="L25" s="179" t="s">
        <v>576</v>
      </c>
      <c r="M25" s="184" t="s">
        <v>571</v>
      </c>
      <c r="N25" s="178" t="n">
        <v>876623</v>
      </c>
      <c r="O25" s="178" t="n">
        <v>876623</v>
      </c>
      <c r="P25" s="178" t="n">
        <v>292208</v>
      </c>
      <c r="Q25" s="178" t="n">
        <f aca="false">N25+O25+P25</f>
        <v>2045454</v>
      </c>
      <c r="R25" s="178" t="n">
        <f aca="false">Q25*0.05</f>
        <v>102272.7</v>
      </c>
      <c r="S25" s="177" t="n">
        <f aca="false">C25+D25-1</f>
        <v>58</v>
      </c>
      <c r="T25" s="181"/>
      <c r="W25" s="182" t="n">
        <f aca="false">C25+D25-1</f>
        <v>58</v>
      </c>
    </row>
    <row r="26" customFormat="false" ht="15" hidden="false" customHeight="true" outlineLevel="0" collapsed="false">
      <c r="A26" s="177" t="s">
        <v>29</v>
      </c>
      <c r="B26" s="178" t="n">
        <v>18000000</v>
      </c>
      <c r="C26" s="179" t="n">
        <v>42</v>
      </c>
      <c r="D26" s="179" t="n">
        <v>19</v>
      </c>
      <c r="E26" s="179" t="n">
        <v>3</v>
      </c>
      <c r="F26" s="179" t="s">
        <v>571</v>
      </c>
      <c r="G26" s="179" t="s">
        <v>571</v>
      </c>
      <c r="H26" s="179" t="n">
        <v>0</v>
      </c>
      <c r="I26" s="180" t="n">
        <f aca="false">IF(H26=1,Assumptions!$B$16,IF(H26=2,Assumptions!$B$17,0))</f>
        <v>0</v>
      </c>
      <c r="J26" s="179" t="s">
        <v>571</v>
      </c>
      <c r="K26" s="179" t="s">
        <v>571</v>
      </c>
      <c r="L26" s="179" t="s">
        <v>576</v>
      </c>
      <c r="M26" s="184" t="s">
        <v>571</v>
      </c>
      <c r="N26" s="178" t="n">
        <v>876623</v>
      </c>
      <c r="O26" s="178" t="n">
        <v>876623</v>
      </c>
      <c r="P26" s="178" t="n">
        <v>292208</v>
      </c>
      <c r="Q26" s="178" t="n">
        <f aca="false">N26+O26+P26</f>
        <v>2045454</v>
      </c>
      <c r="R26" s="178" t="n">
        <f aca="false">Q26*0.05</f>
        <v>102272.7</v>
      </c>
      <c r="S26" s="177" t="n">
        <f aca="false">C26+D26-1</f>
        <v>60</v>
      </c>
      <c r="T26" s="181"/>
      <c r="W26" s="182" t="n">
        <f aca="false">C26+D26-1</f>
        <v>60</v>
      </c>
    </row>
    <row r="27" customFormat="false" ht="15" hidden="false" customHeight="true" outlineLevel="0" collapsed="false">
      <c r="A27" s="177" t="s">
        <v>30</v>
      </c>
      <c r="B27" s="178" t="n">
        <v>15000000</v>
      </c>
      <c r="C27" s="179" t="n">
        <v>44</v>
      </c>
      <c r="D27" s="179" t="n">
        <v>19</v>
      </c>
      <c r="E27" s="179" t="n">
        <v>3</v>
      </c>
      <c r="F27" s="179" t="s">
        <v>571</v>
      </c>
      <c r="G27" s="179" t="s">
        <v>571</v>
      </c>
      <c r="H27" s="179" t="n">
        <v>0</v>
      </c>
      <c r="I27" s="180" t="n">
        <f aca="false">IF(H27=1,Assumptions!$B$16,IF(H27=2,Assumptions!$B$17,0))</f>
        <v>0</v>
      </c>
      <c r="J27" s="179" t="s">
        <v>571</v>
      </c>
      <c r="K27" s="179" t="s">
        <v>571</v>
      </c>
      <c r="L27" s="179" t="s">
        <v>576</v>
      </c>
      <c r="M27" s="184" t="s">
        <v>571</v>
      </c>
      <c r="N27" s="178" t="n">
        <v>730519</v>
      </c>
      <c r="O27" s="178" t="n">
        <v>730519</v>
      </c>
      <c r="P27" s="178" t="n">
        <v>243506</v>
      </c>
      <c r="Q27" s="178" t="n">
        <f aca="false">N27+O27+P27</f>
        <v>1704544</v>
      </c>
      <c r="R27" s="178" t="n">
        <f aca="false">Q27*0.05</f>
        <v>85227.2</v>
      </c>
      <c r="S27" s="177" t="n">
        <f aca="false">C27+D27-1</f>
        <v>62</v>
      </c>
      <c r="T27" s="181"/>
      <c r="W27" s="182" t="n">
        <f aca="false">C27+D27-1</f>
        <v>62</v>
      </c>
    </row>
    <row r="28" customFormat="false" ht="15" hidden="false" customHeight="true" outlineLevel="0" collapsed="false">
      <c r="A28" s="177" t="s">
        <v>31</v>
      </c>
      <c r="B28" s="178" t="n">
        <v>15000000</v>
      </c>
      <c r="C28" s="179" t="n">
        <v>46</v>
      </c>
      <c r="D28" s="179" t="n">
        <v>19</v>
      </c>
      <c r="E28" s="179" t="n">
        <v>3</v>
      </c>
      <c r="F28" s="179" t="s">
        <v>572</v>
      </c>
      <c r="G28" s="179" t="s">
        <v>571</v>
      </c>
      <c r="H28" s="179" t="n">
        <v>2</v>
      </c>
      <c r="I28" s="180" t="n">
        <f aca="false">IF(H28=1,Assumptions!$B$16,IF(H28=2,Assumptions!$B$17,0))</f>
        <v>0.0325</v>
      </c>
      <c r="J28" s="179" t="s">
        <v>571</v>
      </c>
      <c r="K28" s="179" t="s">
        <v>571</v>
      </c>
      <c r="L28" s="179" t="s">
        <v>576</v>
      </c>
      <c r="M28" s="184" t="s">
        <v>572</v>
      </c>
      <c r="N28" s="178" t="n">
        <v>730519</v>
      </c>
      <c r="O28" s="178" t="n">
        <v>730519</v>
      </c>
      <c r="P28" s="178" t="n">
        <v>243506</v>
      </c>
      <c r="Q28" s="178" t="n">
        <f aca="false">N28+O28+P28</f>
        <v>1704544</v>
      </c>
      <c r="R28" s="178" t="n">
        <f aca="false">Q28*0.05</f>
        <v>85227.2</v>
      </c>
      <c r="S28" s="177" t="n">
        <f aca="false">C28+D28-1</f>
        <v>64</v>
      </c>
      <c r="T28" s="181" t="n">
        <f aca="false">Assumptions!$B$15</f>
        <v>0.015</v>
      </c>
      <c r="W28" s="182" t="n">
        <f aca="false">C28+D28-1</f>
        <v>64</v>
      </c>
    </row>
    <row r="29" customFormat="false" ht="15" hidden="false" customHeight="true" outlineLevel="0" collapsed="false">
      <c r="A29" s="177" t="s">
        <v>32</v>
      </c>
      <c r="B29" s="178" t="n">
        <v>15000000</v>
      </c>
      <c r="C29" s="179" t="n">
        <v>48</v>
      </c>
      <c r="D29" s="179" t="n">
        <v>19</v>
      </c>
      <c r="E29" s="179" t="n">
        <v>3</v>
      </c>
      <c r="F29" s="179" t="s">
        <v>571</v>
      </c>
      <c r="G29" s="179" t="s">
        <v>571</v>
      </c>
      <c r="H29" s="179" t="n">
        <v>0</v>
      </c>
      <c r="I29" s="180" t="n">
        <f aca="false">IF(H29=1,Assumptions!$B$16,IF(H29=2,Assumptions!$B$17,0))</f>
        <v>0</v>
      </c>
      <c r="J29" s="179" t="s">
        <v>571</v>
      </c>
      <c r="K29" s="179" t="s">
        <v>571</v>
      </c>
      <c r="L29" s="179" t="s">
        <v>576</v>
      </c>
      <c r="M29" s="184" t="s">
        <v>571</v>
      </c>
      <c r="N29" s="178" t="n">
        <v>730519</v>
      </c>
      <c r="O29" s="178" t="n">
        <v>730519</v>
      </c>
      <c r="P29" s="178" t="n">
        <v>243506</v>
      </c>
      <c r="Q29" s="178" t="n">
        <f aca="false">N29+O29+P29</f>
        <v>1704544</v>
      </c>
      <c r="R29" s="178" t="n">
        <f aca="false">Q29*0.05</f>
        <v>85227.2</v>
      </c>
      <c r="S29" s="177" t="n">
        <f aca="false">C29+D29-1</f>
        <v>66</v>
      </c>
      <c r="T29" s="181"/>
      <c r="W29" s="182" t="n">
        <f aca="false">C29+D29-1</f>
        <v>66</v>
      </c>
    </row>
    <row r="30" customFormat="false" ht="15" hidden="false" customHeight="true" outlineLevel="0" collapsed="false">
      <c r="A30" s="177" t="s">
        <v>33</v>
      </c>
      <c r="B30" s="178" t="n">
        <v>15000000</v>
      </c>
      <c r="C30" s="179" t="n">
        <v>50</v>
      </c>
      <c r="D30" s="179" t="n">
        <v>19</v>
      </c>
      <c r="E30" s="179" t="n">
        <v>3</v>
      </c>
      <c r="F30" s="179" t="s">
        <v>571</v>
      </c>
      <c r="G30" s="179" t="s">
        <v>571</v>
      </c>
      <c r="H30" s="179" t="n">
        <v>0</v>
      </c>
      <c r="I30" s="180" t="n">
        <f aca="false">IF(H30=1,Assumptions!$B$16,IF(H30=2,Assumptions!$B$17,0))</f>
        <v>0</v>
      </c>
      <c r="J30" s="179" t="s">
        <v>571</v>
      </c>
      <c r="K30" s="179" t="s">
        <v>571</v>
      </c>
      <c r="L30" s="179" t="s">
        <v>576</v>
      </c>
      <c r="M30" s="184" t="s">
        <v>571</v>
      </c>
      <c r="N30" s="178" t="n">
        <v>730519</v>
      </c>
      <c r="O30" s="178" t="n">
        <v>730519</v>
      </c>
      <c r="P30" s="178" t="n">
        <v>243506</v>
      </c>
      <c r="Q30" s="178" t="n">
        <f aca="false">N30+O30+P30</f>
        <v>1704544</v>
      </c>
      <c r="R30" s="178" t="n">
        <f aca="false">Q30*0.05</f>
        <v>85227.2</v>
      </c>
      <c r="S30" s="177" t="n">
        <f aca="false">C30+D30-1</f>
        <v>68</v>
      </c>
      <c r="T30" s="181"/>
      <c r="W30" s="182" t="n">
        <f aca="false">C30+D30-1</f>
        <v>68</v>
      </c>
    </row>
    <row r="31" customFormat="false" ht="15" hidden="false" customHeight="true" outlineLevel="0" collapsed="false">
      <c r="A31" s="177" t="s">
        <v>34</v>
      </c>
      <c r="B31" s="178" t="n">
        <v>18000000</v>
      </c>
      <c r="C31" s="179" t="n">
        <v>52</v>
      </c>
      <c r="D31" s="179" t="n">
        <v>19</v>
      </c>
      <c r="E31" s="179" t="n">
        <v>3</v>
      </c>
      <c r="F31" s="179" t="s">
        <v>571</v>
      </c>
      <c r="G31" s="179" t="s">
        <v>571</v>
      </c>
      <c r="H31" s="179" t="n">
        <v>0</v>
      </c>
      <c r="I31" s="180" t="n">
        <f aca="false">IF(H31=1,Assumptions!$B$16,IF(H31=2,Assumptions!$B$17,0))</f>
        <v>0</v>
      </c>
      <c r="J31" s="179" t="s">
        <v>571</v>
      </c>
      <c r="K31" s="179" t="s">
        <v>571</v>
      </c>
      <c r="L31" s="179" t="s">
        <v>576</v>
      </c>
      <c r="M31" s="184" t="s">
        <v>571</v>
      </c>
      <c r="N31" s="178" t="n">
        <v>876623</v>
      </c>
      <c r="O31" s="178" t="n">
        <v>876623</v>
      </c>
      <c r="P31" s="178" t="n">
        <v>292208</v>
      </c>
      <c r="Q31" s="178" t="n">
        <f aca="false">N31+O31+P31</f>
        <v>2045454</v>
      </c>
      <c r="R31" s="178" t="n">
        <f aca="false">Q31*0.05</f>
        <v>102272.7</v>
      </c>
      <c r="S31" s="177" t="n">
        <f aca="false">C31+D31-1</f>
        <v>70</v>
      </c>
      <c r="T31" s="181"/>
      <c r="W31" s="182" t="n">
        <f aca="false">C31+D31-1</f>
        <v>70</v>
      </c>
    </row>
    <row r="32" customFormat="false" ht="15" hidden="false" customHeight="true" outlineLevel="0" collapsed="false">
      <c r="A32" s="177" t="s">
        <v>35</v>
      </c>
      <c r="B32" s="178" t="n">
        <v>15000000</v>
      </c>
      <c r="C32" s="179" t="n">
        <v>54</v>
      </c>
      <c r="D32" s="179" t="n">
        <v>19</v>
      </c>
      <c r="E32" s="179" t="n">
        <v>3</v>
      </c>
      <c r="F32" s="179" t="s">
        <v>571</v>
      </c>
      <c r="G32" s="179" t="s">
        <v>571</v>
      </c>
      <c r="H32" s="179" t="n">
        <v>0</v>
      </c>
      <c r="I32" s="180" t="n">
        <f aca="false">IF(H32=1,Assumptions!$B$16,IF(H32=2,Assumptions!$B$17,0))</f>
        <v>0</v>
      </c>
      <c r="J32" s="179" t="s">
        <v>571</v>
      </c>
      <c r="K32" s="179" t="s">
        <v>571</v>
      </c>
      <c r="L32" s="179" t="s">
        <v>576</v>
      </c>
      <c r="M32" s="184" t="s">
        <v>571</v>
      </c>
      <c r="N32" s="178" t="n">
        <v>730519</v>
      </c>
      <c r="O32" s="178" t="n">
        <v>730519</v>
      </c>
      <c r="P32" s="178" t="n">
        <v>243506</v>
      </c>
      <c r="Q32" s="178" t="n">
        <f aca="false">N32+O32+P32</f>
        <v>1704544</v>
      </c>
      <c r="R32" s="178" t="n">
        <f aca="false">Q32*0.05</f>
        <v>85227.2</v>
      </c>
      <c r="S32" s="177" t="n">
        <f aca="false">C32+D32-1</f>
        <v>72</v>
      </c>
      <c r="T32" s="181"/>
      <c r="W32" s="182" t="n">
        <f aca="false">C32+D32-1</f>
        <v>72</v>
      </c>
    </row>
    <row r="33" customFormat="false" ht="15" hidden="false" customHeight="true" outlineLevel="0" collapsed="false">
      <c r="A33" s="177" t="s">
        <v>36</v>
      </c>
      <c r="B33" s="178" t="n">
        <v>15000000</v>
      </c>
      <c r="C33" s="179" t="n">
        <v>56</v>
      </c>
      <c r="D33" s="179" t="n">
        <v>19</v>
      </c>
      <c r="E33" s="179" t="n">
        <v>3</v>
      </c>
      <c r="F33" s="179" t="s">
        <v>571</v>
      </c>
      <c r="G33" s="179" t="s">
        <v>571</v>
      </c>
      <c r="H33" s="179" t="n">
        <v>0</v>
      </c>
      <c r="I33" s="180" t="n">
        <f aca="false">IF(H33=1,Assumptions!$B$16,IF(H33=2,Assumptions!$B$17,0))</f>
        <v>0</v>
      </c>
      <c r="J33" s="179" t="s">
        <v>571</v>
      </c>
      <c r="K33" s="179" t="s">
        <v>571</v>
      </c>
      <c r="L33" s="179" t="s">
        <v>576</v>
      </c>
      <c r="M33" s="184" t="s">
        <v>571</v>
      </c>
      <c r="N33" s="178" t="n">
        <v>730519</v>
      </c>
      <c r="O33" s="178" t="n">
        <v>730519</v>
      </c>
      <c r="P33" s="178" t="n">
        <v>243506</v>
      </c>
      <c r="Q33" s="178" t="n">
        <f aca="false">N33+O33+P33</f>
        <v>1704544</v>
      </c>
      <c r="R33" s="178" t="n">
        <f aca="false">Q33*0.05</f>
        <v>85227.2</v>
      </c>
      <c r="S33" s="177" t="n">
        <f aca="false">C33+D33-1</f>
        <v>74</v>
      </c>
      <c r="T33" s="181"/>
      <c r="W33" s="182" t="n">
        <f aca="false">C33+D33-1</f>
        <v>74</v>
      </c>
    </row>
    <row r="34" customFormat="false" ht="15" hidden="false" customHeight="true" outlineLevel="0" collapsed="false">
      <c r="A34" s="177" t="s">
        <v>37</v>
      </c>
      <c r="B34" s="178" t="n">
        <v>18000000</v>
      </c>
      <c r="C34" s="179" t="n">
        <v>58</v>
      </c>
      <c r="D34" s="179" t="n">
        <v>19</v>
      </c>
      <c r="E34" s="179" t="n">
        <v>3</v>
      </c>
      <c r="F34" s="179" t="s">
        <v>572</v>
      </c>
      <c r="G34" s="179" t="s">
        <v>571</v>
      </c>
      <c r="H34" s="179" t="n">
        <v>2</v>
      </c>
      <c r="I34" s="180" t="n">
        <f aca="false">IF(H34=1,Assumptions!$B$16,IF(H34=2,Assumptions!$B$17,0))</f>
        <v>0.0325</v>
      </c>
      <c r="J34" s="179" t="s">
        <v>571</v>
      </c>
      <c r="K34" s="179" t="s">
        <v>571</v>
      </c>
      <c r="L34" s="179" t="s">
        <v>576</v>
      </c>
      <c r="M34" s="184" t="s">
        <v>572</v>
      </c>
      <c r="N34" s="178" t="n">
        <v>876623</v>
      </c>
      <c r="O34" s="178" t="n">
        <v>876623</v>
      </c>
      <c r="P34" s="178" t="n">
        <v>292208</v>
      </c>
      <c r="Q34" s="178" t="n">
        <f aca="false">N34+O34+P34</f>
        <v>2045454</v>
      </c>
      <c r="R34" s="178" t="n">
        <f aca="false">Q34*0.05</f>
        <v>102272.7</v>
      </c>
      <c r="S34" s="177" t="n">
        <f aca="false">C34+D34-1</f>
        <v>76</v>
      </c>
      <c r="T34" s="181" t="n">
        <f aca="false">Assumptions!$B$15</f>
        <v>0.015</v>
      </c>
      <c r="W34" s="182" t="n">
        <f aca="false">C34+D34-1</f>
        <v>76</v>
      </c>
    </row>
    <row r="35" customFormat="false" ht="15" hidden="false" customHeight="true" outlineLevel="0" collapsed="false">
      <c r="A35" s="177" t="s">
        <v>38</v>
      </c>
      <c r="B35" s="178" t="n">
        <v>15000000</v>
      </c>
      <c r="C35" s="179" t="n">
        <v>60</v>
      </c>
      <c r="D35" s="179" t="n">
        <v>19</v>
      </c>
      <c r="E35" s="179" t="n">
        <v>3</v>
      </c>
      <c r="F35" s="179" t="s">
        <v>571</v>
      </c>
      <c r="G35" s="179" t="s">
        <v>571</v>
      </c>
      <c r="H35" s="179" t="n">
        <v>0</v>
      </c>
      <c r="I35" s="180" t="n">
        <f aca="false">IF(H35=1,Assumptions!$B$16,IF(H35=2,Assumptions!$B$17,0))</f>
        <v>0</v>
      </c>
      <c r="J35" s="179" t="s">
        <v>571</v>
      </c>
      <c r="K35" s="179" t="s">
        <v>571</v>
      </c>
      <c r="L35" s="179" t="s">
        <v>576</v>
      </c>
      <c r="M35" s="184" t="s">
        <v>571</v>
      </c>
      <c r="N35" s="178" t="n">
        <v>730519</v>
      </c>
      <c r="O35" s="178" t="n">
        <v>730519</v>
      </c>
      <c r="P35" s="178" t="n">
        <v>243506</v>
      </c>
      <c r="Q35" s="178" t="n">
        <f aca="false">N35+O35+P35</f>
        <v>1704544</v>
      </c>
      <c r="R35" s="178" t="n">
        <f aca="false">Q35*0.05</f>
        <v>85227.2</v>
      </c>
      <c r="S35" s="177" t="n">
        <f aca="false">C35+D35-1</f>
        <v>78</v>
      </c>
      <c r="T35" s="181"/>
      <c r="W35" s="182" t="n">
        <f aca="false">C35+D35-1</f>
        <v>78</v>
      </c>
    </row>
    <row r="36" customFormat="false" ht="15" hidden="false" customHeight="true" outlineLevel="0" collapsed="false">
      <c r="A36" s="177" t="s">
        <v>39</v>
      </c>
      <c r="B36" s="178" t="n">
        <v>18000000</v>
      </c>
      <c r="C36" s="179" t="n">
        <v>62</v>
      </c>
      <c r="D36" s="179" t="n">
        <v>19</v>
      </c>
      <c r="E36" s="179" t="n">
        <v>3</v>
      </c>
      <c r="F36" s="179" t="s">
        <v>571</v>
      </c>
      <c r="G36" s="179" t="s">
        <v>571</v>
      </c>
      <c r="H36" s="179" t="n">
        <v>0</v>
      </c>
      <c r="I36" s="180" t="n">
        <f aca="false">IF(H36=1,Assumptions!$B$16,IF(H36=2,Assumptions!$B$17,0))</f>
        <v>0</v>
      </c>
      <c r="J36" s="179" t="s">
        <v>571</v>
      </c>
      <c r="K36" s="179" t="s">
        <v>571</v>
      </c>
      <c r="L36" s="179" t="s">
        <v>576</v>
      </c>
      <c r="M36" s="184" t="s">
        <v>571</v>
      </c>
      <c r="N36" s="178" t="n">
        <v>876623</v>
      </c>
      <c r="O36" s="178" t="n">
        <v>876623</v>
      </c>
      <c r="P36" s="178" t="n">
        <v>292208</v>
      </c>
      <c r="Q36" s="178" t="n">
        <f aca="false">N36+O36+P36</f>
        <v>2045454</v>
      </c>
      <c r="R36" s="178" t="n">
        <f aca="false">Q36*0.05</f>
        <v>102272.7</v>
      </c>
      <c r="S36" s="177" t="n">
        <f aca="false">C36+D36-1</f>
        <v>80</v>
      </c>
      <c r="T36" s="181"/>
      <c r="W36" s="182" t="n">
        <f aca="false">C36+D36-1</f>
        <v>80</v>
      </c>
    </row>
    <row r="37" customFormat="false" ht="15" hidden="false" customHeight="true" outlineLevel="0" collapsed="false">
      <c r="A37" s="177" t="s">
        <v>40</v>
      </c>
      <c r="B37" s="178" t="n">
        <v>15000000</v>
      </c>
      <c r="C37" s="179" t="n">
        <v>64</v>
      </c>
      <c r="D37" s="179" t="n">
        <v>19</v>
      </c>
      <c r="E37" s="179" t="n">
        <v>3</v>
      </c>
      <c r="F37" s="179" t="s">
        <v>571</v>
      </c>
      <c r="G37" s="179" t="s">
        <v>571</v>
      </c>
      <c r="H37" s="179" t="n">
        <v>0</v>
      </c>
      <c r="I37" s="180" t="n">
        <f aca="false">IF(H37=1,Assumptions!$B$16,IF(H37=2,Assumptions!$B$17,0))</f>
        <v>0</v>
      </c>
      <c r="J37" s="179" t="s">
        <v>571</v>
      </c>
      <c r="K37" s="179" t="s">
        <v>571</v>
      </c>
      <c r="L37" s="179" t="s">
        <v>576</v>
      </c>
      <c r="M37" s="184" t="s">
        <v>571</v>
      </c>
      <c r="N37" s="178" t="n">
        <v>730519</v>
      </c>
      <c r="O37" s="178" t="n">
        <v>730519</v>
      </c>
      <c r="P37" s="178" t="n">
        <v>243506</v>
      </c>
      <c r="Q37" s="178" t="n">
        <f aca="false">N37+O37+P37</f>
        <v>1704544</v>
      </c>
      <c r="R37" s="178" t="n">
        <f aca="false">Q37*0.05</f>
        <v>85227.2</v>
      </c>
      <c r="S37" s="177" t="n">
        <f aca="false">C37+D37-1</f>
        <v>82</v>
      </c>
      <c r="T37" s="181"/>
      <c r="W37" s="182" t="n">
        <f aca="false">C37+D37-1</f>
        <v>82</v>
      </c>
    </row>
    <row r="38" customFormat="false" ht="15" hidden="false" customHeight="true" outlineLevel="0" collapsed="false">
      <c r="A38" s="177" t="s">
        <v>41</v>
      </c>
      <c r="B38" s="178" t="n">
        <v>15000000</v>
      </c>
      <c r="C38" s="179" t="n">
        <v>66</v>
      </c>
      <c r="D38" s="179" t="n">
        <v>19</v>
      </c>
      <c r="E38" s="179" t="n">
        <v>3</v>
      </c>
      <c r="F38" s="179" t="s">
        <v>571</v>
      </c>
      <c r="G38" s="179" t="s">
        <v>571</v>
      </c>
      <c r="H38" s="179" t="n">
        <v>0</v>
      </c>
      <c r="I38" s="180" t="n">
        <f aca="false">IF(H38=1,Assumptions!$B$16,IF(H38=2,Assumptions!$B$17,0))</f>
        <v>0</v>
      </c>
      <c r="J38" s="179" t="s">
        <v>571</v>
      </c>
      <c r="K38" s="179" t="s">
        <v>571</v>
      </c>
      <c r="L38" s="179" t="s">
        <v>576</v>
      </c>
      <c r="M38" s="184" t="s">
        <v>571</v>
      </c>
      <c r="N38" s="178" t="n">
        <v>730519</v>
      </c>
      <c r="O38" s="178" t="n">
        <v>730519</v>
      </c>
      <c r="P38" s="178" t="n">
        <v>243506</v>
      </c>
      <c r="Q38" s="178" t="n">
        <f aca="false">N38+O38+P38</f>
        <v>1704544</v>
      </c>
      <c r="R38" s="178" t="n">
        <f aca="false">Q38*0.05</f>
        <v>85227.2</v>
      </c>
      <c r="S38" s="177" t="n">
        <f aca="false">C38+D38-1</f>
        <v>84</v>
      </c>
      <c r="T38" s="181"/>
      <c r="W38" s="182" t="n">
        <f aca="false">C38+D38-1</f>
        <v>84</v>
      </c>
    </row>
    <row r="39" customFormat="false" ht="15" hidden="false" customHeight="true" outlineLevel="0" collapsed="false">
      <c r="A39" s="177" t="s">
        <v>42</v>
      </c>
      <c r="B39" s="178" t="n">
        <v>18000000</v>
      </c>
      <c r="C39" s="179" t="n">
        <v>68</v>
      </c>
      <c r="D39" s="179" t="n">
        <v>19</v>
      </c>
      <c r="E39" s="179" t="n">
        <v>3</v>
      </c>
      <c r="F39" s="179" t="s">
        <v>571</v>
      </c>
      <c r="G39" s="179" t="s">
        <v>571</v>
      </c>
      <c r="H39" s="179" t="n">
        <v>0</v>
      </c>
      <c r="I39" s="180" t="n">
        <f aca="false">IF(H39=1,Assumptions!$B$16,IF(H39=2,Assumptions!$B$17,0))</f>
        <v>0</v>
      </c>
      <c r="J39" s="179" t="s">
        <v>571</v>
      </c>
      <c r="K39" s="179" t="s">
        <v>571</v>
      </c>
      <c r="L39" s="179" t="s">
        <v>576</v>
      </c>
      <c r="M39" s="184" t="s">
        <v>571</v>
      </c>
      <c r="N39" s="178" t="n">
        <v>876623</v>
      </c>
      <c r="O39" s="178" t="n">
        <v>876623</v>
      </c>
      <c r="P39" s="178" t="n">
        <v>292208</v>
      </c>
      <c r="Q39" s="178" t="n">
        <f aca="false">N39+O39+P39</f>
        <v>2045454</v>
      </c>
      <c r="R39" s="178" t="n">
        <f aca="false">Q39*0.05</f>
        <v>102272.7</v>
      </c>
      <c r="S39" s="177" t="n">
        <f aca="false">C39+D39-1</f>
        <v>86</v>
      </c>
      <c r="T39" s="181"/>
      <c r="W39" s="182" t="n">
        <f aca="false">C39+D39-1</f>
        <v>86</v>
      </c>
    </row>
    <row r="40" customFormat="false" ht="15" hidden="false" customHeight="true" outlineLevel="0" collapsed="false">
      <c r="A40" s="177" t="s">
        <v>43</v>
      </c>
      <c r="B40" s="178" t="n">
        <v>15000000</v>
      </c>
      <c r="C40" s="179" t="n">
        <v>70</v>
      </c>
      <c r="D40" s="179" t="n">
        <v>19</v>
      </c>
      <c r="E40" s="179" t="n">
        <v>3</v>
      </c>
      <c r="F40" s="179" t="s">
        <v>572</v>
      </c>
      <c r="G40" s="179" t="s">
        <v>571</v>
      </c>
      <c r="H40" s="179" t="n">
        <v>2</v>
      </c>
      <c r="I40" s="180" t="n">
        <f aca="false">IF(H40=1,Assumptions!$B$16,IF(H40=2,Assumptions!$B$17,0))</f>
        <v>0.0325</v>
      </c>
      <c r="J40" s="179" t="s">
        <v>571</v>
      </c>
      <c r="K40" s="179" t="s">
        <v>571</v>
      </c>
      <c r="L40" s="179" t="s">
        <v>576</v>
      </c>
      <c r="M40" s="184" t="s">
        <v>572</v>
      </c>
      <c r="N40" s="178" t="n">
        <v>730519</v>
      </c>
      <c r="O40" s="178" t="n">
        <v>730519</v>
      </c>
      <c r="P40" s="178" t="n">
        <v>243506</v>
      </c>
      <c r="Q40" s="178" t="n">
        <f aca="false">N40+O40+P40</f>
        <v>1704544</v>
      </c>
      <c r="R40" s="178" t="n">
        <f aca="false">Q40*0.05</f>
        <v>85227.2</v>
      </c>
      <c r="S40" s="177" t="n">
        <f aca="false">C40+D40-1</f>
        <v>88</v>
      </c>
      <c r="T40" s="181" t="n">
        <f aca="false">Assumptions!$B$15</f>
        <v>0.015</v>
      </c>
      <c r="W40" s="182" t="n">
        <f aca="false">C40+D40-1</f>
        <v>88</v>
      </c>
    </row>
    <row r="41" customFormat="false" ht="15" hidden="false" customHeight="true" outlineLevel="0" collapsed="false">
      <c r="A41" s="177" t="s">
        <v>44</v>
      </c>
      <c r="B41" s="178" t="n">
        <v>15000000</v>
      </c>
      <c r="C41" s="179" t="n">
        <v>72</v>
      </c>
      <c r="D41" s="179" t="n">
        <v>19</v>
      </c>
      <c r="E41" s="179" t="n">
        <v>3</v>
      </c>
      <c r="F41" s="179" t="s">
        <v>571</v>
      </c>
      <c r="G41" s="179" t="s">
        <v>571</v>
      </c>
      <c r="H41" s="179" t="n">
        <v>0</v>
      </c>
      <c r="I41" s="180" t="n">
        <f aca="false">IF(H41=1,Assumptions!$B$16,IF(H41=2,Assumptions!$B$17,0))</f>
        <v>0</v>
      </c>
      <c r="J41" s="179" t="s">
        <v>571</v>
      </c>
      <c r="K41" s="179" t="s">
        <v>571</v>
      </c>
      <c r="L41" s="179" t="s">
        <v>576</v>
      </c>
      <c r="M41" s="184" t="s">
        <v>571</v>
      </c>
      <c r="N41" s="178" t="n">
        <v>730519</v>
      </c>
      <c r="O41" s="178" t="n">
        <v>730519</v>
      </c>
      <c r="P41" s="178" t="n">
        <v>243506</v>
      </c>
      <c r="Q41" s="178" t="n">
        <f aca="false">N41+O41+P41</f>
        <v>1704544</v>
      </c>
      <c r="R41" s="178" t="n">
        <f aca="false">Q41*0.05</f>
        <v>85227.2</v>
      </c>
      <c r="S41" s="177" t="n">
        <f aca="false">C41+D41-1</f>
        <v>90</v>
      </c>
      <c r="T41" s="181"/>
      <c r="W41" s="182" t="n">
        <f aca="false">C41+D41-1</f>
        <v>90</v>
      </c>
    </row>
    <row r="42" customFormat="false" ht="15" hidden="false" customHeight="true" outlineLevel="0" collapsed="false">
      <c r="A42" s="177" t="s">
        <v>45</v>
      </c>
      <c r="B42" s="178" t="n">
        <v>18000000</v>
      </c>
      <c r="C42" s="179" t="n">
        <v>74</v>
      </c>
      <c r="D42" s="179" t="n">
        <v>19</v>
      </c>
      <c r="E42" s="179" t="n">
        <v>3</v>
      </c>
      <c r="F42" s="179" t="s">
        <v>571</v>
      </c>
      <c r="G42" s="179" t="s">
        <v>571</v>
      </c>
      <c r="H42" s="179" t="n">
        <v>0</v>
      </c>
      <c r="I42" s="180" t="n">
        <f aca="false">IF(H42=1,Assumptions!$B$16,IF(H42=2,Assumptions!$B$17,0))</f>
        <v>0</v>
      </c>
      <c r="J42" s="179" t="s">
        <v>571</v>
      </c>
      <c r="K42" s="179" t="s">
        <v>571</v>
      </c>
      <c r="L42" s="179" t="s">
        <v>576</v>
      </c>
      <c r="M42" s="184" t="s">
        <v>571</v>
      </c>
      <c r="N42" s="178" t="n">
        <v>876623</v>
      </c>
      <c r="O42" s="178" t="n">
        <v>876623</v>
      </c>
      <c r="P42" s="178" t="n">
        <v>292208</v>
      </c>
      <c r="Q42" s="178" t="n">
        <f aca="false">N42+O42+P42</f>
        <v>2045454</v>
      </c>
      <c r="R42" s="178" t="n">
        <f aca="false">Q42*0.05</f>
        <v>102272.7</v>
      </c>
      <c r="S42" s="177" t="n">
        <f aca="false">C42+D42-1</f>
        <v>92</v>
      </c>
      <c r="T42" s="181"/>
      <c r="W42" s="182" t="n">
        <f aca="false">C42+D42-1</f>
        <v>92</v>
      </c>
    </row>
    <row r="43" customFormat="false" ht="15" hidden="false" customHeight="true" outlineLevel="0" collapsed="false">
      <c r="A43" s="177" t="s">
        <v>46</v>
      </c>
      <c r="B43" s="178" t="n">
        <v>15000000</v>
      </c>
      <c r="C43" s="179" t="n">
        <v>76</v>
      </c>
      <c r="D43" s="179" t="n">
        <v>19</v>
      </c>
      <c r="E43" s="179" t="n">
        <v>3</v>
      </c>
      <c r="F43" s="179" t="s">
        <v>571</v>
      </c>
      <c r="G43" s="179" t="s">
        <v>571</v>
      </c>
      <c r="H43" s="179" t="n">
        <v>0</v>
      </c>
      <c r="I43" s="180" t="n">
        <f aca="false">IF(H43=1,Assumptions!$B$16,IF(H43=2,Assumptions!$B$17,0))</f>
        <v>0</v>
      </c>
      <c r="J43" s="179" t="s">
        <v>571</v>
      </c>
      <c r="K43" s="179" t="s">
        <v>571</v>
      </c>
      <c r="L43" s="179" t="s">
        <v>576</v>
      </c>
      <c r="M43" s="184" t="s">
        <v>571</v>
      </c>
      <c r="N43" s="178" t="n">
        <v>730519</v>
      </c>
      <c r="O43" s="178" t="n">
        <v>730519</v>
      </c>
      <c r="P43" s="178" t="n">
        <v>243506</v>
      </c>
      <c r="Q43" s="178" t="n">
        <f aca="false">N43+O43+P43</f>
        <v>1704544</v>
      </c>
      <c r="R43" s="178" t="n">
        <f aca="false">Q43*0.05</f>
        <v>85227.2</v>
      </c>
      <c r="S43" s="177" t="n">
        <f aca="false">C43+D43-1</f>
        <v>94</v>
      </c>
      <c r="T43" s="181"/>
      <c r="W43" s="182" t="n">
        <f aca="false">C43+D43-1</f>
        <v>94</v>
      </c>
    </row>
    <row r="44" customFormat="false" ht="15" hidden="false" customHeight="true" outlineLevel="0" collapsed="false">
      <c r="A44" s="177" t="s">
        <v>47</v>
      </c>
      <c r="B44" s="178" t="n">
        <v>15000000</v>
      </c>
      <c r="C44" s="179" t="n">
        <v>78</v>
      </c>
      <c r="D44" s="179" t="n">
        <v>19</v>
      </c>
      <c r="E44" s="179" t="n">
        <v>3</v>
      </c>
      <c r="F44" s="179" t="s">
        <v>571</v>
      </c>
      <c r="G44" s="179" t="s">
        <v>571</v>
      </c>
      <c r="H44" s="179" t="n">
        <v>0</v>
      </c>
      <c r="I44" s="180" t="n">
        <f aca="false">IF(H44=1,Assumptions!$B$16,IF(H44=2,Assumptions!$B$17,0))</f>
        <v>0</v>
      </c>
      <c r="J44" s="179" t="s">
        <v>571</v>
      </c>
      <c r="K44" s="179" t="s">
        <v>571</v>
      </c>
      <c r="L44" s="179" t="s">
        <v>576</v>
      </c>
      <c r="M44" s="184" t="s">
        <v>571</v>
      </c>
      <c r="N44" s="178" t="n">
        <v>730519</v>
      </c>
      <c r="O44" s="178" t="n">
        <v>730519</v>
      </c>
      <c r="P44" s="178" t="n">
        <v>243506</v>
      </c>
      <c r="Q44" s="178" t="n">
        <f aca="false">N44+O44+P44</f>
        <v>1704544</v>
      </c>
      <c r="R44" s="178" t="n">
        <f aca="false">Q44*0.05</f>
        <v>85227.2</v>
      </c>
      <c r="S44" s="177" t="n">
        <f aca="false">C44+D44-1</f>
        <v>96</v>
      </c>
      <c r="T44" s="181"/>
      <c r="W44" s="182" t="n">
        <f aca="false">C44+D44-1</f>
        <v>96</v>
      </c>
    </row>
    <row r="45" customFormat="false" ht="15" hidden="false" customHeight="true" outlineLevel="0" collapsed="false">
      <c r="A45" s="177" t="s">
        <v>48</v>
      </c>
      <c r="B45" s="178" t="n">
        <v>18000000</v>
      </c>
      <c r="C45" s="179" t="n">
        <v>80</v>
      </c>
      <c r="D45" s="179" t="n">
        <v>19</v>
      </c>
      <c r="E45" s="179" t="n">
        <v>3</v>
      </c>
      <c r="F45" s="179" t="s">
        <v>571</v>
      </c>
      <c r="G45" s="179" t="s">
        <v>571</v>
      </c>
      <c r="H45" s="179" t="n">
        <v>0</v>
      </c>
      <c r="I45" s="180" t="n">
        <f aca="false">IF(H45=1,Assumptions!$B$16,IF(H45=2,Assumptions!$B$17,0))</f>
        <v>0</v>
      </c>
      <c r="J45" s="179" t="s">
        <v>571</v>
      </c>
      <c r="K45" s="179" t="s">
        <v>571</v>
      </c>
      <c r="L45" s="179" t="s">
        <v>576</v>
      </c>
      <c r="M45" s="184" t="s">
        <v>571</v>
      </c>
      <c r="N45" s="178" t="n">
        <v>876623</v>
      </c>
      <c r="O45" s="178" t="n">
        <v>876623</v>
      </c>
      <c r="P45" s="178" t="n">
        <v>292208</v>
      </c>
      <c r="Q45" s="178" t="n">
        <f aca="false">N45+O45+P45</f>
        <v>2045454</v>
      </c>
      <c r="R45" s="178" t="n">
        <f aca="false">Q45*0.05</f>
        <v>102272.7</v>
      </c>
      <c r="S45" s="177" t="n">
        <f aca="false">C45+D45-1</f>
        <v>98</v>
      </c>
      <c r="T45" s="181"/>
      <c r="W45" s="182" t="n">
        <f aca="false">C45+D45-1</f>
        <v>98</v>
      </c>
    </row>
    <row r="46" customFormat="false" ht="15" hidden="false" customHeight="true" outlineLevel="0" collapsed="false">
      <c r="A46" s="177" t="s">
        <v>49</v>
      </c>
      <c r="B46" s="178" t="n">
        <v>15000000</v>
      </c>
      <c r="C46" s="179" t="n">
        <v>82</v>
      </c>
      <c r="D46" s="179" t="n">
        <v>19</v>
      </c>
      <c r="E46" s="179" t="n">
        <v>3</v>
      </c>
      <c r="F46" s="179" t="s">
        <v>572</v>
      </c>
      <c r="G46" s="179" t="s">
        <v>571</v>
      </c>
      <c r="H46" s="179" t="n">
        <v>2</v>
      </c>
      <c r="I46" s="180" t="n">
        <f aca="false">IF(H46=1,Assumptions!$B$16,IF(H46=2,Assumptions!$B$17,0))</f>
        <v>0.0325</v>
      </c>
      <c r="J46" s="179" t="s">
        <v>571</v>
      </c>
      <c r="K46" s="179" t="s">
        <v>571</v>
      </c>
      <c r="L46" s="179" t="s">
        <v>576</v>
      </c>
      <c r="M46" s="184" t="s">
        <v>572</v>
      </c>
      <c r="N46" s="178" t="n">
        <v>730519</v>
      </c>
      <c r="O46" s="178" t="n">
        <v>730519</v>
      </c>
      <c r="P46" s="178" t="n">
        <v>243506</v>
      </c>
      <c r="Q46" s="178" t="n">
        <f aca="false">N46+O46+P46</f>
        <v>1704544</v>
      </c>
      <c r="R46" s="178" t="n">
        <f aca="false">Q46*0.05</f>
        <v>85227.2</v>
      </c>
      <c r="S46" s="177" t="n">
        <f aca="false">C46+D46-1</f>
        <v>100</v>
      </c>
      <c r="T46" s="181" t="n">
        <f aca="false">Assumptions!$B$15</f>
        <v>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579</v>
      </c>
    </row>
    <row r="2" customFormat="false" ht="15" hidden="false" customHeight="true" outlineLevel="0" collapsed="false">
      <c r="A2" s="185" t="s">
        <v>580</v>
      </c>
    </row>
    <row r="4" customFormat="false" ht="15" hidden="false" customHeight="true" outlineLevel="0" collapsed="false">
      <c r="E4" s="186"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7" t="s">
        <v>550</v>
      </c>
      <c r="B5" s="111" t="s">
        <v>551</v>
      </c>
      <c r="C5" s="111" t="s">
        <v>581</v>
      </c>
      <c r="D5" s="111" t="s">
        <v>582</v>
      </c>
      <c r="E5" s="111" t="s">
        <v>583</v>
      </c>
      <c r="F5" s="111" t="s">
        <v>584</v>
      </c>
      <c r="G5" s="188" t="n">
        <f aca="false">EDATE(Model!$E$2,G4-1)</f>
        <v>46113</v>
      </c>
      <c r="H5" s="188" t="n">
        <f aca="false">EDATE(Model!$E$2,H4-1)</f>
        <v>46143</v>
      </c>
      <c r="I5" s="188" t="n">
        <f aca="false">EDATE(Model!$E$2,I4-1)</f>
        <v>46174</v>
      </c>
      <c r="J5" s="188" t="n">
        <f aca="false">EDATE(Model!$E$2,J4-1)</f>
        <v>46204</v>
      </c>
      <c r="K5" s="188" t="n">
        <f aca="false">EDATE(Model!$E$2,K4-1)</f>
        <v>46235</v>
      </c>
      <c r="L5" s="188" t="n">
        <f aca="false">EDATE(Model!$E$2,L4-1)</f>
        <v>46266</v>
      </c>
      <c r="M5" s="188" t="n">
        <f aca="false">EDATE(Model!$E$2,M4-1)</f>
        <v>46296</v>
      </c>
      <c r="N5" s="188" t="n">
        <f aca="false">EDATE(Model!$E$2,N4-1)</f>
        <v>46327</v>
      </c>
      <c r="O5" s="188" t="n">
        <f aca="false">EDATE(Model!$E$2,O4-1)</f>
        <v>46357</v>
      </c>
      <c r="P5" s="188" t="n">
        <f aca="false">EDATE(Model!$E$2,P4-1)</f>
        <v>46388</v>
      </c>
      <c r="Q5" s="188" t="n">
        <f aca="false">EDATE(Model!$E$2,Q4-1)</f>
        <v>46419</v>
      </c>
      <c r="R5" s="188" t="n">
        <f aca="false">EDATE(Model!$E$2,R4-1)</f>
        <v>46447</v>
      </c>
      <c r="S5" s="188" t="n">
        <f aca="false">EDATE(Model!$E$2,S4-1)</f>
        <v>46478</v>
      </c>
      <c r="T5" s="188" t="n">
        <f aca="false">EDATE(Model!$E$2,T4-1)</f>
        <v>46508</v>
      </c>
      <c r="U5" s="188" t="n">
        <f aca="false">EDATE(Model!$E$2,U4-1)</f>
        <v>46539</v>
      </c>
      <c r="V5" s="188" t="n">
        <f aca="false">EDATE(Model!$E$2,V4-1)</f>
        <v>46569</v>
      </c>
      <c r="W5" s="188" t="n">
        <f aca="false">EDATE(Model!$E$2,W4-1)</f>
        <v>46600</v>
      </c>
      <c r="X5" s="188" t="n">
        <f aca="false">EDATE(Model!$E$2,X4-1)</f>
        <v>46631</v>
      </c>
      <c r="Y5" s="188" t="n">
        <f aca="false">EDATE(Model!$E$2,Y4-1)</f>
        <v>46661</v>
      </c>
      <c r="Z5" s="188" t="n">
        <f aca="false">EDATE(Model!$E$2,Z4-1)</f>
        <v>46692</v>
      </c>
      <c r="AA5" s="188" t="n">
        <f aca="false">EDATE(Model!$E$2,AA4-1)</f>
        <v>46722</v>
      </c>
      <c r="AB5" s="188" t="n">
        <f aca="false">EDATE(Model!$E$2,AB4-1)</f>
        <v>46753</v>
      </c>
      <c r="AC5" s="188" t="n">
        <f aca="false">EDATE(Model!$E$2,AC4-1)</f>
        <v>46784</v>
      </c>
      <c r="AD5" s="188" t="n">
        <f aca="false">EDATE(Model!$E$2,AD4-1)</f>
        <v>46813</v>
      </c>
      <c r="AE5" s="188" t="n">
        <f aca="false">EDATE(Model!$E$2,AE4-1)</f>
        <v>46844</v>
      </c>
      <c r="AF5" s="188" t="n">
        <f aca="false">EDATE(Model!$E$2,AF4-1)</f>
        <v>46874</v>
      </c>
      <c r="AG5" s="188" t="n">
        <f aca="false">EDATE(Model!$E$2,AG4-1)</f>
        <v>46905</v>
      </c>
      <c r="AH5" s="188" t="n">
        <f aca="false">EDATE(Model!$E$2,AH4-1)</f>
        <v>46935</v>
      </c>
      <c r="AI5" s="188" t="n">
        <f aca="false">EDATE(Model!$E$2,AI4-1)</f>
        <v>46966</v>
      </c>
      <c r="AJ5" s="188" t="n">
        <f aca="false">EDATE(Model!$E$2,AJ4-1)</f>
        <v>46997</v>
      </c>
      <c r="AK5" s="188" t="n">
        <f aca="false">EDATE(Model!$E$2,AK4-1)</f>
        <v>47027</v>
      </c>
      <c r="AL5" s="188" t="n">
        <f aca="false">EDATE(Model!$E$2,AL4-1)</f>
        <v>47058</v>
      </c>
      <c r="AM5" s="188" t="n">
        <f aca="false">EDATE(Model!$E$2,AM4-1)</f>
        <v>47088</v>
      </c>
      <c r="AN5" s="188" t="n">
        <f aca="false">EDATE(Model!$E$2,AN4-1)</f>
        <v>47119</v>
      </c>
      <c r="AO5" s="188" t="n">
        <f aca="false">EDATE(Model!$E$2,AO4-1)</f>
        <v>47150</v>
      </c>
      <c r="AP5" s="188" t="n">
        <f aca="false">EDATE(Model!$E$2,AP4-1)</f>
        <v>47178</v>
      </c>
      <c r="AQ5" s="188" t="n">
        <f aca="false">EDATE(Model!$E$2,AQ4-1)</f>
        <v>47209</v>
      </c>
      <c r="AR5" s="188" t="n">
        <f aca="false">EDATE(Model!$E$2,AR4-1)</f>
        <v>47239</v>
      </c>
      <c r="AS5" s="188" t="n">
        <f aca="false">EDATE(Model!$E$2,AS4-1)</f>
        <v>47270</v>
      </c>
      <c r="AT5" s="188" t="n">
        <f aca="false">EDATE(Model!$E$2,AT4-1)</f>
        <v>47300</v>
      </c>
      <c r="AU5" s="188" t="n">
        <f aca="false">EDATE(Model!$E$2,AU4-1)</f>
        <v>47331</v>
      </c>
      <c r="AV5" s="188" t="n">
        <f aca="false">EDATE(Model!$E$2,AV4-1)</f>
        <v>47362</v>
      </c>
      <c r="AW5" s="188" t="n">
        <f aca="false">EDATE(Model!$E$2,AW4-1)</f>
        <v>47392</v>
      </c>
      <c r="AX5" s="188" t="n">
        <f aca="false">EDATE(Model!$E$2,AX4-1)</f>
        <v>47423</v>
      </c>
      <c r="AY5" s="188" t="n">
        <f aca="false">EDATE(Model!$E$2,AY4-1)</f>
        <v>47453</v>
      </c>
      <c r="AZ5" s="188" t="n">
        <f aca="false">EDATE(Model!$E$2,AZ4-1)</f>
        <v>47484</v>
      </c>
      <c r="BA5" s="188" t="n">
        <f aca="false">EDATE(Model!$E$2,BA4-1)</f>
        <v>47515</v>
      </c>
      <c r="BB5" s="188" t="n">
        <f aca="false">EDATE(Model!$E$2,BB4-1)</f>
        <v>47543</v>
      </c>
      <c r="BC5" s="188" t="n">
        <f aca="false">EDATE(Model!$E$2,BC4-1)</f>
        <v>47574</v>
      </c>
      <c r="BD5" s="188" t="n">
        <f aca="false">EDATE(Model!$E$2,BD4-1)</f>
        <v>47604</v>
      </c>
      <c r="BE5" s="188" t="n">
        <f aca="false">EDATE(Model!$E$2,BE4-1)</f>
        <v>47635</v>
      </c>
      <c r="BF5" s="188" t="n">
        <f aca="false">EDATE(Model!$E$2,BF4-1)</f>
        <v>47665</v>
      </c>
      <c r="BG5" s="188" t="n">
        <f aca="false">EDATE(Model!$E$2,BG4-1)</f>
        <v>47696</v>
      </c>
      <c r="BH5" s="188" t="n">
        <f aca="false">EDATE(Model!$E$2,BH4-1)</f>
        <v>47727</v>
      </c>
      <c r="BI5" s="188" t="n">
        <f aca="false">EDATE(Model!$E$2,BI4-1)</f>
        <v>47757</v>
      </c>
      <c r="BJ5" s="188" t="n">
        <f aca="false">EDATE(Model!$E$2,BJ4-1)</f>
        <v>47788</v>
      </c>
      <c r="BK5" s="188" t="n">
        <f aca="false">EDATE(Model!$E$2,BK4-1)</f>
        <v>47818</v>
      </c>
      <c r="BL5" s="188" t="n">
        <f aca="false">EDATE(Model!$E$2,BL4-1)</f>
        <v>47849</v>
      </c>
      <c r="BM5" s="188" t="n">
        <f aca="false">EDATE(Model!$E$2,BM4-1)</f>
        <v>47880</v>
      </c>
      <c r="BN5" s="188" t="n">
        <f aca="false">EDATE(Model!$E$2,BN4-1)</f>
        <v>47908</v>
      </c>
      <c r="BO5" s="188" t="n">
        <f aca="false">EDATE(Model!$E$2,BO4-1)</f>
        <v>47939</v>
      </c>
      <c r="BP5" s="188" t="n">
        <f aca="false">EDATE(Model!$E$2,BP4-1)</f>
        <v>47969</v>
      </c>
      <c r="BQ5" s="188" t="n">
        <f aca="false">EDATE(Model!$E$2,BQ4-1)</f>
        <v>48000</v>
      </c>
      <c r="BR5" s="188" t="n">
        <f aca="false">EDATE(Model!$E$2,BR4-1)</f>
        <v>48030</v>
      </c>
      <c r="BS5" s="188" t="n">
        <f aca="false">EDATE(Model!$E$2,BS4-1)</f>
        <v>48061</v>
      </c>
      <c r="BT5" s="188" t="n">
        <f aca="false">EDATE(Model!$E$2,BT4-1)</f>
        <v>48092</v>
      </c>
      <c r="BU5" s="188" t="n">
        <f aca="false">EDATE(Model!$E$2,BU4-1)</f>
        <v>48122</v>
      </c>
      <c r="BV5" s="188" t="n">
        <f aca="false">EDATE(Model!$E$2,BV4-1)</f>
        <v>48153</v>
      </c>
      <c r="BW5" s="188" t="n">
        <f aca="false">EDATE(Model!$E$2,BW4-1)</f>
        <v>48183</v>
      </c>
      <c r="BX5" s="188" t="n">
        <f aca="false">EDATE(Model!$E$2,BX4-1)</f>
        <v>48214</v>
      </c>
      <c r="BY5" s="188" t="n">
        <f aca="false">EDATE(Model!$E$2,BY4-1)</f>
        <v>48245</v>
      </c>
      <c r="BZ5" s="188" t="n">
        <f aca="false">EDATE(Model!$E$2,BZ4-1)</f>
        <v>48274</v>
      </c>
      <c r="CA5" s="188" t="n">
        <f aca="false">EDATE(Model!$E$2,CA4-1)</f>
        <v>48305</v>
      </c>
      <c r="CB5" s="188" t="n">
        <f aca="false">EDATE(Model!$E$2,CB4-1)</f>
        <v>48335</v>
      </c>
      <c r="CC5" s="188" t="n">
        <f aca="false">EDATE(Model!$E$2,CC4-1)</f>
        <v>48366</v>
      </c>
      <c r="CD5" s="188" t="n">
        <f aca="false">EDATE(Model!$E$2,CD4-1)</f>
        <v>48396</v>
      </c>
      <c r="CE5" s="188" t="n">
        <f aca="false">EDATE(Model!$E$2,CE4-1)</f>
        <v>48427</v>
      </c>
      <c r="CF5" s="188" t="n">
        <f aca="false">EDATE(Model!$E$2,CF4-1)</f>
        <v>48458</v>
      </c>
      <c r="CG5" s="188" t="n">
        <f aca="false">EDATE(Model!$E$2,CG4-1)</f>
        <v>48488</v>
      </c>
      <c r="CH5" s="188" t="n">
        <f aca="false">EDATE(Model!$E$2,CH4-1)</f>
        <v>48519</v>
      </c>
      <c r="CI5" s="188" t="n">
        <f aca="false">EDATE(Model!$E$2,CI4-1)</f>
        <v>48549</v>
      </c>
      <c r="CJ5" s="188" t="n">
        <f aca="false">EDATE(Model!$E$2,CJ4-1)</f>
        <v>48580</v>
      </c>
      <c r="CK5" s="188" t="n">
        <f aca="false">EDATE(Model!$E$2,CK4-1)</f>
        <v>48611</v>
      </c>
      <c r="CL5" s="188" t="n">
        <f aca="false">EDATE(Model!$E$2,CL4-1)</f>
        <v>48639</v>
      </c>
      <c r="CM5" s="188" t="n">
        <f aca="false">EDATE(Model!$E$2,CM4-1)</f>
        <v>48670</v>
      </c>
      <c r="CN5" s="188" t="n">
        <f aca="false">EDATE(Model!$E$2,CN4-1)</f>
        <v>48700</v>
      </c>
      <c r="CO5" s="188" t="n">
        <f aca="false">EDATE(Model!$E$2,CO4-1)</f>
        <v>48731</v>
      </c>
      <c r="CP5" s="188" t="n">
        <f aca="false">EDATE(Model!$E$2,CP4-1)</f>
        <v>48761</v>
      </c>
      <c r="CQ5" s="188" t="n">
        <f aca="false">EDATE(Model!$E$2,CQ4-1)</f>
        <v>48792</v>
      </c>
      <c r="CR5" s="188" t="n">
        <f aca="false">EDATE(Model!$E$2,CR4-1)</f>
        <v>48823</v>
      </c>
      <c r="CS5" s="188" t="n">
        <f aca="false">EDATE(Model!$E$2,CS4-1)</f>
        <v>48853</v>
      </c>
      <c r="CT5" s="188" t="n">
        <f aca="false">EDATE(Model!$E$2,CT4-1)</f>
        <v>48884</v>
      </c>
      <c r="CU5" s="188" t="n">
        <f aca="false">EDATE(Model!$E$2,CU4-1)</f>
        <v>48914</v>
      </c>
      <c r="CV5" s="188" t="n">
        <f aca="false">EDATE(Model!$E$2,CV4-1)</f>
        <v>48945</v>
      </c>
      <c r="CW5" s="188" t="n">
        <f aca="false">EDATE(Model!$E$2,CW4-1)</f>
        <v>48976</v>
      </c>
      <c r="CX5" s="188" t="n">
        <f aca="false">EDATE(Model!$E$2,CX4-1)</f>
        <v>49004</v>
      </c>
      <c r="CY5" s="188" t="n">
        <f aca="false">EDATE(Model!$E$2,CY4-1)</f>
        <v>49035</v>
      </c>
      <c r="CZ5" s="188" t="n">
        <f aca="false">EDATE(Model!$E$2,CZ4-1)</f>
        <v>49065</v>
      </c>
      <c r="DA5" s="188" t="n">
        <f aca="false">EDATE(Model!$E$2,DA4-1)</f>
        <v>49096</v>
      </c>
      <c r="DB5" s="188" t="n">
        <f aca="false">EDATE(Model!$E$2,DB4-1)</f>
        <v>49126</v>
      </c>
    </row>
    <row r="6" customFormat="false" ht="15" hidden="false" customHeight="true" outlineLevel="0" collapsed="false">
      <c r="A6" s="189" t="s">
        <v>585</v>
      </c>
      <c r="B6" s="190"/>
      <c r="C6" s="190"/>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c r="BU6" s="190"/>
      <c r="BV6" s="190"/>
      <c r="BW6" s="190"/>
      <c r="BX6" s="190"/>
      <c r="BY6" s="190"/>
      <c r="BZ6" s="190"/>
      <c r="CA6" s="190"/>
      <c r="CB6" s="190"/>
      <c r="CC6" s="190"/>
      <c r="CD6" s="190"/>
      <c r="CE6" s="190"/>
      <c r="CF6" s="190"/>
      <c r="CG6" s="190"/>
      <c r="CH6" s="190"/>
      <c r="CI6" s="190"/>
      <c r="CJ6" s="190"/>
      <c r="CK6" s="190"/>
      <c r="CL6" s="190"/>
      <c r="CM6" s="190"/>
      <c r="CN6" s="190"/>
      <c r="CO6" s="190"/>
      <c r="CP6" s="190"/>
      <c r="CQ6" s="190"/>
      <c r="CR6" s="190"/>
      <c r="CS6" s="190"/>
      <c r="CT6" s="190"/>
      <c r="CU6" s="190"/>
      <c r="CV6" s="190"/>
      <c r="CW6" s="190"/>
      <c r="CX6" s="190"/>
      <c r="CY6" s="190"/>
      <c r="CZ6" s="190"/>
      <c r="DA6" s="190"/>
      <c r="DB6" s="190"/>
    </row>
    <row r="7" customFormat="false" ht="15" hidden="false" customHeight="true" outlineLevel="0" collapsed="false">
      <c r="A7" s="125" t="s">
        <v>7</v>
      </c>
      <c r="B7" s="191" t="n">
        <f aca="false">Projects!$B$2</f>
        <v>7126075</v>
      </c>
      <c r="C7" s="192" t="n">
        <f aca="false">EDATE(Model!$E$2,Projects!$C$2-1)</f>
        <v>46113</v>
      </c>
      <c r="D7" s="192" t="n">
        <f aca="false">EDATE(Model!$E$2,Projects!$C$2+Projects!$D$2-2)</f>
        <v>46327</v>
      </c>
      <c r="E7" s="193" t="n">
        <f aca="false">Projects!$D$2</f>
        <v>8</v>
      </c>
      <c r="F7" s="191" t="n">
        <f aca="false">SUM(G7:DB7)</f>
        <v>6225947.89656226</v>
      </c>
      <c r="G7" s="194" t="n">
        <f aca="false">IF(Model!E13=0,"",Model!E13)</f>
        <v>704050.62</v>
      </c>
      <c r="H7" s="194" t="n">
        <f aca="false">IF(Model!F13=0,"",Model!F13)</f>
        <v>711605.75</v>
      </c>
      <c r="I7" s="194" t="n">
        <f aca="false">IF(Model!G13=0,"",Model!G13)</f>
        <v>887472.42</v>
      </c>
      <c r="J7" s="194" t="n">
        <f aca="false">IF(Model!H13=0,"",Model!H13)</f>
        <v>1089049.37</v>
      </c>
      <c r="K7" s="194" t="n">
        <f aca="false">IF(Model!I13=0,"",Model!I13)</f>
        <v>687821.32</v>
      </c>
      <c r="L7" s="194" t="n">
        <f aca="false">IF(Model!J13=0,"",Model!J13)</f>
        <v>833012.67377813</v>
      </c>
      <c r="M7" s="194" t="n">
        <f aca="false">IF(Model!K13=0,"",Model!K13)</f>
        <v>712680.486168552</v>
      </c>
      <c r="N7" s="194" t="n">
        <f aca="false">IF(Model!L13=0,"",Model!L13)</f>
        <v>600255.256615582</v>
      </c>
      <c r="O7" s="194" t="str">
        <f aca="false">IF(Model!M13=0,"",Model!M13)</f>
        <v/>
      </c>
      <c r="P7" s="194" t="str">
        <f aca="false">IF(Model!N13=0,"",Model!N13)</f>
        <v/>
      </c>
      <c r="Q7" s="194" t="str">
        <f aca="false">IF(Model!O13=0,"",Model!O13)</f>
        <v/>
      </c>
      <c r="R7" s="194" t="str">
        <f aca="false">IF(Model!P13=0,"",Model!P13)</f>
        <v/>
      </c>
      <c r="S7" s="194" t="str">
        <f aca="false">IF(Model!Q13=0,"",Model!Q13)</f>
        <v/>
      </c>
      <c r="T7" s="194" t="str">
        <f aca="false">IF(Model!R13=0,"",Model!R13)</f>
        <v/>
      </c>
      <c r="U7" s="194" t="str">
        <f aca="false">IF(Model!S13=0,"",Model!S13)</f>
        <v/>
      </c>
      <c r="V7" s="194" t="str">
        <f aca="false">IF(Model!T13=0,"",Model!T13)</f>
        <v/>
      </c>
      <c r="W7" s="194" t="str">
        <f aca="false">IF(Model!U13=0,"",Model!U13)</f>
        <v/>
      </c>
      <c r="X7" s="194" t="str">
        <f aca="false">IF(Model!V13=0,"",Model!V13)</f>
        <v/>
      </c>
      <c r="Y7" s="194" t="str">
        <f aca="false">IF(Model!W13=0,"",Model!W13)</f>
        <v/>
      </c>
      <c r="Z7" s="194" t="str">
        <f aca="false">IF(Model!X13=0,"",Model!X13)</f>
        <v/>
      </c>
      <c r="AA7" s="194" t="str">
        <f aca="false">IF(Model!Y13=0,"",Model!Y13)</f>
        <v/>
      </c>
      <c r="AB7" s="194" t="str">
        <f aca="false">IF(Model!Z13=0,"",Model!Z13)</f>
        <v/>
      </c>
      <c r="AC7" s="194" t="str">
        <f aca="false">IF(Model!AA13=0,"",Model!AA13)</f>
        <v/>
      </c>
      <c r="AD7" s="194" t="str">
        <f aca="false">IF(Model!AB13=0,"",Model!AB13)</f>
        <v/>
      </c>
      <c r="AE7" s="194" t="str">
        <f aca="false">IF(Model!AC13=0,"",Model!AC13)</f>
        <v/>
      </c>
      <c r="AF7" s="194" t="str">
        <f aca="false">IF(Model!AD13=0,"",Model!AD13)</f>
        <v/>
      </c>
      <c r="AG7" s="194" t="str">
        <f aca="false">IF(Model!AE13=0,"",Model!AE13)</f>
        <v/>
      </c>
      <c r="AH7" s="194" t="str">
        <f aca="false">IF(Model!AF13=0,"",Model!AF13)</f>
        <v/>
      </c>
      <c r="AI7" s="194" t="str">
        <f aca="false">IF(Model!AG13=0,"",Model!AG13)</f>
        <v/>
      </c>
      <c r="AJ7" s="194" t="str">
        <f aca="false">IF(Model!AH13=0,"",Model!AH13)</f>
        <v/>
      </c>
      <c r="AK7" s="194" t="str">
        <f aca="false">IF(Model!AI13=0,"",Model!AI13)</f>
        <v/>
      </c>
      <c r="AL7" s="194" t="str">
        <f aca="false">IF(Model!AJ13=0,"",Model!AJ13)</f>
        <v/>
      </c>
      <c r="AM7" s="194" t="str">
        <f aca="false">IF(Model!AK13=0,"",Model!AK13)</f>
        <v/>
      </c>
      <c r="AN7" s="194" t="str">
        <f aca="false">IF(Model!AL13=0,"",Model!AL13)</f>
        <v/>
      </c>
      <c r="AO7" s="194" t="str">
        <f aca="false">IF(Model!AM13=0,"",Model!AM13)</f>
        <v/>
      </c>
      <c r="AP7" s="194" t="str">
        <f aca="false">IF(Model!AN13=0,"",Model!AN13)</f>
        <v/>
      </c>
      <c r="AQ7" s="194" t="str">
        <f aca="false">IF(Model!AO13=0,"",Model!AO13)</f>
        <v/>
      </c>
      <c r="AR7" s="194" t="str">
        <f aca="false">IF(Model!AP13=0,"",Model!AP13)</f>
        <v/>
      </c>
      <c r="AS7" s="194" t="str">
        <f aca="false">IF(Model!AQ13=0,"",Model!AQ13)</f>
        <v/>
      </c>
      <c r="AT7" s="194" t="str">
        <f aca="false">IF(Model!AR13=0,"",Model!AR13)</f>
        <v/>
      </c>
      <c r="AU7" s="194" t="str">
        <f aca="false">IF(Model!AS13=0,"",Model!AS13)</f>
        <v/>
      </c>
      <c r="AV7" s="194" t="str">
        <f aca="false">IF(Model!AT13=0,"",Model!AT13)</f>
        <v/>
      </c>
      <c r="AW7" s="194" t="str">
        <f aca="false">IF(Model!AU13=0,"",Model!AU13)</f>
        <v/>
      </c>
      <c r="AX7" s="194" t="str">
        <f aca="false">IF(Model!AV13=0,"",Model!AV13)</f>
        <v/>
      </c>
      <c r="AY7" s="194" t="str">
        <f aca="false">IF(Model!AW13=0,"",Model!AW13)</f>
        <v/>
      </c>
      <c r="AZ7" s="194" t="str">
        <f aca="false">IF(Model!AX13=0,"",Model!AX13)</f>
        <v/>
      </c>
      <c r="BA7" s="194" t="str">
        <f aca="false">IF(Model!AY13=0,"",Model!AY13)</f>
        <v/>
      </c>
      <c r="BB7" s="194" t="str">
        <f aca="false">IF(Model!AZ13=0,"",Model!AZ13)</f>
        <v/>
      </c>
      <c r="BC7" s="194" t="str">
        <f aca="false">IF(Model!BA13=0,"",Model!BA13)</f>
        <v/>
      </c>
      <c r="BD7" s="194" t="str">
        <f aca="false">IF(Model!BB13=0,"",Model!BB13)</f>
        <v/>
      </c>
      <c r="BE7" s="194" t="str">
        <f aca="false">IF(Model!BC13=0,"",Model!BC13)</f>
        <v/>
      </c>
      <c r="BF7" s="194" t="str">
        <f aca="false">IF(Model!BD13=0,"",Model!BD13)</f>
        <v/>
      </c>
      <c r="BG7" s="194" t="str">
        <f aca="false">IF(Model!BE13=0,"",Model!BE13)</f>
        <v/>
      </c>
      <c r="BH7" s="194" t="str">
        <f aca="false">IF(Model!BF13=0,"",Model!BF13)</f>
        <v/>
      </c>
      <c r="BI7" s="194" t="str">
        <f aca="false">IF(Model!BG13=0,"",Model!BG13)</f>
        <v/>
      </c>
      <c r="BJ7" s="194" t="str">
        <f aca="false">IF(Model!BH13=0,"",Model!BH13)</f>
        <v/>
      </c>
      <c r="BK7" s="194" t="str">
        <f aca="false">IF(Model!BI13=0,"",Model!BI13)</f>
        <v/>
      </c>
      <c r="BL7" s="194" t="str">
        <f aca="false">IF(Model!BJ13=0,"",Model!BJ13)</f>
        <v/>
      </c>
      <c r="BM7" s="194" t="str">
        <f aca="false">IF(Model!BK13=0,"",Model!BK13)</f>
        <v/>
      </c>
      <c r="BN7" s="194" t="str">
        <f aca="false">IF(Model!BL13=0,"",Model!BL13)</f>
        <v/>
      </c>
      <c r="BO7" s="194" t="str">
        <f aca="false">IF(Model!BM13=0,"",Model!BM13)</f>
        <v/>
      </c>
      <c r="BP7" s="194" t="str">
        <f aca="false">IF(Model!BN13=0,"",Model!BN13)</f>
        <v/>
      </c>
      <c r="BQ7" s="194" t="str">
        <f aca="false">IF(Model!BO13=0,"",Model!BO13)</f>
        <v/>
      </c>
      <c r="BR7" s="194" t="str">
        <f aca="false">IF(Model!BP13=0,"",Model!BP13)</f>
        <v/>
      </c>
      <c r="BS7" s="194" t="str">
        <f aca="false">IF(Model!BQ13=0,"",Model!BQ13)</f>
        <v/>
      </c>
      <c r="BT7" s="194" t="str">
        <f aca="false">IF(Model!BR13=0,"",Model!BR13)</f>
        <v/>
      </c>
      <c r="BU7" s="194" t="str">
        <f aca="false">IF(Model!BS13=0,"",Model!BS13)</f>
        <v/>
      </c>
      <c r="BV7" s="194" t="str">
        <f aca="false">IF(Model!BT13=0,"",Model!BT13)</f>
        <v/>
      </c>
      <c r="BW7" s="194" t="str">
        <f aca="false">IF(Model!BU13=0,"",Model!BU13)</f>
        <v/>
      </c>
      <c r="BX7" s="194" t="str">
        <f aca="false">IF(Model!BV13=0,"",Model!BV13)</f>
        <v/>
      </c>
      <c r="BY7" s="194" t="str">
        <f aca="false">IF(Model!BW13=0,"",Model!BW13)</f>
        <v/>
      </c>
      <c r="BZ7" s="194" t="str">
        <f aca="false">IF(Model!BX13=0,"",Model!BX13)</f>
        <v/>
      </c>
      <c r="CA7" s="194" t="str">
        <f aca="false">IF(Model!BY13=0,"",Model!BY13)</f>
        <v/>
      </c>
      <c r="CB7" s="194" t="str">
        <f aca="false">IF(Model!BZ13=0,"",Model!BZ13)</f>
        <v/>
      </c>
      <c r="CC7" s="194" t="str">
        <f aca="false">IF(Model!CA13=0,"",Model!CA13)</f>
        <v/>
      </c>
      <c r="CD7" s="194" t="str">
        <f aca="false">IF(Model!CB13=0,"",Model!CB13)</f>
        <v/>
      </c>
      <c r="CE7" s="194" t="str">
        <f aca="false">IF(Model!CC13=0,"",Model!CC13)</f>
        <v/>
      </c>
      <c r="CF7" s="194" t="str">
        <f aca="false">IF(Model!CD13=0,"",Model!CD13)</f>
        <v/>
      </c>
      <c r="CG7" s="194" t="str">
        <f aca="false">IF(Model!CE13=0,"",Model!CE13)</f>
        <v/>
      </c>
      <c r="CH7" s="194" t="str">
        <f aca="false">IF(Model!CF13=0,"",Model!CF13)</f>
        <v/>
      </c>
      <c r="CI7" s="194" t="str">
        <f aca="false">IF(Model!CG13=0,"",Model!CG13)</f>
        <v/>
      </c>
      <c r="CJ7" s="194" t="str">
        <f aca="false">IF(Model!CH13=0,"",Model!CH13)</f>
        <v/>
      </c>
      <c r="CK7" s="194" t="str">
        <f aca="false">IF(Model!CI13=0,"",Model!CI13)</f>
        <v/>
      </c>
      <c r="CL7" s="194" t="str">
        <f aca="false">IF(Model!CJ13=0,"",Model!CJ13)</f>
        <v/>
      </c>
      <c r="CM7" s="194" t="str">
        <f aca="false">IF(Model!CK13=0,"",Model!CK13)</f>
        <v/>
      </c>
      <c r="CN7" s="194" t="str">
        <f aca="false">IF(Model!CL13=0,"",Model!CL13)</f>
        <v/>
      </c>
      <c r="CO7" s="194" t="str">
        <f aca="false">IF(Model!CM13=0,"",Model!CM13)</f>
        <v/>
      </c>
      <c r="CP7" s="194" t="str">
        <f aca="false">IF(Model!CN13=0,"",Model!CN13)</f>
        <v/>
      </c>
      <c r="CQ7" s="194" t="str">
        <f aca="false">IF(Model!CO13=0,"",Model!CO13)</f>
        <v/>
      </c>
      <c r="CR7" s="194" t="str">
        <f aca="false">IF(Model!CP13=0,"",Model!CP13)</f>
        <v/>
      </c>
      <c r="CS7" s="194" t="str">
        <f aca="false">IF(Model!CQ13=0,"",Model!CQ13)</f>
        <v/>
      </c>
      <c r="CT7" s="194" t="str">
        <f aca="false">IF(Model!CR13=0,"",Model!CR13)</f>
        <v/>
      </c>
      <c r="CU7" s="194" t="str">
        <f aca="false">IF(Model!CS13=0,"",Model!CS13)</f>
        <v/>
      </c>
      <c r="CV7" s="194" t="str">
        <f aca="false">IF(Model!CT13=0,"",Model!CT13)</f>
        <v/>
      </c>
      <c r="CW7" s="194" t="str">
        <f aca="false">IF(Model!CU13=0,"",Model!CU13)</f>
        <v/>
      </c>
      <c r="CX7" s="194" t="str">
        <f aca="false">IF(Model!CV13=0,"",Model!CV13)</f>
        <v/>
      </c>
      <c r="CY7" s="194" t="str">
        <f aca="false">IF(Model!CW13=0,"",Model!CW13)</f>
        <v/>
      </c>
      <c r="CZ7" s="194" t="str">
        <f aca="false">IF(Model!CX13=0,"",Model!CX13)</f>
        <v/>
      </c>
      <c r="DA7" s="194" t="str">
        <f aca="false">IF(Model!CY13=0,"",Model!CY13)</f>
        <v/>
      </c>
      <c r="DB7" s="194" t="str">
        <f aca="false">IF(Model!CZ13=0,"",Model!CZ13)</f>
        <v/>
      </c>
    </row>
    <row r="8" customFormat="false" ht="15" hidden="false" customHeight="true" outlineLevel="0" collapsed="false">
      <c r="A8" s="125" t="s">
        <v>8</v>
      </c>
      <c r="B8" s="191" t="n">
        <f aca="false">Projects!$B$3</f>
        <v>20176449</v>
      </c>
      <c r="C8" s="192" t="n">
        <f aca="false">EDATE(Model!$E$2,Projects!$C$3-1)</f>
        <v>46113</v>
      </c>
      <c r="D8" s="192" t="n">
        <f aca="false">EDATE(Model!$E$2,18-1)</f>
        <v>46631</v>
      </c>
      <c r="E8" s="193" t="n">
        <f aca="false">DATEDIF(C8,D8,"m")+1</f>
        <v>18</v>
      </c>
      <c r="F8" s="191" t="n">
        <f aca="false">SUM(G8:DB8)</f>
        <v>18169630.38</v>
      </c>
      <c r="G8" s="194" t="n">
        <f aca="false">IF(Model!E14=0,"",Model!E14)</f>
        <v>1237428.59</v>
      </c>
      <c r="H8" s="194" t="n">
        <f aca="false">IF(Model!F14=0,"",Model!F14)</f>
        <v>1120082.41</v>
      </c>
      <c r="I8" s="194" t="n">
        <f aca="false">IF(Model!G14=0,"",Model!G14)</f>
        <v>1858219.93</v>
      </c>
      <c r="J8" s="194" t="n">
        <f aca="false">IF(Model!H14=0,"",Model!H14)</f>
        <v>1987246.69</v>
      </c>
      <c r="K8" s="194" t="n">
        <f aca="false">IF(Model!I14=0,"",Model!I14)</f>
        <v>1397700.58</v>
      </c>
      <c r="L8" s="194" t="n">
        <f aca="false">IF(Model!J14=0,"",Model!J14)</f>
        <v>1080865.59</v>
      </c>
      <c r="M8" s="194" t="n">
        <f aca="false">IF(Model!K14=0,"",Model!K14)</f>
        <v>907471.96</v>
      </c>
      <c r="N8" s="194" t="n">
        <f aca="false">IF(Model!L14=0,"",Model!L14)</f>
        <v>804175.89</v>
      </c>
      <c r="O8" s="194" t="n">
        <f aca="false">IF(Model!M14=0,"",Model!M14)</f>
        <v>836424.94</v>
      </c>
      <c r="P8" s="194" t="n">
        <f aca="false">IF(Model!N14=0,"",Model!N14)</f>
        <v>1141488.12</v>
      </c>
      <c r="Q8" s="194" t="n">
        <f aca="false">IF(Model!O14=0,"",Model!O14)</f>
        <v>831668.03</v>
      </c>
      <c r="R8" s="194" t="n">
        <f aca="false">IF(Model!P14=0,"",Model!P14)</f>
        <v>1111923.3</v>
      </c>
      <c r="S8" s="194" t="n">
        <f aca="false">IF(Model!Q14=0,"",Model!Q14)</f>
        <v>880988.48</v>
      </c>
      <c r="T8" s="194" t="n">
        <f aca="false">IF(Model!R14=0,"",Model!R14)</f>
        <v>653443.66</v>
      </c>
      <c r="U8" s="194" t="n">
        <f aca="false">IF(Model!S14=0,"",Model!S14)</f>
        <v>567093.62</v>
      </c>
      <c r="V8" s="194" t="n">
        <f aca="false">IF(Model!T14=0,"",Model!T14)</f>
        <v>767040.45</v>
      </c>
      <c r="W8" s="194" t="n">
        <f aca="false">IF(Model!U14=0,"",Model!U14)</f>
        <v>778438.76</v>
      </c>
      <c r="X8" s="194" t="n">
        <f aca="false">IF(Model!V14=0,"",Model!V14)</f>
        <v>207929.38</v>
      </c>
      <c r="Y8" s="194" t="str">
        <f aca="false">IF(Model!W14=0,"",Model!W14)</f>
        <v/>
      </c>
      <c r="Z8" s="194" t="str">
        <f aca="false">IF(Model!X14=0,"",Model!X14)</f>
        <v/>
      </c>
      <c r="AA8" s="194" t="str">
        <f aca="false">IF(Model!Y14=0,"",Model!Y14)</f>
        <v/>
      </c>
      <c r="AB8" s="194" t="str">
        <f aca="false">IF(Model!Z14=0,"",Model!Z14)</f>
        <v/>
      </c>
      <c r="AC8" s="194" t="str">
        <f aca="false">IF(Model!AA14=0,"",Model!AA14)</f>
        <v/>
      </c>
      <c r="AD8" s="194" t="str">
        <f aca="false">IF(Model!AB14=0,"",Model!AB14)</f>
        <v/>
      </c>
      <c r="AE8" s="194" t="str">
        <f aca="false">IF(Model!AC14=0,"",Model!AC14)</f>
        <v/>
      </c>
      <c r="AF8" s="194" t="str">
        <f aca="false">IF(Model!AD14=0,"",Model!AD14)</f>
        <v/>
      </c>
      <c r="AG8" s="194" t="str">
        <f aca="false">IF(Model!AE14=0,"",Model!AE14)</f>
        <v/>
      </c>
      <c r="AH8" s="194" t="str">
        <f aca="false">IF(Model!AF14=0,"",Model!AF14)</f>
        <v/>
      </c>
      <c r="AI8" s="194" t="str">
        <f aca="false">IF(Model!AG14=0,"",Model!AG14)</f>
        <v/>
      </c>
      <c r="AJ8" s="194" t="str">
        <f aca="false">IF(Model!AH14=0,"",Model!AH14)</f>
        <v/>
      </c>
      <c r="AK8" s="194" t="str">
        <f aca="false">IF(Model!AI14=0,"",Model!AI14)</f>
        <v/>
      </c>
      <c r="AL8" s="194" t="str">
        <f aca="false">IF(Model!AJ14=0,"",Model!AJ14)</f>
        <v/>
      </c>
      <c r="AM8" s="194" t="str">
        <f aca="false">IF(Model!AK14=0,"",Model!AK14)</f>
        <v/>
      </c>
      <c r="AN8" s="194" t="str">
        <f aca="false">IF(Model!AL14=0,"",Model!AL14)</f>
        <v/>
      </c>
      <c r="AO8" s="194" t="str">
        <f aca="false">IF(Model!AM14=0,"",Model!AM14)</f>
        <v/>
      </c>
      <c r="AP8" s="194" t="str">
        <f aca="false">IF(Model!AN14=0,"",Model!AN14)</f>
        <v/>
      </c>
      <c r="AQ8" s="194" t="str">
        <f aca="false">IF(Model!AO14=0,"",Model!AO14)</f>
        <v/>
      </c>
      <c r="AR8" s="194" t="str">
        <f aca="false">IF(Model!AP14=0,"",Model!AP14)</f>
        <v/>
      </c>
      <c r="AS8" s="194" t="str">
        <f aca="false">IF(Model!AQ14=0,"",Model!AQ14)</f>
        <v/>
      </c>
      <c r="AT8" s="194" t="str">
        <f aca="false">IF(Model!AR14=0,"",Model!AR14)</f>
        <v/>
      </c>
      <c r="AU8" s="194" t="str">
        <f aca="false">IF(Model!AS14=0,"",Model!AS14)</f>
        <v/>
      </c>
      <c r="AV8" s="194" t="str">
        <f aca="false">IF(Model!AT14=0,"",Model!AT14)</f>
        <v/>
      </c>
      <c r="AW8" s="194" t="str">
        <f aca="false">IF(Model!AU14=0,"",Model!AU14)</f>
        <v/>
      </c>
      <c r="AX8" s="194" t="str">
        <f aca="false">IF(Model!AV14=0,"",Model!AV14)</f>
        <v/>
      </c>
      <c r="AY8" s="194" t="str">
        <f aca="false">IF(Model!AW14=0,"",Model!AW14)</f>
        <v/>
      </c>
      <c r="AZ8" s="194" t="str">
        <f aca="false">IF(Model!AX14=0,"",Model!AX14)</f>
        <v/>
      </c>
      <c r="BA8" s="194" t="str">
        <f aca="false">IF(Model!AY14=0,"",Model!AY14)</f>
        <v/>
      </c>
      <c r="BB8" s="194" t="str">
        <f aca="false">IF(Model!AZ14=0,"",Model!AZ14)</f>
        <v/>
      </c>
      <c r="BC8" s="194" t="str">
        <f aca="false">IF(Model!BA14=0,"",Model!BA14)</f>
        <v/>
      </c>
      <c r="BD8" s="194" t="str">
        <f aca="false">IF(Model!BB14=0,"",Model!BB14)</f>
        <v/>
      </c>
      <c r="BE8" s="194" t="str">
        <f aca="false">IF(Model!BC14=0,"",Model!BC14)</f>
        <v/>
      </c>
      <c r="BF8" s="194" t="str">
        <f aca="false">IF(Model!BD14=0,"",Model!BD14)</f>
        <v/>
      </c>
      <c r="BG8" s="194" t="str">
        <f aca="false">IF(Model!BE14=0,"",Model!BE14)</f>
        <v/>
      </c>
      <c r="BH8" s="194" t="str">
        <f aca="false">IF(Model!BF14=0,"",Model!BF14)</f>
        <v/>
      </c>
      <c r="BI8" s="194" t="str">
        <f aca="false">IF(Model!BG14=0,"",Model!BG14)</f>
        <v/>
      </c>
      <c r="BJ8" s="194" t="str">
        <f aca="false">IF(Model!BH14=0,"",Model!BH14)</f>
        <v/>
      </c>
      <c r="BK8" s="194" t="str">
        <f aca="false">IF(Model!BI14=0,"",Model!BI14)</f>
        <v/>
      </c>
      <c r="BL8" s="194" t="str">
        <f aca="false">IF(Model!BJ14=0,"",Model!BJ14)</f>
        <v/>
      </c>
      <c r="BM8" s="194" t="str">
        <f aca="false">IF(Model!BK14=0,"",Model!BK14)</f>
        <v/>
      </c>
      <c r="BN8" s="194" t="str">
        <f aca="false">IF(Model!BL14=0,"",Model!BL14)</f>
        <v/>
      </c>
      <c r="BO8" s="194" t="str">
        <f aca="false">IF(Model!BM14=0,"",Model!BM14)</f>
        <v/>
      </c>
      <c r="BP8" s="194" t="str">
        <f aca="false">IF(Model!BN14=0,"",Model!BN14)</f>
        <v/>
      </c>
      <c r="BQ8" s="194" t="str">
        <f aca="false">IF(Model!BO14=0,"",Model!BO14)</f>
        <v/>
      </c>
      <c r="BR8" s="194" t="str">
        <f aca="false">IF(Model!BP14=0,"",Model!BP14)</f>
        <v/>
      </c>
      <c r="BS8" s="194" t="str">
        <f aca="false">IF(Model!BQ14=0,"",Model!BQ14)</f>
        <v/>
      </c>
      <c r="BT8" s="194" t="str">
        <f aca="false">IF(Model!BR14=0,"",Model!BR14)</f>
        <v/>
      </c>
      <c r="BU8" s="194" t="str">
        <f aca="false">IF(Model!BS14=0,"",Model!BS14)</f>
        <v/>
      </c>
      <c r="BV8" s="194" t="str">
        <f aca="false">IF(Model!BT14=0,"",Model!BT14)</f>
        <v/>
      </c>
      <c r="BW8" s="194" t="str">
        <f aca="false">IF(Model!BU14=0,"",Model!BU14)</f>
        <v/>
      </c>
      <c r="BX8" s="194" t="str">
        <f aca="false">IF(Model!BV14=0,"",Model!BV14)</f>
        <v/>
      </c>
      <c r="BY8" s="194" t="str">
        <f aca="false">IF(Model!BW14=0,"",Model!BW14)</f>
        <v/>
      </c>
      <c r="BZ8" s="194" t="str">
        <f aca="false">IF(Model!BX14=0,"",Model!BX14)</f>
        <v/>
      </c>
      <c r="CA8" s="194" t="str">
        <f aca="false">IF(Model!BY14=0,"",Model!BY14)</f>
        <v/>
      </c>
      <c r="CB8" s="194" t="str">
        <f aca="false">IF(Model!BZ14=0,"",Model!BZ14)</f>
        <v/>
      </c>
      <c r="CC8" s="194" t="str">
        <f aca="false">IF(Model!CA14=0,"",Model!CA14)</f>
        <v/>
      </c>
      <c r="CD8" s="194" t="str">
        <f aca="false">IF(Model!CB14=0,"",Model!CB14)</f>
        <v/>
      </c>
      <c r="CE8" s="194" t="str">
        <f aca="false">IF(Model!CC14=0,"",Model!CC14)</f>
        <v/>
      </c>
      <c r="CF8" s="194" t="str">
        <f aca="false">IF(Model!CD14=0,"",Model!CD14)</f>
        <v/>
      </c>
      <c r="CG8" s="194" t="str">
        <f aca="false">IF(Model!CE14=0,"",Model!CE14)</f>
        <v/>
      </c>
      <c r="CH8" s="194" t="str">
        <f aca="false">IF(Model!CF14=0,"",Model!CF14)</f>
        <v/>
      </c>
      <c r="CI8" s="194" t="str">
        <f aca="false">IF(Model!CG14=0,"",Model!CG14)</f>
        <v/>
      </c>
      <c r="CJ8" s="194" t="str">
        <f aca="false">IF(Model!CH14=0,"",Model!CH14)</f>
        <v/>
      </c>
      <c r="CK8" s="194" t="str">
        <f aca="false">IF(Model!CI14=0,"",Model!CI14)</f>
        <v/>
      </c>
      <c r="CL8" s="194" t="str">
        <f aca="false">IF(Model!CJ14=0,"",Model!CJ14)</f>
        <v/>
      </c>
      <c r="CM8" s="194" t="str">
        <f aca="false">IF(Model!CK14=0,"",Model!CK14)</f>
        <v/>
      </c>
      <c r="CN8" s="194" t="str">
        <f aca="false">IF(Model!CL14=0,"",Model!CL14)</f>
        <v/>
      </c>
      <c r="CO8" s="194" t="str">
        <f aca="false">IF(Model!CM14=0,"",Model!CM14)</f>
        <v/>
      </c>
      <c r="CP8" s="194" t="str">
        <f aca="false">IF(Model!CN14=0,"",Model!CN14)</f>
        <v/>
      </c>
      <c r="CQ8" s="194" t="str">
        <f aca="false">IF(Model!CO14=0,"",Model!CO14)</f>
        <v/>
      </c>
      <c r="CR8" s="194" t="str">
        <f aca="false">IF(Model!CP14=0,"",Model!CP14)</f>
        <v/>
      </c>
      <c r="CS8" s="194" t="str">
        <f aca="false">IF(Model!CQ14=0,"",Model!CQ14)</f>
        <v/>
      </c>
      <c r="CT8" s="194" t="str">
        <f aca="false">IF(Model!CR14=0,"",Model!CR14)</f>
        <v/>
      </c>
      <c r="CU8" s="194" t="str">
        <f aca="false">IF(Model!CS14=0,"",Model!CS14)</f>
        <v/>
      </c>
      <c r="CV8" s="194" t="str">
        <f aca="false">IF(Model!CT14=0,"",Model!CT14)</f>
        <v/>
      </c>
      <c r="CW8" s="194" t="str">
        <f aca="false">IF(Model!CU14=0,"",Model!CU14)</f>
        <v/>
      </c>
      <c r="CX8" s="194" t="str">
        <f aca="false">IF(Model!CV14=0,"",Model!CV14)</f>
        <v/>
      </c>
      <c r="CY8" s="194" t="str">
        <f aca="false">IF(Model!CW14=0,"",Model!CW14)</f>
        <v/>
      </c>
      <c r="CZ8" s="194" t="str">
        <f aca="false">IF(Model!CX14=0,"",Model!CX14)</f>
        <v/>
      </c>
      <c r="DA8" s="194" t="str">
        <f aca="false">IF(Model!CY14=0,"",Model!CY14)</f>
        <v/>
      </c>
      <c r="DB8" s="194" t="str">
        <f aca="false">IF(Model!CZ14=0,"",Model!CZ14)</f>
        <v/>
      </c>
    </row>
    <row r="9" customFormat="false" ht="15" hidden="false" customHeight="true" outlineLevel="0" collapsed="false">
      <c r="A9" s="125" t="s">
        <v>9</v>
      </c>
      <c r="B9" s="191" t="n">
        <f aca="false">Projects!$B$4</f>
        <v>11929880</v>
      </c>
      <c r="C9" s="192" t="n">
        <f aca="false">EDATE(Model!$E$2,Projects!$C$4-1)</f>
        <v>46113</v>
      </c>
      <c r="D9" s="192" t="n">
        <f aca="false">EDATE(Model!$E$2,17-1)</f>
        <v>46600</v>
      </c>
      <c r="E9" s="193" t="n">
        <f aca="false">DATEDIF(C9,D9,"m")+1</f>
        <v>17</v>
      </c>
      <c r="F9" s="191" t="n">
        <f aca="false">SUM(G9:DB9)</f>
        <v>10887187.56</v>
      </c>
      <c r="G9" s="194" t="n">
        <f aca="false">IF(Model!E15=0,"",Model!E15)</f>
        <v>571051.61</v>
      </c>
      <c r="H9" s="194" t="n">
        <f aca="false">IF(Model!F15=0,"",Model!F15)</f>
        <v>1099379.66</v>
      </c>
      <c r="I9" s="194" t="n">
        <f aca="false">IF(Model!G15=0,"",Model!G15)</f>
        <v>1315355.15</v>
      </c>
      <c r="J9" s="194" t="n">
        <f aca="false">IF(Model!H15=0,"",Model!H15)</f>
        <v>603209.04</v>
      </c>
      <c r="K9" s="194" t="n">
        <f aca="false">IF(Model!I15=0,"",Model!I15)</f>
        <v>736924.86</v>
      </c>
      <c r="L9" s="194" t="n">
        <f aca="false">IF(Model!J15=0,"",Model!J15)</f>
        <v>603963.38</v>
      </c>
      <c r="M9" s="194" t="n">
        <f aca="false">IF(Model!K15=0,"",Model!K15)</f>
        <v>563091.62</v>
      </c>
      <c r="N9" s="194" t="n">
        <f aca="false">IF(Model!L15=0,"",Model!L15)</f>
        <v>629318.73</v>
      </c>
      <c r="O9" s="194" t="n">
        <f aca="false">IF(Model!M15=0,"",Model!M15)</f>
        <v>751734.58</v>
      </c>
      <c r="P9" s="194" t="n">
        <f aca="false">IF(Model!N15=0,"",Model!N15)</f>
        <v>674668.79</v>
      </c>
      <c r="Q9" s="194" t="n">
        <f aca="false">IF(Model!O15=0,"",Model!O15)</f>
        <v>615694.04</v>
      </c>
      <c r="R9" s="194" t="n">
        <f aca="false">IF(Model!P15=0,"",Model!P15)</f>
        <v>694084.67</v>
      </c>
      <c r="S9" s="194" t="n">
        <f aca="false">IF(Model!Q15=0,"",Model!Q15)</f>
        <v>723252.22</v>
      </c>
      <c r="T9" s="194" t="n">
        <f aca="false">IF(Model!R15=0,"",Model!R15)</f>
        <v>594153.61</v>
      </c>
      <c r="U9" s="194" t="n">
        <f aca="false">IF(Model!S15=0,"",Model!S15)</f>
        <v>377468.25</v>
      </c>
      <c r="V9" s="194" t="n">
        <f aca="false">IF(Model!T15=0,"",Model!T15)</f>
        <v>189218.1</v>
      </c>
      <c r="W9" s="194" t="n">
        <f aca="false">IF(Model!U15=0,"",Model!U15)</f>
        <v>144619.25</v>
      </c>
      <c r="X9" s="194" t="str">
        <f aca="false">IF(Model!V15=0,"",Model!V15)</f>
        <v/>
      </c>
      <c r="Y9" s="194" t="str">
        <f aca="false">IF(Model!W15=0,"",Model!W15)</f>
        <v/>
      </c>
      <c r="Z9" s="194" t="str">
        <f aca="false">IF(Model!X15=0,"",Model!X15)</f>
        <v/>
      </c>
      <c r="AA9" s="194" t="str">
        <f aca="false">IF(Model!Y15=0,"",Model!Y15)</f>
        <v/>
      </c>
      <c r="AB9" s="194" t="str">
        <f aca="false">IF(Model!Z15=0,"",Model!Z15)</f>
        <v/>
      </c>
      <c r="AC9" s="194" t="str">
        <f aca="false">IF(Model!AA15=0,"",Model!AA15)</f>
        <v/>
      </c>
      <c r="AD9" s="194" t="str">
        <f aca="false">IF(Model!AB15=0,"",Model!AB15)</f>
        <v/>
      </c>
      <c r="AE9" s="194" t="str">
        <f aca="false">IF(Model!AC15=0,"",Model!AC15)</f>
        <v/>
      </c>
      <c r="AF9" s="194" t="str">
        <f aca="false">IF(Model!AD15=0,"",Model!AD15)</f>
        <v/>
      </c>
      <c r="AG9" s="194" t="str">
        <f aca="false">IF(Model!AE15=0,"",Model!AE15)</f>
        <v/>
      </c>
      <c r="AH9" s="194" t="str">
        <f aca="false">IF(Model!AF15=0,"",Model!AF15)</f>
        <v/>
      </c>
      <c r="AI9" s="194" t="str">
        <f aca="false">IF(Model!AG15=0,"",Model!AG15)</f>
        <v/>
      </c>
      <c r="AJ9" s="194" t="str">
        <f aca="false">IF(Model!AH15=0,"",Model!AH15)</f>
        <v/>
      </c>
      <c r="AK9" s="194" t="str">
        <f aca="false">IF(Model!AI15=0,"",Model!AI15)</f>
        <v/>
      </c>
      <c r="AL9" s="194" t="str">
        <f aca="false">IF(Model!AJ15=0,"",Model!AJ15)</f>
        <v/>
      </c>
      <c r="AM9" s="194" t="str">
        <f aca="false">IF(Model!AK15=0,"",Model!AK15)</f>
        <v/>
      </c>
      <c r="AN9" s="194" t="str">
        <f aca="false">IF(Model!AL15=0,"",Model!AL15)</f>
        <v/>
      </c>
      <c r="AO9" s="194" t="str">
        <f aca="false">IF(Model!AM15=0,"",Model!AM15)</f>
        <v/>
      </c>
      <c r="AP9" s="194" t="str">
        <f aca="false">IF(Model!AN15=0,"",Model!AN15)</f>
        <v/>
      </c>
      <c r="AQ9" s="194" t="str">
        <f aca="false">IF(Model!AO15=0,"",Model!AO15)</f>
        <v/>
      </c>
      <c r="AR9" s="194" t="str">
        <f aca="false">IF(Model!AP15=0,"",Model!AP15)</f>
        <v/>
      </c>
      <c r="AS9" s="194" t="str">
        <f aca="false">IF(Model!AQ15=0,"",Model!AQ15)</f>
        <v/>
      </c>
      <c r="AT9" s="194" t="str">
        <f aca="false">IF(Model!AR15=0,"",Model!AR15)</f>
        <v/>
      </c>
      <c r="AU9" s="194" t="str">
        <f aca="false">IF(Model!AS15=0,"",Model!AS15)</f>
        <v/>
      </c>
      <c r="AV9" s="194" t="str">
        <f aca="false">IF(Model!AT15=0,"",Model!AT15)</f>
        <v/>
      </c>
      <c r="AW9" s="194" t="str">
        <f aca="false">IF(Model!AU15=0,"",Model!AU15)</f>
        <v/>
      </c>
      <c r="AX9" s="194" t="str">
        <f aca="false">IF(Model!AV15=0,"",Model!AV15)</f>
        <v/>
      </c>
      <c r="AY9" s="194" t="str">
        <f aca="false">IF(Model!AW15=0,"",Model!AW15)</f>
        <v/>
      </c>
      <c r="AZ9" s="194" t="str">
        <f aca="false">IF(Model!AX15=0,"",Model!AX15)</f>
        <v/>
      </c>
      <c r="BA9" s="194" t="str">
        <f aca="false">IF(Model!AY15=0,"",Model!AY15)</f>
        <v/>
      </c>
      <c r="BB9" s="194" t="str">
        <f aca="false">IF(Model!AZ15=0,"",Model!AZ15)</f>
        <v/>
      </c>
      <c r="BC9" s="194" t="str">
        <f aca="false">IF(Model!BA15=0,"",Model!BA15)</f>
        <v/>
      </c>
      <c r="BD9" s="194" t="str">
        <f aca="false">IF(Model!BB15=0,"",Model!BB15)</f>
        <v/>
      </c>
      <c r="BE9" s="194" t="str">
        <f aca="false">IF(Model!BC15=0,"",Model!BC15)</f>
        <v/>
      </c>
      <c r="BF9" s="194" t="str">
        <f aca="false">IF(Model!BD15=0,"",Model!BD15)</f>
        <v/>
      </c>
      <c r="BG9" s="194" t="str">
        <f aca="false">IF(Model!BE15=0,"",Model!BE15)</f>
        <v/>
      </c>
      <c r="BH9" s="194" t="str">
        <f aca="false">IF(Model!BF15=0,"",Model!BF15)</f>
        <v/>
      </c>
      <c r="BI9" s="194" t="str">
        <f aca="false">IF(Model!BG15=0,"",Model!BG15)</f>
        <v/>
      </c>
      <c r="BJ9" s="194" t="str">
        <f aca="false">IF(Model!BH15=0,"",Model!BH15)</f>
        <v/>
      </c>
      <c r="BK9" s="194" t="str">
        <f aca="false">IF(Model!BI15=0,"",Model!BI15)</f>
        <v/>
      </c>
      <c r="BL9" s="194" t="str">
        <f aca="false">IF(Model!BJ15=0,"",Model!BJ15)</f>
        <v/>
      </c>
      <c r="BM9" s="194" t="str">
        <f aca="false">IF(Model!BK15=0,"",Model!BK15)</f>
        <v/>
      </c>
      <c r="BN9" s="194" t="str">
        <f aca="false">IF(Model!BL15=0,"",Model!BL15)</f>
        <v/>
      </c>
      <c r="BO9" s="194" t="str">
        <f aca="false">IF(Model!BM15=0,"",Model!BM15)</f>
        <v/>
      </c>
      <c r="BP9" s="194" t="str">
        <f aca="false">IF(Model!BN15=0,"",Model!BN15)</f>
        <v/>
      </c>
      <c r="BQ9" s="194" t="str">
        <f aca="false">IF(Model!BO15=0,"",Model!BO15)</f>
        <v/>
      </c>
      <c r="BR9" s="194" t="str">
        <f aca="false">IF(Model!BP15=0,"",Model!BP15)</f>
        <v/>
      </c>
      <c r="BS9" s="194" t="str">
        <f aca="false">IF(Model!BQ15=0,"",Model!BQ15)</f>
        <v/>
      </c>
      <c r="BT9" s="194" t="str">
        <f aca="false">IF(Model!BR15=0,"",Model!BR15)</f>
        <v/>
      </c>
      <c r="BU9" s="194" t="str">
        <f aca="false">IF(Model!BS15=0,"",Model!BS15)</f>
        <v/>
      </c>
      <c r="BV9" s="194" t="str">
        <f aca="false">IF(Model!BT15=0,"",Model!BT15)</f>
        <v/>
      </c>
      <c r="BW9" s="194" t="str">
        <f aca="false">IF(Model!BU15=0,"",Model!BU15)</f>
        <v/>
      </c>
      <c r="BX9" s="194" t="str">
        <f aca="false">IF(Model!BV15=0,"",Model!BV15)</f>
        <v/>
      </c>
      <c r="BY9" s="194" t="str">
        <f aca="false">IF(Model!BW15=0,"",Model!BW15)</f>
        <v/>
      </c>
      <c r="BZ9" s="194" t="str">
        <f aca="false">IF(Model!BX15=0,"",Model!BX15)</f>
        <v/>
      </c>
      <c r="CA9" s="194" t="str">
        <f aca="false">IF(Model!BY15=0,"",Model!BY15)</f>
        <v/>
      </c>
      <c r="CB9" s="194" t="str">
        <f aca="false">IF(Model!BZ15=0,"",Model!BZ15)</f>
        <v/>
      </c>
      <c r="CC9" s="194" t="str">
        <f aca="false">IF(Model!CA15=0,"",Model!CA15)</f>
        <v/>
      </c>
      <c r="CD9" s="194" t="str">
        <f aca="false">IF(Model!CB15=0,"",Model!CB15)</f>
        <v/>
      </c>
      <c r="CE9" s="194" t="str">
        <f aca="false">IF(Model!CC15=0,"",Model!CC15)</f>
        <v/>
      </c>
      <c r="CF9" s="194" t="str">
        <f aca="false">IF(Model!CD15=0,"",Model!CD15)</f>
        <v/>
      </c>
      <c r="CG9" s="194" t="str">
        <f aca="false">IF(Model!CE15=0,"",Model!CE15)</f>
        <v/>
      </c>
      <c r="CH9" s="194" t="str">
        <f aca="false">IF(Model!CF15=0,"",Model!CF15)</f>
        <v/>
      </c>
      <c r="CI9" s="194" t="str">
        <f aca="false">IF(Model!CG15=0,"",Model!CG15)</f>
        <v/>
      </c>
      <c r="CJ9" s="194" t="str">
        <f aca="false">IF(Model!CH15=0,"",Model!CH15)</f>
        <v/>
      </c>
      <c r="CK9" s="194" t="str">
        <f aca="false">IF(Model!CI15=0,"",Model!CI15)</f>
        <v/>
      </c>
      <c r="CL9" s="194" t="str">
        <f aca="false">IF(Model!CJ15=0,"",Model!CJ15)</f>
        <v/>
      </c>
      <c r="CM9" s="194" t="str">
        <f aca="false">IF(Model!CK15=0,"",Model!CK15)</f>
        <v/>
      </c>
      <c r="CN9" s="194" t="str">
        <f aca="false">IF(Model!CL15=0,"",Model!CL15)</f>
        <v/>
      </c>
      <c r="CO9" s="194" t="str">
        <f aca="false">IF(Model!CM15=0,"",Model!CM15)</f>
        <v/>
      </c>
      <c r="CP9" s="194" t="str">
        <f aca="false">IF(Model!CN15=0,"",Model!CN15)</f>
        <v/>
      </c>
      <c r="CQ9" s="194" t="str">
        <f aca="false">IF(Model!CO15=0,"",Model!CO15)</f>
        <v/>
      </c>
      <c r="CR9" s="194" t="str">
        <f aca="false">IF(Model!CP15=0,"",Model!CP15)</f>
        <v/>
      </c>
      <c r="CS9" s="194" t="str">
        <f aca="false">IF(Model!CQ15=0,"",Model!CQ15)</f>
        <v/>
      </c>
      <c r="CT9" s="194" t="str">
        <f aca="false">IF(Model!CR15=0,"",Model!CR15)</f>
        <v/>
      </c>
      <c r="CU9" s="194" t="str">
        <f aca="false">IF(Model!CS15=0,"",Model!CS15)</f>
        <v/>
      </c>
      <c r="CV9" s="194" t="str">
        <f aca="false">IF(Model!CT15=0,"",Model!CT15)</f>
        <v/>
      </c>
      <c r="CW9" s="194" t="str">
        <f aca="false">IF(Model!CU15=0,"",Model!CU15)</f>
        <v/>
      </c>
      <c r="CX9" s="194" t="str">
        <f aca="false">IF(Model!CV15=0,"",Model!CV15)</f>
        <v/>
      </c>
      <c r="CY9" s="194" t="str">
        <f aca="false">IF(Model!CW15=0,"",Model!CW15)</f>
        <v/>
      </c>
      <c r="CZ9" s="194" t="str">
        <f aca="false">IF(Model!CX15=0,"",Model!CX15)</f>
        <v/>
      </c>
      <c r="DA9" s="194" t="str">
        <f aca="false">IF(Model!CY15=0,"",Model!CY15)</f>
        <v/>
      </c>
      <c r="DB9" s="194" t="str">
        <f aca="false">IF(Model!CZ15=0,"",Model!CZ15)</f>
        <v/>
      </c>
    </row>
    <row r="10" customFormat="false" ht="15" hidden="false" customHeight="true" outlineLevel="0" collapsed="false">
      <c r="A10" s="125" t="s">
        <v>10</v>
      </c>
      <c r="B10" s="191" t="n">
        <f aca="false">Projects!$B$5</f>
        <v>14427884</v>
      </c>
      <c r="C10" s="192" t="n">
        <f aca="false">EDATE(Model!$E$2,Projects!$C$5-1)</f>
        <v>46113</v>
      </c>
      <c r="D10" s="192" t="n">
        <f aca="false">EDATE(Model!$E$2,19-1)</f>
        <v>46661</v>
      </c>
      <c r="E10" s="193" t="n">
        <f aca="false">DATEDIF(C10,D10,"m")+1</f>
        <v>19</v>
      </c>
      <c r="F10" s="191" t="n">
        <f aca="false">SUM(G10:DB10)</f>
        <v>14053101.58</v>
      </c>
      <c r="G10" s="194" t="n">
        <f aca="false">IF(Model!E16=0,"",Model!E16)</f>
        <v>577813.6</v>
      </c>
      <c r="H10" s="194" t="n">
        <f aca="false">IF(Model!F16=0,"",Model!F16)</f>
        <v>785971.45</v>
      </c>
      <c r="I10" s="194" t="n">
        <f aca="false">IF(Model!G16=0,"",Model!G16)</f>
        <v>1198349.29</v>
      </c>
      <c r="J10" s="194" t="n">
        <f aca="false">IF(Model!H16=0,"",Model!H16)</f>
        <v>1191447.65</v>
      </c>
      <c r="K10" s="194" t="n">
        <f aca="false">IF(Model!I16=0,"",Model!I16)</f>
        <v>1568049.76</v>
      </c>
      <c r="L10" s="194" t="n">
        <f aca="false">IF(Model!J16=0,"",Model!J16)</f>
        <v>925546.41</v>
      </c>
      <c r="M10" s="194" t="n">
        <f aca="false">IF(Model!K16=0,"",Model!K16)</f>
        <v>821980.06</v>
      </c>
      <c r="N10" s="194" t="n">
        <f aca="false">IF(Model!L16=0,"",Model!L16)</f>
        <v>619146.84</v>
      </c>
      <c r="O10" s="194" t="n">
        <f aca="false">IF(Model!M16=0,"",Model!M16)</f>
        <v>715421.53</v>
      </c>
      <c r="P10" s="194" t="n">
        <f aca="false">IF(Model!N16=0,"",Model!N16)</f>
        <v>653231.72</v>
      </c>
      <c r="Q10" s="194" t="n">
        <f aca="false">IF(Model!O16=0,"",Model!O16)</f>
        <v>619153.15</v>
      </c>
      <c r="R10" s="194" t="n">
        <f aca="false">IF(Model!P16=0,"",Model!P16)</f>
        <v>560550.81</v>
      </c>
      <c r="S10" s="194" t="n">
        <f aca="false">IF(Model!Q16=0,"",Model!Q16)</f>
        <v>440306.1</v>
      </c>
      <c r="T10" s="194" t="n">
        <f aca="false">IF(Model!R16=0,"",Model!R16)</f>
        <v>351742.71</v>
      </c>
      <c r="U10" s="194" t="n">
        <f aca="false">IF(Model!S16=0,"",Model!S16)</f>
        <v>752314.78</v>
      </c>
      <c r="V10" s="194" t="n">
        <f aca="false">IF(Model!T16=0,"",Model!T16)</f>
        <v>1002553.11</v>
      </c>
      <c r="W10" s="194" t="n">
        <f aca="false">IF(Model!U16=0,"",Model!U16)</f>
        <v>674532.85</v>
      </c>
      <c r="X10" s="194" t="n">
        <f aca="false">IF(Model!V16=0,"",Model!V16)</f>
        <v>436351.83</v>
      </c>
      <c r="Y10" s="194" t="n">
        <f aca="false">IF(Model!W16=0,"",Model!W16)</f>
        <v>158637.93</v>
      </c>
      <c r="Z10" s="194" t="str">
        <f aca="false">IF(Model!X16=0,"",Model!X16)</f>
        <v/>
      </c>
      <c r="AA10" s="194" t="str">
        <f aca="false">IF(Model!Y16=0,"",Model!Y16)</f>
        <v/>
      </c>
      <c r="AB10" s="194" t="str">
        <f aca="false">IF(Model!Z16=0,"",Model!Z16)</f>
        <v/>
      </c>
      <c r="AC10" s="194" t="str">
        <f aca="false">IF(Model!AA16=0,"",Model!AA16)</f>
        <v/>
      </c>
      <c r="AD10" s="194" t="str">
        <f aca="false">IF(Model!AB16=0,"",Model!AB16)</f>
        <v/>
      </c>
      <c r="AE10" s="194" t="str">
        <f aca="false">IF(Model!AC16=0,"",Model!AC16)</f>
        <v/>
      </c>
      <c r="AF10" s="194" t="str">
        <f aca="false">IF(Model!AD16=0,"",Model!AD16)</f>
        <v/>
      </c>
      <c r="AG10" s="194" t="str">
        <f aca="false">IF(Model!AE16=0,"",Model!AE16)</f>
        <v/>
      </c>
      <c r="AH10" s="194" t="str">
        <f aca="false">IF(Model!AF16=0,"",Model!AF16)</f>
        <v/>
      </c>
      <c r="AI10" s="194" t="str">
        <f aca="false">IF(Model!AG16=0,"",Model!AG16)</f>
        <v/>
      </c>
      <c r="AJ10" s="194" t="str">
        <f aca="false">IF(Model!AH16=0,"",Model!AH16)</f>
        <v/>
      </c>
      <c r="AK10" s="194" t="str">
        <f aca="false">IF(Model!AI16=0,"",Model!AI16)</f>
        <v/>
      </c>
      <c r="AL10" s="194" t="str">
        <f aca="false">IF(Model!AJ16=0,"",Model!AJ16)</f>
        <v/>
      </c>
      <c r="AM10" s="194" t="str">
        <f aca="false">IF(Model!AK16=0,"",Model!AK16)</f>
        <v/>
      </c>
      <c r="AN10" s="194" t="str">
        <f aca="false">IF(Model!AL16=0,"",Model!AL16)</f>
        <v/>
      </c>
      <c r="AO10" s="194" t="str">
        <f aca="false">IF(Model!AM16=0,"",Model!AM16)</f>
        <v/>
      </c>
      <c r="AP10" s="194" t="str">
        <f aca="false">IF(Model!AN16=0,"",Model!AN16)</f>
        <v/>
      </c>
      <c r="AQ10" s="194" t="str">
        <f aca="false">IF(Model!AO16=0,"",Model!AO16)</f>
        <v/>
      </c>
      <c r="AR10" s="194" t="str">
        <f aca="false">IF(Model!AP16=0,"",Model!AP16)</f>
        <v/>
      </c>
      <c r="AS10" s="194" t="str">
        <f aca="false">IF(Model!AQ16=0,"",Model!AQ16)</f>
        <v/>
      </c>
      <c r="AT10" s="194" t="str">
        <f aca="false">IF(Model!AR16=0,"",Model!AR16)</f>
        <v/>
      </c>
      <c r="AU10" s="194" t="str">
        <f aca="false">IF(Model!AS16=0,"",Model!AS16)</f>
        <v/>
      </c>
      <c r="AV10" s="194" t="str">
        <f aca="false">IF(Model!AT16=0,"",Model!AT16)</f>
        <v/>
      </c>
      <c r="AW10" s="194" t="str">
        <f aca="false">IF(Model!AU16=0,"",Model!AU16)</f>
        <v/>
      </c>
      <c r="AX10" s="194" t="str">
        <f aca="false">IF(Model!AV16=0,"",Model!AV16)</f>
        <v/>
      </c>
      <c r="AY10" s="194" t="str">
        <f aca="false">IF(Model!AW16=0,"",Model!AW16)</f>
        <v/>
      </c>
      <c r="AZ10" s="194" t="str">
        <f aca="false">IF(Model!AX16=0,"",Model!AX16)</f>
        <v/>
      </c>
      <c r="BA10" s="194" t="str">
        <f aca="false">IF(Model!AY16=0,"",Model!AY16)</f>
        <v/>
      </c>
      <c r="BB10" s="194" t="str">
        <f aca="false">IF(Model!AZ16=0,"",Model!AZ16)</f>
        <v/>
      </c>
      <c r="BC10" s="194" t="str">
        <f aca="false">IF(Model!BA16=0,"",Model!BA16)</f>
        <v/>
      </c>
      <c r="BD10" s="194" t="str">
        <f aca="false">IF(Model!BB16=0,"",Model!BB16)</f>
        <v/>
      </c>
      <c r="BE10" s="194" t="str">
        <f aca="false">IF(Model!BC16=0,"",Model!BC16)</f>
        <v/>
      </c>
      <c r="BF10" s="194" t="str">
        <f aca="false">IF(Model!BD16=0,"",Model!BD16)</f>
        <v/>
      </c>
      <c r="BG10" s="194" t="str">
        <f aca="false">IF(Model!BE16=0,"",Model!BE16)</f>
        <v/>
      </c>
      <c r="BH10" s="194" t="str">
        <f aca="false">IF(Model!BF16=0,"",Model!BF16)</f>
        <v/>
      </c>
      <c r="BI10" s="194" t="str">
        <f aca="false">IF(Model!BG16=0,"",Model!BG16)</f>
        <v/>
      </c>
      <c r="BJ10" s="194" t="str">
        <f aca="false">IF(Model!BH16=0,"",Model!BH16)</f>
        <v/>
      </c>
      <c r="BK10" s="194" t="str">
        <f aca="false">IF(Model!BI16=0,"",Model!BI16)</f>
        <v/>
      </c>
      <c r="BL10" s="194" t="str">
        <f aca="false">IF(Model!BJ16=0,"",Model!BJ16)</f>
        <v/>
      </c>
      <c r="BM10" s="194" t="str">
        <f aca="false">IF(Model!BK16=0,"",Model!BK16)</f>
        <v/>
      </c>
      <c r="BN10" s="194" t="str">
        <f aca="false">IF(Model!BL16=0,"",Model!BL16)</f>
        <v/>
      </c>
      <c r="BO10" s="194" t="str">
        <f aca="false">IF(Model!BM16=0,"",Model!BM16)</f>
        <v/>
      </c>
      <c r="BP10" s="194" t="str">
        <f aca="false">IF(Model!BN16=0,"",Model!BN16)</f>
        <v/>
      </c>
      <c r="BQ10" s="194" t="str">
        <f aca="false">IF(Model!BO16=0,"",Model!BO16)</f>
        <v/>
      </c>
      <c r="BR10" s="194" t="str">
        <f aca="false">IF(Model!BP16=0,"",Model!BP16)</f>
        <v/>
      </c>
      <c r="BS10" s="194" t="str">
        <f aca="false">IF(Model!BQ16=0,"",Model!BQ16)</f>
        <v/>
      </c>
      <c r="BT10" s="194" t="str">
        <f aca="false">IF(Model!BR16=0,"",Model!BR16)</f>
        <v/>
      </c>
      <c r="BU10" s="194" t="str">
        <f aca="false">IF(Model!BS16=0,"",Model!BS16)</f>
        <v/>
      </c>
      <c r="BV10" s="194" t="str">
        <f aca="false">IF(Model!BT16=0,"",Model!BT16)</f>
        <v/>
      </c>
      <c r="BW10" s="194" t="str">
        <f aca="false">IF(Model!BU16=0,"",Model!BU16)</f>
        <v/>
      </c>
      <c r="BX10" s="194" t="str">
        <f aca="false">IF(Model!BV16=0,"",Model!BV16)</f>
        <v/>
      </c>
      <c r="BY10" s="194" t="str">
        <f aca="false">IF(Model!BW16=0,"",Model!BW16)</f>
        <v/>
      </c>
      <c r="BZ10" s="194" t="str">
        <f aca="false">IF(Model!BX16=0,"",Model!BX16)</f>
        <v/>
      </c>
      <c r="CA10" s="194" t="str">
        <f aca="false">IF(Model!BY16=0,"",Model!BY16)</f>
        <v/>
      </c>
      <c r="CB10" s="194" t="str">
        <f aca="false">IF(Model!BZ16=0,"",Model!BZ16)</f>
        <v/>
      </c>
      <c r="CC10" s="194" t="str">
        <f aca="false">IF(Model!CA16=0,"",Model!CA16)</f>
        <v/>
      </c>
      <c r="CD10" s="194" t="str">
        <f aca="false">IF(Model!CB16=0,"",Model!CB16)</f>
        <v/>
      </c>
      <c r="CE10" s="194" t="str">
        <f aca="false">IF(Model!CC16=0,"",Model!CC16)</f>
        <v/>
      </c>
      <c r="CF10" s="194" t="str">
        <f aca="false">IF(Model!CD16=0,"",Model!CD16)</f>
        <v/>
      </c>
      <c r="CG10" s="194" t="str">
        <f aca="false">IF(Model!CE16=0,"",Model!CE16)</f>
        <v/>
      </c>
      <c r="CH10" s="194" t="str">
        <f aca="false">IF(Model!CF16=0,"",Model!CF16)</f>
        <v/>
      </c>
      <c r="CI10" s="194" t="str">
        <f aca="false">IF(Model!CG16=0,"",Model!CG16)</f>
        <v/>
      </c>
      <c r="CJ10" s="194" t="str">
        <f aca="false">IF(Model!CH16=0,"",Model!CH16)</f>
        <v/>
      </c>
      <c r="CK10" s="194" t="str">
        <f aca="false">IF(Model!CI16=0,"",Model!CI16)</f>
        <v/>
      </c>
      <c r="CL10" s="194" t="str">
        <f aca="false">IF(Model!CJ16=0,"",Model!CJ16)</f>
        <v/>
      </c>
      <c r="CM10" s="194" t="str">
        <f aca="false">IF(Model!CK16=0,"",Model!CK16)</f>
        <v/>
      </c>
      <c r="CN10" s="194" t="str">
        <f aca="false">IF(Model!CL16=0,"",Model!CL16)</f>
        <v/>
      </c>
      <c r="CO10" s="194" t="str">
        <f aca="false">IF(Model!CM16=0,"",Model!CM16)</f>
        <v/>
      </c>
      <c r="CP10" s="194" t="str">
        <f aca="false">IF(Model!CN16=0,"",Model!CN16)</f>
        <v/>
      </c>
      <c r="CQ10" s="194" t="str">
        <f aca="false">IF(Model!CO16=0,"",Model!CO16)</f>
        <v/>
      </c>
      <c r="CR10" s="194" t="str">
        <f aca="false">IF(Model!CP16=0,"",Model!CP16)</f>
        <v/>
      </c>
      <c r="CS10" s="194" t="str">
        <f aca="false">IF(Model!CQ16=0,"",Model!CQ16)</f>
        <v/>
      </c>
      <c r="CT10" s="194" t="str">
        <f aca="false">IF(Model!CR16=0,"",Model!CR16)</f>
        <v/>
      </c>
      <c r="CU10" s="194" t="str">
        <f aca="false">IF(Model!CS16=0,"",Model!CS16)</f>
        <v/>
      </c>
      <c r="CV10" s="194" t="str">
        <f aca="false">IF(Model!CT16=0,"",Model!CT16)</f>
        <v/>
      </c>
      <c r="CW10" s="194" t="str">
        <f aca="false">IF(Model!CU16=0,"",Model!CU16)</f>
        <v/>
      </c>
      <c r="CX10" s="194" t="str">
        <f aca="false">IF(Model!CV16=0,"",Model!CV16)</f>
        <v/>
      </c>
      <c r="CY10" s="194" t="str">
        <f aca="false">IF(Model!CW16=0,"",Model!CW16)</f>
        <v/>
      </c>
      <c r="CZ10" s="194" t="str">
        <f aca="false">IF(Model!CX16=0,"",Model!CX16)</f>
        <v/>
      </c>
      <c r="DA10" s="194" t="str">
        <f aca="false">IF(Model!CY16=0,"",Model!CY16)</f>
        <v/>
      </c>
      <c r="DB10" s="194" t="str">
        <f aca="false">IF(Model!CZ16=0,"",Model!CZ16)</f>
        <v/>
      </c>
    </row>
    <row r="11" customFormat="false" ht="15" hidden="false" customHeight="true" outlineLevel="0" collapsed="false">
      <c r="A11" s="125" t="s">
        <v>11</v>
      </c>
      <c r="B11" s="191" t="n">
        <f aca="false">Projects!$B$6</f>
        <v>3623245</v>
      </c>
      <c r="C11" s="192" t="n">
        <f aca="false">EDATE(Model!$E$2,Projects!$C$6-1)</f>
        <v>46113</v>
      </c>
      <c r="D11" s="192" t="n">
        <f aca="false">EDATE(Model!$E$2,15-1)</f>
        <v>46539</v>
      </c>
      <c r="E11" s="193" t="n">
        <f aca="false">DATEDIF(C11,D11,"m")+1</f>
        <v>15</v>
      </c>
      <c r="F11" s="191" t="n">
        <f aca="false">SUM(G11:DB11)</f>
        <v>3474372.95</v>
      </c>
      <c r="G11" s="194" t="n">
        <f aca="false">IF(Model!E17=0,"",Model!E17)</f>
        <v>222415.49</v>
      </c>
      <c r="H11" s="194" t="n">
        <f aca="false">IF(Model!F17=0,"",Model!F17)</f>
        <v>222238.96</v>
      </c>
      <c r="I11" s="194" t="n">
        <f aca="false">IF(Model!G17=0,"",Model!G17)</f>
        <v>325125.94</v>
      </c>
      <c r="J11" s="194" t="n">
        <f aca="false">IF(Model!H17=0,"",Model!H17)</f>
        <v>251137.32</v>
      </c>
      <c r="K11" s="194" t="n">
        <f aca="false">IF(Model!I17=0,"",Model!I17)</f>
        <v>453013.02</v>
      </c>
      <c r="L11" s="194" t="n">
        <f aca="false">IF(Model!J17=0,"",Model!J17)</f>
        <v>292519.05</v>
      </c>
      <c r="M11" s="194" t="n">
        <f aca="false">IF(Model!K17=0,"",Model!K17)</f>
        <v>450328.06</v>
      </c>
      <c r="N11" s="194" t="n">
        <f aca="false">IF(Model!L17=0,"",Model!L17)</f>
        <v>246565.55</v>
      </c>
      <c r="O11" s="194" t="n">
        <f aca="false">IF(Model!M17=0,"",Model!M17)</f>
        <v>208840.6</v>
      </c>
      <c r="P11" s="194" t="n">
        <f aca="false">IF(Model!N17=0,"",Model!N17)</f>
        <v>279911.11</v>
      </c>
      <c r="Q11" s="194" t="n">
        <f aca="false">IF(Model!O17=0,"",Model!O17)</f>
        <v>246649.63</v>
      </c>
      <c r="R11" s="194" t="n">
        <f aca="false">IF(Model!P17=0,"",Model!P17)</f>
        <v>95976.7</v>
      </c>
      <c r="S11" s="194" t="n">
        <f aca="false">IF(Model!Q17=0,"",Model!Q17)</f>
        <v>110015.5</v>
      </c>
      <c r="T11" s="194" t="n">
        <f aca="false">IF(Model!R17=0,"",Model!R17)</f>
        <v>53831.42</v>
      </c>
      <c r="U11" s="194" t="n">
        <f aca="false">IF(Model!S17=0,"",Model!S17)</f>
        <v>15804.6</v>
      </c>
      <c r="V11" s="194" t="str">
        <f aca="false">IF(Model!T17=0,"",Model!T17)</f>
        <v/>
      </c>
      <c r="W11" s="194" t="str">
        <f aca="false">IF(Model!U17=0,"",Model!U17)</f>
        <v/>
      </c>
      <c r="X11" s="194" t="str">
        <f aca="false">IF(Model!V17=0,"",Model!V17)</f>
        <v/>
      </c>
      <c r="Y11" s="194" t="str">
        <f aca="false">IF(Model!W17=0,"",Model!W17)</f>
        <v/>
      </c>
      <c r="Z11" s="194" t="str">
        <f aca="false">IF(Model!X17=0,"",Model!X17)</f>
        <v/>
      </c>
      <c r="AA11" s="194" t="str">
        <f aca="false">IF(Model!Y17=0,"",Model!Y17)</f>
        <v/>
      </c>
      <c r="AB11" s="194" t="str">
        <f aca="false">IF(Model!Z17=0,"",Model!Z17)</f>
        <v/>
      </c>
      <c r="AC11" s="194" t="str">
        <f aca="false">IF(Model!AA17=0,"",Model!AA17)</f>
        <v/>
      </c>
      <c r="AD11" s="194" t="str">
        <f aca="false">IF(Model!AB17=0,"",Model!AB17)</f>
        <v/>
      </c>
      <c r="AE11" s="194" t="str">
        <f aca="false">IF(Model!AC17=0,"",Model!AC17)</f>
        <v/>
      </c>
      <c r="AF11" s="194" t="str">
        <f aca="false">IF(Model!AD17=0,"",Model!AD17)</f>
        <v/>
      </c>
      <c r="AG11" s="194" t="str">
        <f aca="false">IF(Model!AE17=0,"",Model!AE17)</f>
        <v/>
      </c>
      <c r="AH11" s="194" t="str">
        <f aca="false">IF(Model!AF17=0,"",Model!AF17)</f>
        <v/>
      </c>
      <c r="AI11" s="194" t="str">
        <f aca="false">IF(Model!AG17=0,"",Model!AG17)</f>
        <v/>
      </c>
      <c r="AJ11" s="194" t="str">
        <f aca="false">IF(Model!AH17=0,"",Model!AH17)</f>
        <v/>
      </c>
      <c r="AK11" s="194" t="str">
        <f aca="false">IF(Model!AI17=0,"",Model!AI17)</f>
        <v/>
      </c>
      <c r="AL11" s="194" t="str">
        <f aca="false">IF(Model!AJ17=0,"",Model!AJ17)</f>
        <v/>
      </c>
      <c r="AM11" s="194" t="str">
        <f aca="false">IF(Model!AK17=0,"",Model!AK17)</f>
        <v/>
      </c>
      <c r="AN11" s="194" t="str">
        <f aca="false">IF(Model!AL17=0,"",Model!AL17)</f>
        <v/>
      </c>
      <c r="AO11" s="194" t="str">
        <f aca="false">IF(Model!AM17=0,"",Model!AM17)</f>
        <v/>
      </c>
      <c r="AP11" s="194" t="str">
        <f aca="false">IF(Model!AN17=0,"",Model!AN17)</f>
        <v/>
      </c>
      <c r="AQ11" s="194" t="str">
        <f aca="false">IF(Model!AO17=0,"",Model!AO17)</f>
        <v/>
      </c>
      <c r="AR11" s="194" t="str">
        <f aca="false">IF(Model!AP17=0,"",Model!AP17)</f>
        <v/>
      </c>
      <c r="AS11" s="194" t="str">
        <f aca="false">IF(Model!AQ17=0,"",Model!AQ17)</f>
        <v/>
      </c>
      <c r="AT11" s="194" t="str">
        <f aca="false">IF(Model!AR17=0,"",Model!AR17)</f>
        <v/>
      </c>
      <c r="AU11" s="194" t="str">
        <f aca="false">IF(Model!AS17=0,"",Model!AS17)</f>
        <v/>
      </c>
      <c r="AV11" s="194" t="str">
        <f aca="false">IF(Model!AT17=0,"",Model!AT17)</f>
        <v/>
      </c>
      <c r="AW11" s="194" t="str">
        <f aca="false">IF(Model!AU17=0,"",Model!AU17)</f>
        <v/>
      </c>
      <c r="AX11" s="194" t="str">
        <f aca="false">IF(Model!AV17=0,"",Model!AV17)</f>
        <v/>
      </c>
      <c r="AY11" s="194" t="str">
        <f aca="false">IF(Model!AW17=0,"",Model!AW17)</f>
        <v/>
      </c>
      <c r="AZ11" s="194" t="str">
        <f aca="false">IF(Model!AX17=0,"",Model!AX17)</f>
        <v/>
      </c>
      <c r="BA11" s="194" t="str">
        <f aca="false">IF(Model!AY17=0,"",Model!AY17)</f>
        <v/>
      </c>
      <c r="BB11" s="194" t="str">
        <f aca="false">IF(Model!AZ17=0,"",Model!AZ17)</f>
        <v/>
      </c>
      <c r="BC11" s="194" t="str">
        <f aca="false">IF(Model!BA17=0,"",Model!BA17)</f>
        <v/>
      </c>
      <c r="BD11" s="194" t="str">
        <f aca="false">IF(Model!BB17=0,"",Model!BB17)</f>
        <v/>
      </c>
      <c r="BE11" s="194" t="str">
        <f aca="false">IF(Model!BC17=0,"",Model!BC17)</f>
        <v/>
      </c>
      <c r="BF11" s="194" t="str">
        <f aca="false">IF(Model!BD17=0,"",Model!BD17)</f>
        <v/>
      </c>
      <c r="BG11" s="194" t="str">
        <f aca="false">IF(Model!BE17=0,"",Model!BE17)</f>
        <v/>
      </c>
      <c r="BH11" s="194" t="str">
        <f aca="false">IF(Model!BF17=0,"",Model!BF17)</f>
        <v/>
      </c>
      <c r="BI11" s="194" t="str">
        <f aca="false">IF(Model!BG17=0,"",Model!BG17)</f>
        <v/>
      </c>
      <c r="BJ11" s="194" t="str">
        <f aca="false">IF(Model!BH17=0,"",Model!BH17)</f>
        <v/>
      </c>
      <c r="BK11" s="194" t="str">
        <f aca="false">IF(Model!BI17=0,"",Model!BI17)</f>
        <v/>
      </c>
      <c r="BL11" s="194" t="str">
        <f aca="false">IF(Model!BJ17=0,"",Model!BJ17)</f>
        <v/>
      </c>
      <c r="BM11" s="194" t="str">
        <f aca="false">IF(Model!BK17=0,"",Model!BK17)</f>
        <v/>
      </c>
      <c r="BN11" s="194" t="str">
        <f aca="false">IF(Model!BL17=0,"",Model!BL17)</f>
        <v/>
      </c>
      <c r="BO11" s="194" t="str">
        <f aca="false">IF(Model!BM17=0,"",Model!BM17)</f>
        <v/>
      </c>
      <c r="BP11" s="194" t="str">
        <f aca="false">IF(Model!BN17=0,"",Model!BN17)</f>
        <v/>
      </c>
      <c r="BQ11" s="194" t="str">
        <f aca="false">IF(Model!BO17=0,"",Model!BO17)</f>
        <v/>
      </c>
      <c r="BR11" s="194" t="str">
        <f aca="false">IF(Model!BP17=0,"",Model!BP17)</f>
        <v/>
      </c>
      <c r="BS11" s="194" t="str">
        <f aca="false">IF(Model!BQ17=0,"",Model!BQ17)</f>
        <v/>
      </c>
      <c r="BT11" s="194" t="str">
        <f aca="false">IF(Model!BR17=0,"",Model!BR17)</f>
        <v/>
      </c>
      <c r="BU11" s="194" t="str">
        <f aca="false">IF(Model!BS17=0,"",Model!BS17)</f>
        <v/>
      </c>
      <c r="BV11" s="194" t="str">
        <f aca="false">IF(Model!BT17=0,"",Model!BT17)</f>
        <v/>
      </c>
      <c r="BW11" s="194" t="str">
        <f aca="false">IF(Model!BU17=0,"",Model!BU17)</f>
        <v/>
      </c>
      <c r="BX11" s="194" t="str">
        <f aca="false">IF(Model!BV17=0,"",Model!BV17)</f>
        <v/>
      </c>
      <c r="BY11" s="194" t="str">
        <f aca="false">IF(Model!BW17=0,"",Model!BW17)</f>
        <v/>
      </c>
      <c r="BZ11" s="194" t="str">
        <f aca="false">IF(Model!BX17=0,"",Model!BX17)</f>
        <v/>
      </c>
      <c r="CA11" s="194" t="str">
        <f aca="false">IF(Model!BY17=0,"",Model!BY17)</f>
        <v/>
      </c>
      <c r="CB11" s="194" t="str">
        <f aca="false">IF(Model!BZ17=0,"",Model!BZ17)</f>
        <v/>
      </c>
      <c r="CC11" s="194" t="str">
        <f aca="false">IF(Model!CA17=0,"",Model!CA17)</f>
        <v/>
      </c>
      <c r="CD11" s="194" t="str">
        <f aca="false">IF(Model!CB17=0,"",Model!CB17)</f>
        <v/>
      </c>
      <c r="CE11" s="194" t="str">
        <f aca="false">IF(Model!CC17=0,"",Model!CC17)</f>
        <v/>
      </c>
      <c r="CF11" s="194" t="str">
        <f aca="false">IF(Model!CD17=0,"",Model!CD17)</f>
        <v/>
      </c>
      <c r="CG11" s="194" t="str">
        <f aca="false">IF(Model!CE17=0,"",Model!CE17)</f>
        <v/>
      </c>
      <c r="CH11" s="194" t="str">
        <f aca="false">IF(Model!CF17=0,"",Model!CF17)</f>
        <v/>
      </c>
      <c r="CI11" s="194" t="str">
        <f aca="false">IF(Model!CG17=0,"",Model!CG17)</f>
        <v/>
      </c>
      <c r="CJ11" s="194" t="str">
        <f aca="false">IF(Model!CH17=0,"",Model!CH17)</f>
        <v/>
      </c>
      <c r="CK11" s="194" t="str">
        <f aca="false">IF(Model!CI17=0,"",Model!CI17)</f>
        <v/>
      </c>
      <c r="CL11" s="194" t="str">
        <f aca="false">IF(Model!CJ17=0,"",Model!CJ17)</f>
        <v/>
      </c>
      <c r="CM11" s="194" t="str">
        <f aca="false">IF(Model!CK17=0,"",Model!CK17)</f>
        <v/>
      </c>
      <c r="CN11" s="194" t="str">
        <f aca="false">IF(Model!CL17=0,"",Model!CL17)</f>
        <v/>
      </c>
      <c r="CO11" s="194" t="str">
        <f aca="false">IF(Model!CM17=0,"",Model!CM17)</f>
        <v/>
      </c>
      <c r="CP11" s="194" t="str">
        <f aca="false">IF(Model!CN17=0,"",Model!CN17)</f>
        <v/>
      </c>
      <c r="CQ11" s="194" t="str">
        <f aca="false">IF(Model!CO17=0,"",Model!CO17)</f>
        <v/>
      </c>
      <c r="CR11" s="194" t="str">
        <f aca="false">IF(Model!CP17=0,"",Model!CP17)</f>
        <v/>
      </c>
      <c r="CS11" s="194" t="str">
        <f aca="false">IF(Model!CQ17=0,"",Model!CQ17)</f>
        <v/>
      </c>
      <c r="CT11" s="194" t="str">
        <f aca="false">IF(Model!CR17=0,"",Model!CR17)</f>
        <v/>
      </c>
      <c r="CU11" s="194" t="str">
        <f aca="false">IF(Model!CS17=0,"",Model!CS17)</f>
        <v/>
      </c>
      <c r="CV11" s="194" t="str">
        <f aca="false">IF(Model!CT17=0,"",Model!CT17)</f>
        <v/>
      </c>
      <c r="CW11" s="194" t="str">
        <f aca="false">IF(Model!CU17=0,"",Model!CU17)</f>
        <v/>
      </c>
      <c r="CX11" s="194" t="str">
        <f aca="false">IF(Model!CV17=0,"",Model!CV17)</f>
        <v/>
      </c>
      <c r="CY11" s="194" t="str">
        <f aca="false">IF(Model!CW17=0,"",Model!CW17)</f>
        <v/>
      </c>
      <c r="CZ11" s="194" t="str">
        <f aca="false">IF(Model!CX17=0,"",Model!CX17)</f>
        <v/>
      </c>
      <c r="DA11" s="194" t="str">
        <f aca="false">IF(Model!CY17=0,"",Model!CY17)</f>
        <v/>
      </c>
      <c r="DB11" s="194" t="str">
        <f aca="false">IF(Model!CZ17=0,"",Model!CZ17)</f>
        <v/>
      </c>
    </row>
    <row r="12" customFormat="false" ht="15" hidden="false" customHeight="true" outlineLevel="0" collapsed="false">
      <c r="A12" s="125" t="s">
        <v>12</v>
      </c>
      <c r="B12" s="191" t="n">
        <f aca="false">Projects!$B$7</f>
        <v>42794765</v>
      </c>
      <c r="C12" s="192" t="n">
        <f aca="false">EDATE(Model!$E$2,Projects!$C$7-1)</f>
        <v>46235</v>
      </c>
      <c r="D12" s="192" t="n">
        <f aca="false">EDATE(Model!$E$2,36-1)</f>
        <v>47178</v>
      </c>
      <c r="E12" s="193" t="n">
        <f aca="false">DATEDIF(C12,D12,"m")+1</f>
        <v>32</v>
      </c>
      <c r="F12" s="191" t="n">
        <f aca="false">SUM(G12:DB12)</f>
        <v>37296832.31</v>
      </c>
      <c r="G12" s="194" t="str">
        <f aca="false">IF(Model!E18=0,"",Model!E18)</f>
        <v/>
      </c>
      <c r="H12" s="194" t="str">
        <f aca="false">IF(Model!F18=0,"",Model!F18)</f>
        <v/>
      </c>
      <c r="I12" s="194" t="str">
        <f aca="false">IF(Model!G18=0,"",Model!G18)</f>
        <v/>
      </c>
      <c r="J12" s="194" t="n">
        <f aca="false">IF(Model!H18=0,"",Model!H18)</f>
        <v>932055</v>
      </c>
      <c r="K12" s="194" t="n">
        <f aca="false">IF(Model!I18=0,"",Model!I18)</f>
        <v>173887.43</v>
      </c>
      <c r="L12" s="194" t="n">
        <f aca="false">IF(Model!J18=0,"",Model!J18)</f>
        <v>734627.75</v>
      </c>
      <c r="M12" s="194" t="n">
        <f aca="false">IF(Model!K18=0,"",Model!K18)</f>
        <v>1031862.26</v>
      </c>
      <c r="N12" s="194" t="n">
        <f aca="false">IF(Model!L18=0,"",Model!L18)</f>
        <v>670762.14</v>
      </c>
      <c r="O12" s="194" t="n">
        <f aca="false">IF(Model!M18=0,"",Model!M18)</f>
        <v>502701.41</v>
      </c>
      <c r="P12" s="194" t="n">
        <f aca="false">IF(Model!N18=0,"",Model!N18)</f>
        <v>640423.23</v>
      </c>
      <c r="Q12" s="194" t="n">
        <f aca="false">IF(Model!O18=0,"",Model!O18)</f>
        <v>518087.99</v>
      </c>
      <c r="R12" s="194" t="n">
        <f aca="false">IF(Model!P18=0,"",Model!P18)</f>
        <v>625083.61</v>
      </c>
      <c r="S12" s="194" t="n">
        <f aca="false">IF(Model!Q18=0,"",Model!Q18)</f>
        <v>527941.35</v>
      </c>
      <c r="T12" s="194" t="n">
        <f aca="false">IF(Model!R18=0,"",Model!R18)</f>
        <v>648842.42</v>
      </c>
      <c r="U12" s="194" t="n">
        <f aca="false">IF(Model!S18=0,"",Model!S18)</f>
        <v>609836.71</v>
      </c>
      <c r="V12" s="194" t="n">
        <f aca="false">IF(Model!T18=0,"",Model!T18)</f>
        <v>1093856.58</v>
      </c>
      <c r="W12" s="194" t="n">
        <f aca="false">IF(Model!U18=0,"",Model!U18)</f>
        <v>699027.38</v>
      </c>
      <c r="X12" s="194" t="n">
        <f aca="false">IF(Model!V18=0,"",Model!V18)</f>
        <v>2084550.48</v>
      </c>
      <c r="Y12" s="194" t="n">
        <f aca="false">IF(Model!W18=0,"",Model!W18)</f>
        <v>1316830.2</v>
      </c>
      <c r="Z12" s="194" t="n">
        <f aca="false">IF(Model!X18=0,"",Model!X18)</f>
        <v>2704840.19</v>
      </c>
      <c r="AA12" s="194" t="n">
        <f aca="false">IF(Model!Y18=0,"",Model!Y18)</f>
        <v>1557426.69</v>
      </c>
      <c r="AB12" s="194" t="n">
        <f aca="false">IF(Model!Z18=0,"",Model!Z18)</f>
        <v>2453634.53</v>
      </c>
      <c r="AC12" s="194" t="n">
        <f aca="false">IF(Model!AA18=0,"",Model!AA18)</f>
        <v>2048866.16</v>
      </c>
      <c r="AD12" s="194" t="n">
        <f aca="false">IF(Model!AB18=0,"",Model!AB18)</f>
        <v>1396684.5</v>
      </c>
      <c r="AE12" s="194" t="n">
        <f aca="false">IF(Model!AC18=0,"",Model!AC18)</f>
        <v>883896.92</v>
      </c>
      <c r="AF12" s="194" t="n">
        <f aca="false">IF(Model!AD18=0,"",Model!AD18)</f>
        <v>1046686.92</v>
      </c>
      <c r="AG12" s="194" t="n">
        <f aca="false">IF(Model!AE18=0,"",Model!AE18)</f>
        <v>982365.21</v>
      </c>
      <c r="AH12" s="194" t="n">
        <f aca="false">IF(Model!AF18=0,"",Model!AF18)</f>
        <v>1214791.02</v>
      </c>
      <c r="AI12" s="194" t="n">
        <f aca="false">IF(Model!AG18=0,"",Model!AG18)</f>
        <v>2109626.22</v>
      </c>
      <c r="AJ12" s="194" t="n">
        <f aca="false">IF(Model!AH18=0,"",Model!AH18)</f>
        <v>1957875.93</v>
      </c>
      <c r="AK12" s="194" t="n">
        <f aca="false">IF(Model!AI18=0,"",Model!AI18)</f>
        <v>1914132.66</v>
      </c>
      <c r="AL12" s="194" t="n">
        <f aca="false">IF(Model!AJ18=0,"",Model!AJ18)</f>
        <v>1044319.92</v>
      </c>
      <c r="AM12" s="194" t="n">
        <f aca="false">IF(Model!AK18=0,"",Model!AK18)</f>
        <v>866931.3</v>
      </c>
      <c r="AN12" s="194" t="n">
        <f aca="false">IF(Model!AL18=0,"",Model!AL18)</f>
        <v>968436.51</v>
      </c>
      <c r="AO12" s="194" t="n">
        <f aca="false">IF(Model!AM18=0,"",Model!AM18)</f>
        <v>1052717.22</v>
      </c>
      <c r="AP12" s="194" t="n">
        <f aca="false">IF(Model!AN18=0,"",Model!AN18)</f>
        <v>283224.47</v>
      </c>
      <c r="AQ12" s="194" t="str">
        <f aca="false">IF(Model!AO18=0,"",Model!AO18)</f>
        <v/>
      </c>
      <c r="AR12" s="194" t="str">
        <f aca="false">IF(Model!AP18=0,"",Model!AP18)</f>
        <v/>
      </c>
      <c r="AS12" s="194" t="str">
        <f aca="false">IF(Model!AQ18=0,"",Model!AQ18)</f>
        <v/>
      </c>
      <c r="AT12" s="194" t="str">
        <f aca="false">IF(Model!AR18=0,"",Model!AR18)</f>
        <v/>
      </c>
      <c r="AU12" s="194" t="str">
        <f aca="false">IF(Model!AS18=0,"",Model!AS18)</f>
        <v/>
      </c>
      <c r="AV12" s="194" t="str">
        <f aca="false">IF(Model!AT18=0,"",Model!AT18)</f>
        <v/>
      </c>
      <c r="AW12" s="194" t="str">
        <f aca="false">IF(Model!AU18=0,"",Model!AU18)</f>
        <v/>
      </c>
      <c r="AX12" s="194" t="str">
        <f aca="false">IF(Model!AV18=0,"",Model!AV18)</f>
        <v/>
      </c>
      <c r="AY12" s="194" t="str">
        <f aca="false">IF(Model!AW18=0,"",Model!AW18)</f>
        <v/>
      </c>
      <c r="AZ12" s="194" t="str">
        <f aca="false">IF(Model!AX18=0,"",Model!AX18)</f>
        <v/>
      </c>
      <c r="BA12" s="194" t="str">
        <f aca="false">IF(Model!AY18=0,"",Model!AY18)</f>
        <v/>
      </c>
      <c r="BB12" s="194" t="str">
        <f aca="false">IF(Model!AZ18=0,"",Model!AZ18)</f>
        <v/>
      </c>
      <c r="BC12" s="194" t="str">
        <f aca="false">IF(Model!BA18=0,"",Model!BA18)</f>
        <v/>
      </c>
      <c r="BD12" s="194" t="str">
        <f aca="false">IF(Model!BB18=0,"",Model!BB18)</f>
        <v/>
      </c>
      <c r="BE12" s="194" t="str">
        <f aca="false">IF(Model!BC18=0,"",Model!BC18)</f>
        <v/>
      </c>
      <c r="BF12" s="194" t="str">
        <f aca="false">IF(Model!BD18=0,"",Model!BD18)</f>
        <v/>
      </c>
      <c r="BG12" s="194" t="str">
        <f aca="false">IF(Model!BE18=0,"",Model!BE18)</f>
        <v/>
      </c>
      <c r="BH12" s="194" t="str">
        <f aca="false">IF(Model!BF18=0,"",Model!BF18)</f>
        <v/>
      </c>
      <c r="BI12" s="194" t="str">
        <f aca="false">IF(Model!BG18=0,"",Model!BG18)</f>
        <v/>
      </c>
      <c r="BJ12" s="194" t="str">
        <f aca="false">IF(Model!BH18=0,"",Model!BH18)</f>
        <v/>
      </c>
      <c r="BK12" s="194" t="str">
        <f aca="false">IF(Model!BI18=0,"",Model!BI18)</f>
        <v/>
      </c>
      <c r="BL12" s="194" t="str">
        <f aca="false">IF(Model!BJ18=0,"",Model!BJ18)</f>
        <v/>
      </c>
      <c r="BM12" s="194" t="str">
        <f aca="false">IF(Model!BK18=0,"",Model!BK18)</f>
        <v/>
      </c>
      <c r="BN12" s="194" t="str">
        <f aca="false">IF(Model!BL18=0,"",Model!BL18)</f>
        <v/>
      </c>
      <c r="BO12" s="194" t="str">
        <f aca="false">IF(Model!BM18=0,"",Model!BM18)</f>
        <v/>
      </c>
      <c r="BP12" s="194" t="str">
        <f aca="false">IF(Model!BN18=0,"",Model!BN18)</f>
        <v/>
      </c>
      <c r="BQ12" s="194" t="str">
        <f aca="false">IF(Model!BO18=0,"",Model!BO18)</f>
        <v/>
      </c>
      <c r="BR12" s="194" t="str">
        <f aca="false">IF(Model!BP18=0,"",Model!BP18)</f>
        <v/>
      </c>
      <c r="BS12" s="194" t="str">
        <f aca="false">IF(Model!BQ18=0,"",Model!BQ18)</f>
        <v/>
      </c>
      <c r="BT12" s="194" t="str">
        <f aca="false">IF(Model!BR18=0,"",Model!BR18)</f>
        <v/>
      </c>
      <c r="BU12" s="194" t="str">
        <f aca="false">IF(Model!BS18=0,"",Model!BS18)</f>
        <v/>
      </c>
      <c r="BV12" s="194" t="str">
        <f aca="false">IF(Model!BT18=0,"",Model!BT18)</f>
        <v/>
      </c>
      <c r="BW12" s="194" t="str">
        <f aca="false">IF(Model!BU18=0,"",Model!BU18)</f>
        <v/>
      </c>
      <c r="BX12" s="194" t="str">
        <f aca="false">IF(Model!BV18=0,"",Model!BV18)</f>
        <v/>
      </c>
      <c r="BY12" s="194" t="str">
        <f aca="false">IF(Model!BW18=0,"",Model!BW18)</f>
        <v/>
      </c>
      <c r="BZ12" s="194" t="str">
        <f aca="false">IF(Model!BX18=0,"",Model!BX18)</f>
        <v/>
      </c>
      <c r="CA12" s="194" t="str">
        <f aca="false">IF(Model!BY18=0,"",Model!BY18)</f>
        <v/>
      </c>
      <c r="CB12" s="194" t="str">
        <f aca="false">IF(Model!BZ18=0,"",Model!BZ18)</f>
        <v/>
      </c>
      <c r="CC12" s="194" t="str">
        <f aca="false">IF(Model!CA18=0,"",Model!CA18)</f>
        <v/>
      </c>
      <c r="CD12" s="194" t="str">
        <f aca="false">IF(Model!CB18=0,"",Model!CB18)</f>
        <v/>
      </c>
      <c r="CE12" s="194" t="str">
        <f aca="false">IF(Model!CC18=0,"",Model!CC18)</f>
        <v/>
      </c>
      <c r="CF12" s="194" t="str">
        <f aca="false">IF(Model!CD18=0,"",Model!CD18)</f>
        <v/>
      </c>
      <c r="CG12" s="194" t="str">
        <f aca="false">IF(Model!CE18=0,"",Model!CE18)</f>
        <v/>
      </c>
      <c r="CH12" s="194" t="str">
        <f aca="false">IF(Model!CF18=0,"",Model!CF18)</f>
        <v/>
      </c>
      <c r="CI12" s="194" t="str">
        <f aca="false">IF(Model!CG18=0,"",Model!CG18)</f>
        <v/>
      </c>
      <c r="CJ12" s="194" t="str">
        <f aca="false">IF(Model!CH18=0,"",Model!CH18)</f>
        <v/>
      </c>
      <c r="CK12" s="194" t="str">
        <f aca="false">IF(Model!CI18=0,"",Model!CI18)</f>
        <v/>
      </c>
      <c r="CL12" s="194" t="str">
        <f aca="false">IF(Model!CJ18=0,"",Model!CJ18)</f>
        <v/>
      </c>
      <c r="CM12" s="194" t="str">
        <f aca="false">IF(Model!CK18=0,"",Model!CK18)</f>
        <v/>
      </c>
      <c r="CN12" s="194" t="str">
        <f aca="false">IF(Model!CL18=0,"",Model!CL18)</f>
        <v/>
      </c>
      <c r="CO12" s="194" t="str">
        <f aca="false">IF(Model!CM18=0,"",Model!CM18)</f>
        <v/>
      </c>
      <c r="CP12" s="194" t="str">
        <f aca="false">IF(Model!CN18=0,"",Model!CN18)</f>
        <v/>
      </c>
      <c r="CQ12" s="194" t="str">
        <f aca="false">IF(Model!CO18=0,"",Model!CO18)</f>
        <v/>
      </c>
      <c r="CR12" s="194" t="str">
        <f aca="false">IF(Model!CP18=0,"",Model!CP18)</f>
        <v/>
      </c>
      <c r="CS12" s="194" t="str">
        <f aca="false">IF(Model!CQ18=0,"",Model!CQ18)</f>
        <v/>
      </c>
      <c r="CT12" s="194" t="str">
        <f aca="false">IF(Model!CR18=0,"",Model!CR18)</f>
        <v/>
      </c>
      <c r="CU12" s="194" t="str">
        <f aca="false">IF(Model!CS18=0,"",Model!CS18)</f>
        <v/>
      </c>
      <c r="CV12" s="194" t="str">
        <f aca="false">IF(Model!CT18=0,"",Model!CT18)</f>
        <v/>
      </c>
      <c r="CW12" s="194" t="str">
        <f aca="false">IF(Model!CU18=0,"",Model!CU18)</f>
        <v/>
      </c>
      <c r="CX12" s="194" t="str">
        <f aca="false">IF(Model!CV18=0,"",Model!CV18)</f>
        <v/>
      </c>
      <c r="CY12" s="194" t="str">
        <f aca="false">IF(Model!CW18=0,"",Model!CW18)</f>
        <v/>
      </c>
      <c r="CZ12" s="194" t="str">
        <f aca="false">IF(Model!CX18=0,"",Model!CX18)</f>
        <v/>
      </c>
      <c r="DA12" s="194" t="str">
        <f aca="false">IF(Model!CY18=0,"",Model!CY18)</f>
        <v/>
      </c>
      <c r="DB12" s="194" t="str">
        <f aca="false">IF(Model!CZ18=0,"",Model!CZ18)</f>
        <v/>
      </c>
    </row>
    <row r="13" customFormat="false" ht="15" hidden="false" customHeight="true" outlineLevel="0" collapsed="false">
      <c r="A13" s="125" t="s">
        <v>13</v>
      </c>
      <c r="B13" s="191" t="n">
        <f aca="false">Projects!$B$8</f>
        <v>12993776.05</v>
      </c>
      <c r="C13" s="192" t="n">
        <f aca="false">EDATE(Model!$E$2,Projects!$C$8-1)</f>
        <v>46266</v>
      </c>
      <c r="D13" s="192" t="n">
        <f aca="false">EDATE(Model!$E$2,Projects!$C$8+Projects!$D$8-2)</f>
        <v>46813</v>
      </c>
      <c r="E13" s="193" t="n">
        <f aca="false">Projects!$D$8</f>
        <v>19</v>
      </c>
      <c r="F13" s="191" t="n">
        <f aca="false">SUM(G13:DB13)</f>
        <v>11621468.6075645</v>
      </c>
      <c r="G13" s="194" t="str">
        <f aca="false">IF(Model!E19=0,"",Model!E19)</f>
        <v/>
      </c>
      <c r="H13" s="194" t="str">
        <f aca="false">IF(Model!F19=0,"",Model!F19)</f>
        <v/>
      </c>
      <c r="I13" s="194" t="str">
        <f aca="false">IF(Model!G19=0,"",Model!G19)</f>
        <v/>
      </c>
      <c r="J13" s="194" t="str">
        <f aca="false">IF(Model!H19=0,"",Model!H19)</f>
        <v/>
      </c>
      <c r="K13" s="194" t="n">
        <f aca="false">IF(Model!I19=0,"",Model!I19)</f>
        <v>192026.25</v>
      </c>
      <c r="L13" s="194" t="n">
        <f aca="false">IF(Model!J19=0,"",Model!J19)</f>
        <v>266339.274896073</v>
      </c>
      <c r="M13" s="194" t="n">
        <f aca="false">IF(Model!K19=0,"",Model!K19)</f>
        <v>347472.412552273</v>
      </c>
      <c r="N13" s="194" t="n">
        <f aca="false">IF(Model!L19=0,"",Model!L19)</f>
        <v>434803.581384323</v>
      </c>
      <c r="O13" s="194" t="n">
        <f aca="false">IF(Model!M19=0,"",Model!M19)</f>
        <v>524850.449410823</v>
      </c>
      <c r="P13" s="194" t="n">
        <f aca="false">IF(Model!N19=0,"",Model!N19)</f>
        <v>613286.089207123</v>
      </c>
      <c r="Q13" s="194" t="n">
        <f aca="false">IF(Model!O19=0,"",Model!O19)</f>
        <v>695198.853426323</v>
      </c>
      <c r="R13" s="194" t="n">
        <f aca="false">IF(Model!P19=0,"",Model!P19)</f>
        <v>765560.150737073</v>
      </c>
      <c r="S13" s="194" t="n">
        <f aca="false">IF(Model!Q19=0,"",Model!Q19)</f>
        <v>819705.215537423</v>
      </c>
      <c r="T13" s="194" t="n">
        <f aca="false">IF(Model!R19=0,"",Model!R19)</f>
        <v>853852.858996823</v>
      </c>
      <c r="U13" s="194" t="n">
        <f aca="false">IF(Model!S19=0,"",Model!S19)</f>
        <v>865521.269889723</v>
      </c>
      <c r="V13" s="194" t="n">
        <f aca="false">IF(Model!T19=0,"",Model!T19)</f>
        <v>853852.858996823</v>
      </c>
      <c r="W13" s="194" t="n">
        <f aca="false">IF(Model!U19=0,"",Model!U19)</f>
        <v>819705.215537423</v>
      </c>
      <c r="X13" s="194" t="n">
        <f aca="false">IF(Model!V19=0,"",Model!V19)</f>
        <v>765560.150737073</v>
      </c>
      <c r="Y13" s="194" t="n">
        <f aca="false">IF(Model!W19=0,"",Model!W19)</f>
        <v>695198.853426323</v>
      </c>
      <c r="Z13" s="194" t="n">
        <f aca="false">IF(Model!X19=0,"",Model!X19)</f>
        <v>613286.089207123</v>
      </c>
      <c r="AA13" s="194" t="n">
        <f aca="false">IF(Model!Y19=0,"",Model!Y19)</f>
        <v>524850.449410823</v>
      </c>
      <c r="AB13" s="194" t="n">
        <f aca="false">IF(Model!Z19=0,"",Model!Z19)</f>
        <v>434803.581384323</v>
      </c>
      <c r="AC13" s="194" t="n">
        <f aca="false">IF(Model!AA19=0,"",Model!AA19)</f>
        <v>347472.412552273</v>
      </c>
      <c r="AD13" s="194" t="n">
        <f aca="false">IF(Model!AB19=0,"",Model!AB19)</f>
        <v>188122.590274295</v>
      </c>
      <c r="AE13" s="194" t="str">
        <f aca="false">IF(Model!AC19=0,"",Model!AC19)</f>
        <v/>
      </c>
      <c r="AF13" s="194" t="str">
        <f aca="false">IF(Model!AD19=0,"",Model!AD19)</f>
        <v/>
      </c>
      <c r="AG13" s="194" t="str">
        <f aca="false">IF(Model!AE19=0,"",Model!AE19)</f>
        <v/>
      </c>
      <c r="AH13" s="194" t="str">
        <f aca="false">IF(Model!AF19=0,"",Model!AF19)</f>
        <v/>
      </c>
      <c r="AI13" s="194" t="str">
        <f aca="false">IF(Model!AG19=0,"",Model!AG19)</f>
        <v/>
      </c>
      <c r="AJ13" s="194" t="str">
        <f aca="false">IF(Model!AH19=0,"",Model!AH19)</f>
        <v/>
      </c>
      <c r="AK13" s="194" t="str">
        <f aca="false">IF(Model!AI19=0,"",Model!AI19)</f>
        <v/>
      </c>
      <c r="AL13" s="194" t="str">
        <f aca="false">IF(Model!AJ19=0,"",Model!AJ19)</f>
        <v/>
      </c>
      <c r="AM13" s="194" t="str">
        <f aca="false">IF(Model!AK19=0,"",Model!AK19)</f>
        <v/>
      </c>
      <c r="AN13" s="194" t="str">
        <f aca="false">IF(Model!AL19=0,"",Model!AL19)</f>
        <v/>
      </c>
      <c r="AO13" s="194" t="str">
        <f aca="false">IF(Model!AM19=0,"",Model!AM19)</f>
        <v/>
      </c>
      <c r="AP13" s="194" t="str">
        <f aca="false">IF(Model!AN19=0,"",Model!AN19)</f>
        <v/>
      </c>
      <c r="AQ13" s="194" t="str">
        <f aca="false">IF(Model!AO19=0,"",Model!AO19)</f>
        <v/>
      </c>
      <c r="AR13" s="194" t="str">
        <f aca="false">IF(Model!AP19=0,"",Model!AP19)</f>
        <v/>
      </c>
      <c r="AS13" s="194" t="str">
        <f aca="false">IF(Model!AQ19=0,"",Model!AQ19)</f>
        <v/>
      </c>
      <c r="AT13" s="194" t="str">
        <f aca="false">IF(Model!AR19=0,"",Model!AR19)</f>
        <v/>
      </c>
      <c r="AU13" s="194" t="str">
        <f aca="false">IF(Model!AS19=0,"",Model!AS19)</f>
        <v/>
      </c>
      <c r="AV13" s="194" t="str">
        <f aca="false">IF(Model!AT19=0,"",Model!AT19)</f>
        <v/>
      </c>
      <c r="AW13" s="194" t="str">
        <f aca="false">IF(Model!AU19=0,"",Model!AU19)</f>
        <v/>
      </c>
      <c r="AX13" s="194" t="str">
        <f aca="false">IF(Model!AV19=0,"",Model!AV19)</f>
        <v/>
      </c>
      <c r="AY13" s="194" t="str">
        <f aca="false">IF(Model!AW19=0,"",Model!AW19)</f>
        <v/>
      </c>
      <c r="AZ13" s="194" t="str">
        <f aca="false">IF(Model!AX19=0,"",Model!AX19)</f>
        <v/>
      </c>
      <c r="BA13" s="194" t="str">
        <f aca="false">IF(Model!AY19=0,"",Model!AY19)</f>
        <v/>
      </c>
      <c r="BB13" s="194" t="str">
        <f aca="false">IF(Model!AZ19=0,"",Model!AZ19)</f>
        <v/>
      </c>
      <c r="BC13" s="194" t="str">
        <f aca="false">IF(Model!BA19=0,"",Model!BA19)</f>
        <v/>
      </c>
      <c r="BD13" s="194" t="str">
        <f aca="false">IF(Model!BB19=0,"",Model!BB19)</f>
        <v/>
      </c>
      <c r="BE13" s="194" t="str">
        <f aca="false">IF(Model!BC19=0,"",Model!BC19)</f>
        <v/>
      </c>
      <c r="BF13" s="194" t="str">
        <f aca="false">IF(Model!BD19=0,"",Model!BD19)</f>
        <v/>
      </c>
      <c r="BG13" s="194" t="str">
        <f aca="false">IF(Model!BE19=0,"",Model!BE19)</f>
        <v/>
      </c>
      <c r="BH13" s="194" t="str">
        <f aca="false">IF(Model!BF19=0,"",Model!BF19)</f>
        <v/>
      </c>
      <c r="BI13" s="194" t="str">
        <f aca="false">IF(Model!BG19=0,"",Model!BG19)</f>
        <v/>
      </c>
      <c r="BJ13" s="194" t="str">
        <f aca="false">IF(Model!BH19=0,"",Model!BH19)</f>
        <v/>
      </c>
      <c r="BK13" s="194" t="str">
        <f aca="false">IF(Model!BI19=0,"",Model!BI19)</f>
        <v/>
      </c>
      <c r="BL13" s="194" t="str">
        <f aca="false">IF(Model!BJ19=0,"",Model!BJ19)</f>
        <v/>
      </c>
      <c r="BM13" s="194" t="str">
        <f aca="false">IF(Model!BK19=0,"",Model!BK19)</f>
        <v/>
      </c>
      <c r="BN13" s="194" t="str">
        <f aca="false">IF(Model!BL19=0,"",Model!BL19)</f>
        <v/>
      </c>
      <c r="BO13" s="194" t="str">
        <f aca="false">IF(Model!BM19=0,"",Model!BM19)</f>
        <v/>
      </c>
      <c r="BP13" s="194" t="str">
        <f aca="false">IF(Model!BN19=0,"",Model!BN19)</f>
        <v/>
      </c>
      <c r="BQ13" s="194" t="str">
        <f aca="false">IF(Model!BO19=0,"",Model!BO19)</f>
        <v/>
      </c>
      <c r="BR13" s="194" t="str">
        <f aca="false">IF(Model!BP19=0,"",Model!BP19)</f>
        <v/>
      </c>
      <c r="BS13" s="194" t="str">
        <f aca="false">IF(Model!BQ19=0,"",Model!BQ19)</f>
        <v/>
      </c>
      <c r="BT13" s="194" t="str">
        <f aca="false">IF(Model!BR19=0,"",Model!BR19)</f>
        <v/>
      </c>
      <c r="BU13" s="194" t="str">
        <f aca="false">IF(Model!BS19=0,"",Model!BS19)</f>
        <v/>
      </c>
      <c r="BV13" s="194" t="str">
        <f aca="false">IF(Model!BT19=0,"",Model!BT19)</f>
        <v/>
      </c>
      <c r="BW13" s="194" t="str">
        <f aca="false">IF(Model!BU19=0,"",Model!BU19)</f>
        <v/>
      </c>
      <c r="BX13" s="194" t="str">
        <f aca="false">IF(Model!BV19=0,"",Model!BV19)</f>
        <v/>
      </c>
      <c r="BY13" s="194" t="str">
        <f aca="false">IF(Model!BW19=0,"",Model!BW19)</f>
        <v/>
      </c>
      <c r="BZ13" s="194" t="str">
        <f aca="false">IF(Model!BX19=0,"",Model!BX19)</f>
        <v/>
      </c>
      <c r="CA13" s="194" t="str">
        <f aca="false">IF(Model!BY19=0,"",Model!BY19)</f>
        <v/>
      </c>
      <c r="CB13" s="194" t="str">
        <f aca="false">IF(Model!BZ19=0,"",Model!BZ19)</f>
        <v/>
      </c>
      <c r="CC13" s="194" t="str">
        <f aca="false">IF(Model!CA19=0,"",Model!CA19)</f>
        <v/>
      </c>
      <c r="CD13" s="194" t="str">
        <f aca="false">IF(Model!CB19=0,"",Model!CB19)</f>
        <v/>
      </c>
      <c r="CE13" s="194" t="str">
        <f aca="false">IF(Model!CC19=0,"",Model!CC19)</f>
        <v/>
      </c>
      <c r="CF13" s="194" t="str">
        <f aca="false">IF(Model!CD19=0,"",Model!CD19)</f>
        <v/>
      </c>
      <c r="CG13" s="194" t="str">
        <f aca="false">IF(Model!CE19=0,"",Model!CE19)</f>
        <v/>
      </c>
      <c r="CH13" s="194" t="str">
        <f aca="false">IF(Model!CF19=0,"",Model!CF19)</f>
        <v/>
      </c>
      <c r="CI13" s="194" t="str">
        <f aca="false">IF(Model!CG19=0,"",Model!CG19)</f>
        <v/>
      </c>
      <c r="CJ13" s="194" t="str">
        <f aca="false">IF(Model!CH19=0,"",Model!CH19)</f>
        <v/>
      </c>
      <c r="CK13" s="194" t="str">
        <f aca="false">IF(Model!CI19=0,"",Model!CI19)</f>
        <v/>
      </c>
      <c r="CL13" s="194" t="str">
        <f aca="false">IF(Model!CJ19=0,"",Model!CJ19)</f>
        <v/>
      </c>
      <c r="CM13" s="194" t="str">
        <f aca="false">IF(Model!CK19=0,"",Model!CK19)</f>
        <v/>
      </c>
      <c r="CN13" s="194" t="str">
        <f aca="false">IF(Model!CL19=0,"",Model!CL19)</f>
        <v/>
      </c>
      <c r="CO13" s="194" t="str">
        <f aca="false">IF(Model!CM19=0,"",Model!CM19)</f>
        <v/>
      </c>
      <c r="CP13" s="194" t="str">
        <f aca="false">IF(Model!CN19=0,"",Model!CN19)</f>
        <v/>
      </c>
      <c r="CQ13" s="194" t="str">
        <f aca="false">IF(Model!CO19=0,"",Model!CO19)</f>
        <v/>
      </c>
      <c r="CR13" s="194" t="str">
        <f aca="false">IF(Model!CP19=0,"",Model!CP19)</f>
        <v/>
      </c>
      <c r="CS13" s="194" t="str">
        <f aca="false">IF(Model!CQ19=0,"",Model!CQ19)</f>
        <v/>
      </c>
      <c r="CT13" s="194" t="str">
        <f aca="false">IF(Model!CR19=0,"",Model!CR19)</f>
        <v/>
      </c>
      <c r="CU13" s="194" t="str">
        <f aca="false">IF(Model!CS19=0,"",Model!CS19)</f>
        <v/>
      </c>
      <c r="CV13" s="194" t="str">
        <f aca="false">IF(Model!CT19=0,"",Model!CT19)</f>
        <v/>
      </c>
      <c r="CW13" s="194" t="str">
        <f aca="false">IF(Model!CU19=0,"",Model!CU19)</f>
        <v/>
      </c>
      <c r="CX13" s="194" t="str">
        <f aca="false">IF(Model!CV19=0,"",Model!CV19)</f>
        <v/>
      </c>
      <c r="CY13" s="194" t="str">
        <f aca="false">IF(Model!CW19=0,"",Model!CW19)</f>
        <v/>
      </c>
      <c r="CZ13" s="194" t="str">
        <f aca="false">IF(Model!CX19=0,"",Model!CX19)</f>
        <v/>
      </c>
      <c r="DA13" s="194" t="str">
        <f aca="false">IF(Model!CY19=0,"",Model!CY19)</f>
        <v/>
      </c>
      <c r="DB13" s="194" t="str">
        <f aca="false">IF(Model!CZ19=0,"",Model!CZ19)</f>
        <v/>
      </c>
    </row>
    <row r="14" customFormat="false" ht="15" hidden="false" customHeight="true" outlineLevel="0" collapsed="false">
      <c r="A14" s="125" t="s">
        <v>14</v>
      </c>
      <c r="B14" s="191" t="n">
        <f aca="false">Projects!$B$9</f>
        <v>14337010.8</v>
      </c>
      <c r="C14" s="192" t="n">
        <f aca="false">EDATE(Model!$E$2,Projects!$C$9-1)</f>
        <v>46235</v>
      </c>
      <c r="D14" s="192" t="n">
        <f aca="false">EDATE(Model!$E$2,Projects!$C$9+Projects!$D$9-2)</f>
        <v>46784</v>
      </c>
      <c r="E14" s="193" t="n">
        <f aca="false">Projects!$D$9</f>
        <v>19</v>
      </c>
      <c r="F14" s="191" t="n">
        <f aca="false">SUM(G14:DB14)</f>
        <v>12766708.9407547</v>
      </c>
      <c r="G14" s="194" t="str">
        <f aca="false">IF(Model!E20=0,"",Model!E20)</f>
        <v/>
      </c>
      <c r="H14" s="194" t="str">
        <f aca="false">IF(Model!F20=0,"",Model!F20)</f>
        <v/>
      </c>
      <c r="I14" s="194" t="str">
        <f aca="false">IF(Model!G20=0,"",Model!G20)</f>
        <v/>
      </c>
      <c r="J14" s="194" t="n">
        <f aca="false">IF(Model!H20=0,"",Model!H20)</f>
        <v>354912</v>
      </c>
      <c r="K14" s="194" t="n">
        <f aca="false">IF(Model!I20=0,"",Model!I20)</f>
        <v>94705.37</v>
      </c>
      <c r="L14" s="194" t="n">
        <f aca="false">IF(Model!J20=0,"",Model!J20)</f>
        <v>383392.45745766</v>
      </c>
      <c r="M14" s="194" t="n">
        <f aca="false">IF(Model!K20=0,"",Model!K20)</f>
        <v>479751.50704446</v>
      </c>
      <c r="N14" s="194" t="n">
        <f aca="false">IF(Model!L20=0,"",Model!L20)</f>
        <v>579106.99188846</v>
      </c>
      <c r="O14" s="194" t="n">
        <f aca="false">IF(Model!M20=0,"",Model!M20)</f>
        <v>676684.68739326</v>
      </c>
      <c r="P14" s="194" t="n">
        <f aca="false">IF(Model!N20=0,"",Model!N20)</f>
        <v>767065.20347646</v>
      </c>
      <c r="Q14" s="194" t="n">
        <f aca="false">IF(Model!O20=0,"",Model!O20)</f>
        <v>844700.11695846</v>
      </c>
      <c r="R14" s="194" t="n">
        <f aca="false">IF(Model!P20=0,"",Model!P20)</f>
        <v>904442.44096206</v>
      </c>
      <c r="S14" s="194" t="n">
        <f aca="false">IF(Model!Q20=0,"",Model!Q20)</f>
        <v>942120.10534446</v>
      </c>
      <c r="T14" s="194" t="n">
        <f aca="false">IF(Model!R20=0,"",Model!R20)</f>
        <v>954994.74104286</v>
      </c>
      <c r="U14" s="194" t="n">
        <f aca="false">IF(Model!S20=0,"",Model!S20)</f>
        <v>942120.10534446</v>
      </c>
      <c r="V14" s="194" t="n">
        <f aca="false">IF(Model!T20=0,"",Model!T20)</f>
        <v>904442.44096206</v>
      </c>
      <c r="W14" s="194" t="n">
        <f aca="false">IF(Model!U20=0,"",Model!U20)</f>
        <v>844700.11695846</v>
      </c>
      <c r="X14" s="194" t="n">
        <f aca="false">IF(Model!V20=0,"",Model!V20)</f>
        <v>767065.20347646</v>
      </c>
      <c r="Y14" s="194" t="n">
        <f aca="false">IF(Model!W20=0,"",Model!W20)</f>
        <v>676684.68739326</v>
      </c>
      <c r="Z14" s="194" t="n">
        <f aca="false">IF(Model!X20=0,"",Model!X20)</f>
        <v>579106.99188846</v>
      </c>
      <c r="AA14" s="194" t="n">
        <f aca="false">IF(Model!Y20=0,"",Model!Y20)</f>
        <v>479751.50704446</v>
      </c>
      <c r="AB14" s="194" t="n">
        <f aca="false">IF(Model!Z20=0,"",Model!Z20)</f>
        <v>383392.45745766</v>
      </c>
      <c r="AC14" s="194" t="n">
        <f aca="false">IF(Model!AA20=0,"",Model!AA20)</f>
        <v>207569.80866132</v>
      </c>
      <c r="AD14" s="194" t="str">
        <f aca="false">IF(Model!AB20=0,"",Model!AB20)</f>
        <v/>
      </c>
      <c r="AE14" s="194" t="str">
        <f aca="false">IF(Model!AC20=0,"",Model!AC20)</f>
        <v/>
      </c>
      <c r="AF14" s="194" t="str">
        <f aca="false">IF(Model!AD20=0,"",Model!AD20)</f>
        <v/>
      </c>
      <c r="AG14" s="194" t="str">
        <f aca="false">IF(Model!AE20=0,"",Model!AE20)</f>
        <v/>
      </c>
      <c r="AH14" s="194" t="str">
        <f aca="false">IF(Model!AF20=0,"",Model!AF20)</f>
        <v/>
      </c>
      <c r="AI14" s="194" t="str">
        <f aca="false">IF(Model!AG20=0,"",Model!AG20)</f>
        <v/>
      </c>
      <c r="AJ14" s="194" t="str">
        <f aca="false">IF(Model!AH20=0,"",Model!AH20)</f>
        <v/>
      </c>
      <c r="AK14" s="194" t="str">
        <f aca="false">IF(Model!AI20=0,"",Model!AI20)</f>
        <v/>
      </c>
      <c r="AL14" s="194" t="str">
        <f aca="false">IF(Model!AJ20=0,"",Model!AJ20)</f>
        <v/>
      </c>
      <c r="AM14" s="194" t="str">
        <f aca="false">IF(Model!AK20=0,"",Model!AK20)</f>
        <v/>
      </c>
      <c r="AN14" s="194" t="str">
        <f aca="false">IF(Model!AL20=0,"",Model!AL20)</f>
        <v/>
      </c>
      <c r="AO14" s="194" t="str">
        <f aca="false">IF(Model!AM20=0,"",Model!AM20)</f>
        <v/>
      </c>
      <c r="AP14" s="194" t="str">
        <f aca="false">IF(Model!AN20=0,"",Model!AN20)</f>
        <v/>
      </c>
      <c r="AQ14" s="194" t="str">
        <f aca="false">IF(Model!AO20=0,"",Model!AO20)</f>
        <v/>
      </c>
      <c r="AR14" s="194" t="str">
        <f aca="false">IF(Model!AP20=0,"",Model!AP20)</f>
        <v/>
      </c>
      <c r="AS14" s="194" t="str">
        <f aca="false">IF(Model!AQ20=0,"",Model!AQ20)</f>
        <v/>
      </c>
      <c r="AT14" s="194" t="str">
        <f aca="false">IF(Model!AR20=0,"",Model!AR20)</f>
        <v/>
      </c>
      <c r="AU14" s="194" t="str">
        <f aca="false">IF(Model!AS20=0,"",Model!AS20)</f>
        <v/>
      </c>
      <c r="AV14" s="194" t="str">
        <f aca="false">IF(Model!AT20=0,"",Model!AT20)</f>
        <v/>
      </c>
      <c r="AW14" s="194" t="str">
        <f aca="false">IF(Model!AU20=0,"",Model!AU20)</f>
        <v/>
      </c>
      <c r="AX14" s="194" t="str">
        <f aca="false">IF(Model!AV20=0,"",Model!AV20)</f>
        <v/>
      </c>
      <c r="AY14" s="194" t="str">
        <f aca="false">IF(Model!AW20=0,"",Model!AW20)</f>
        <v/>
      </c>
      <c r="AZ14" s="194" t="str">
        <f aca="false">IF(Model!AX20=0,"",Model!AX20)</f>
        <v/>
      </c>
      <c r="BA14" s="194" t="str">
        <f aca="false">IF(Model!AY20=0,"",Model!AY20)</f>
        <v/>
      </c>
      <c r="BB14" s="194" t="str">
        <f aca="false">IF(Model!AZ20=0,"",Model!AZ20)</f>
        <v/>
      </c>
      <c r="BC14" s="194" t="str">
        <f aca="false">IF(Model!BA20=0,"",Model!BA20)</f>
        <v/>
      </c>
      <c r="BD14" s="194" t="str">
        <f aca="false">IF(Model!BB20=0,"",Model!BB20)</f>
        <v/>
      </c>
      <c r="BE14" s="194" t="str">
        <f aca="false">IF(Model!BC20=0,"",Model!BC20)</f>
        <v/>
      </c>
      <c r="BF14" s="194" t="str">
        <f aca="false">IF(Model!BD20=0,"",Model!BD20)</f>
        <v/>
      </c>
      <c r="BG14" s="194" t="str">
        <f aca="false">IF(Model!BE20=0,"",Model!BE20)</f>
        <v/>
      </c>
      <c r="BH14" s="194" t="str">
        <f aca="false">IF(Model!BF20=0,"",Model!BF20)</f>
        <v/>
      </c>
      <c r="BI14" s="194" t="str">
        <f aca="false">IF(Model!BG20=0,"",Model!BG20)</f>
        <v/>
      </c>
      <c r="BJ14" s="194" t="str">
        <f aca="false">IF(Model!BH20=0,"",Model!BH20)</f>
        <v/>
      </c>
      <c r="BK14" s="194" t="str">
        <f aca="false">IF(Model!BI20=0,"",Model!BI20)</f>
        <v/>
      </c>
      <c r="BL14" s="194" t="str">
        <f aca="false">IF(Model!BJ20=0,"",Model!BJ20)</f>
        <v/>
      </c>
      <c r="BM14" s="194" t="str">
        <f aca="false">IF(Model!BK20=0,"",Model!BK20)</f>
        <v/>
      </c>
      <c r="BN14" s="194" t="str">
        <f aca="false">IF(Model!BL20=0,"",Model!BL20)</f>
        <v/>
      </c>
      <c r="BO14" s="194" t="str">
        <f aca="false">IF(Model!BM20=0,"",Model!BM20)</f>
        <v/>
      </c>
      <c r="BP14" s="194" t="str">
        <f aca="false">IF(Model!BN20=0,"",Model!BN20)</f>
        <v/>
      </c>
      <c r="BQ14" s="194" t="str">
        <f aca="false">IF(Model!BO20=0,"",Model!BO20)</f>
        <v/>
      </c>
      <c r="BR14" s="194" t="str">
        <f aca="false">IF(Model!BP20=0,"",Model!BP20)</f>
        <v/>
      </c>
      <c r="BS14" s="194" t="str">
        <f aca="false">IF(Model!BQ20=0,"",Model!BQ20)</f>
        <v/>
      </c>
      <c r="BT14" s="194" t="str">
        <f aca="false">IF(Model!BR20=0,"",Model!BR20)</f>
        <v/>
      </c>
      <c r="BU14" s="194" t="str">
        <f aca="false">IF(Model!BS20=0,"",Model!BS20)</f>
        <v/>
      </c>
      <c r="BV14" s="194" t="str">
        <f aca="false">IF(Model!BT20=0,"",Model!BT20)</f>
        <v/>
      </c>
      <c r="BW14" s="194" t="str">
        <f aca="false">IF(Model!BU20=0,"",Model!BU20)</f>
        <v/>
      </c>
      <c r="BX14" s="194" t="str">
        <f aca="false">IF(Model!BV20=0,"",Model!BV20)</f>
        <v/>
      </c>
      <c r="BY14" s="194" t="str">
        <f aca="false">IF(Model!BW20=0,"",Model!BW20)</f>
        <v/>
      </c>
      <c r="BZ14" s="194" t="str">
        <f aca="false">IF(Model!BX20=0,"",Model!BX20)</f>
        <v/>
      </c>
      <c r="CA14" s="194" t="str">
        <f aca="false">IF(Model!BY20=0,"",Model!BY20)</f>
        <v/>
      </c>
      <c r="CB14" s="194" t="str">
        <f aca="false">IF(Model!BZ20=0,"",Model!BZ20)</f>
        <v/>
      </c>
      <c r="CC14" s="194" t="str">
        <f aca="false">IF(Model!CA20=0,"",Model!CA20)</f>
        <v/>
      </c>
      <c r="CD14" s="194" t="str">
        <f aca="false">IF(Model!CB20=0,"",Model!CB20)</f>
        <v/>
      </c>
      <c r="CE14" s="194" t="str">
        <f aca="false">IF(Model!CC20=0,"",Model!CC20)</f>
        <v/>
      </c>
      <c r="CF14" s="194" t="str">
        <f aca="false">IF(Model!CD20=0,"",Model!CD20)</f>
        <v/>
      </c>
      <c r="CG14" s="194" t="str">
        <f aca="false">IF(Model!CE20=0,"",Model!CE20)</f>
        <v/>
      </c>
      <c r="CH14" s="194" t="str">
        <f aca="false">IF(Model!CF20=0,"",Model!CF20)</f>
        <v/>
      </c>
      <c r="CI14" s="194" t="str">
        <f aca="false">IF(Model!CG20=0,"",Model!CG20)</f>
        <v/>
      </c>
      <c r="CJ14" s="194" t="str">
        <f aca="false">IF(Model!CH20=0,"",Model!CH20)</f>
        <v/>
      </c>
      <c r="CK14" s="194" t="str">
        <f aca="false">IF(Model!CI20=0,"",Model!CI20)</f>
        <v/>
      </c>
      <c r="CL14" s="194" t="str">
        <f aca="false">IF(Model!CJ20=0,"",Model!CJ20)</f>
        <v/>
      </c>
      <c r="CM14" s="194" t="str">
        <f aca="false">IF(Model!CK20=0,"",Model!CK20)</f>
        <v/>
      </c>
      <c r="CN14" s="194" t="str">
        <f aca="false">IF(Model!CL20=0,"",Model!CL20)</f>
        <v/>
      </c>
      <c r="CO14" s="194" t="str">
        <f aca="false">IF(Model!CM20=0,"",Model!CM20)</f>
        <v/>
      </c>
      <c r="CP14" s="194" t="str">
        <f aca="false">IF(Model!CN20=0,"",Model!CN20)</f>
        <v/>
      </c>
      <c r="CQ14" s="194" t="str">
        <f aca="false">IF(Model!CO20=0,"",Model!CO20)</f>
        <v/>
      </c>
      <c r="CR14" s="194" t="str">
        <f aca="false">IF(Model!CP20=0,"",Model!CP20)</f>
        <v/>
      </c>
      <c r="CS14" s="194" t="str">
        <f aca="false">IF(Model!CQ20=0,"",Model!CQ20)</f>
        <v/>
      </c>
      <c r="CT14" s="194" t="str">
        <f aca="false">IF(Model!CR20=0,"",Model!CR20)</f>
        <v/>
      </c>
      <c r="CU14" s="194" t="str">
        <f aca="false">IF(Model!CS20=0,"",Model!CS20)</f>
        <v/>
      </c>
      <c r="CV14" s="194" t="str">
        <f aca="false">IF(Model!CT20=0,"",Model!CT20)</f>
        <v/>
      </c>
      <c r="CW14" s="194" t="str">
        <f aca="false">IF(Model!CU20=0,"",Model!CU20)</f>
        <v/>
      </c>
      <c r="CX14" s="194" t="str">
        <f aca="false">IF(Model!CV20=0,"",Model!CV20)</f>
        <v/>
      </c>
      <c r="CY14" s="194" t="str">
        <f aca="false">IF(Model!CW20=0,"",Model!CW20)</f>
        <v/>
      </c>
      <c r="CZ14" s="194" t="str">
        <f aca="false">IF(Model!CX20=0,"",Model!CX20)</f>
        <v/>
      </c>
      <c r="DA14" s="194" t="str">
        <f aca="false">IF(Model!CY20=0,"",Model!CY20)</f>
        <v/>
      </c>
      <c r="DB14" s="194" t="str">
        <f aca="false">IF(Model!CZ20=0,"",Model!CZ20)</f>
        <v/>
      </c>
    </row>
    <row r="15" customFormat="false" ht="15" hidden="false" customHeight="true" outlineLevel="0" collapsed="false">
      <c r="A15" s="125" t="s">
        <v>15</v>
      </c>
      <c r="B15" s="191" t="n">
        <f aca="false">Projects!$B$10</f>
        <v>21263405</v>
      </c>
      <c r="C15" s="192" t="n">
        <f aca="false">EDATE(Model!$E$2,Projects!$C$10-1)</f>
        <v>46357</v>
      </c>
      <c r="D15" s="192" t="n">
        <f aca="false">EDATE(Model!$E$2,Projects!$C$10+Projects!$D$10-2)</f>
        <v>47058</v>
      </c>
      <c r="E15" s="193" t="n">
        <f aca="false">Projects!$D$10</f>
        <v>24</v>
      </c>
      <c r="F15" s="191" t="n">
        <f aca="false">SUM(G15:DB15)</f>
        <v>18703482.408645</v>
      </c>
      <c r="G15" s="194" t="str">
        <f aca="false">IF(Model!E21=0,"",Model!E21)</f>
        <v/>
      </c>
      <c r="H15" s="194" t="str">
        <f aca="false">IF(Model!F21=0,"",Model!F21)</f>
        <v/>
      </c>
      <c r="I15" s="194" t="str">
        <f aca="false">IF(Model!G21=0,"",Model!G21)</f>
        <v/>
      </c>
      <c r="J15" s="194" t="str">
        <f aca="false">IF(Model!H21=0,"",Model!H21)</f>
        <v/>
      </c>
      <c r="K15" s="194" t="str">
        <f aca="false">IF(Model!I21=0,"",Model!I21)</f>
        <v/>
      </c>
      <c r="L15" s="194" t="str">
        <f aca="false">IF(Model!J21=0,"",Model!J21)</f>
        <v/>
      </c>
      <c r="M15" s="194" t="str">
        <f aca="false">IF(Model!K21=0,"",Model!K21)</f>
        <v/>
      </c>
      <c r="N15" s="194" t="str">
        <f aca="false">IF(Model!L21=0,"",Model!L21)</f>
        <v/>
      </c>
      <c r="O15" s="194" t="n">
        <f aca="false">IF(Model!M21=0,"",Model!M21)</f>
        <v>334505.743043865</v>
      </c>
      <c r="P15" s="194" t="n">
        <f aca="false">IF(Model!N21=0,"",Model!N21)</f>
        <v>416135.954838865</v>
      </c>
      <c r="Q15" s="194" t="n">
        <f aca="false">IF(Model!O21=0,"",Model!O21)</f>
        <v>503507.285983865</v>
      </c>
      <c r="R15" s="194" t="n">
        <f aca="false">IF(Model!P21=0,"",Model!P21)</f>
        <v>594727.293433865</v>
      </c>
      <c r="S15" s="194" t="n">
        <f aca="false">IF(Model!Q21=0,"",Model!Q21)</f>
        <v>687265.631993865</v>
      </c>
      <c r="T15" s="194" t="n">
        <f aca="false">IF(Model!R21=0,"",Model!R21)</f>
        <v>778294.268798865</v>
      </c>
      <c r="U15" s="194" t="n">
        <f aca="false">IF(Model!S21=0,"",Model!S21)</f>
        <v>864623.693098865</v>
      </c>
      <c r="V15" s="194" t="n">
        <f aca="false">IF(Model!T21=0,"",Model!T21)</f>
        <v>943000.603928865</v>
      </c>
      <c r="W15" s="194" t="n">
        <f aca="false">IF(Model!U21=0,"",Model!U21)</f>
        <v>1010278.01734886</v>
      </c>
      <c r="X15" s="194" t="n">
        <f aca="false">IF(Model!V21=0,"",Model!V21)</f>
        <v>1063542.84687386</v>
      </c>
      <c r="Y15" s="194" t="n">
        <f aca="false">IF(Model!W21=0,"",Model!W21)</f>
        <v>1100477.38135886</v>
      </c>
      <c r="Z15" s="194" t="n">
        <f aca="false">IF(Model!X21=0,"",Model!X21)</f>
        <v>1119380.54840386</v>
      </c>
      <c r="AA15" s="194" t="n">
        <f aca="false">IF(Model!Y21=0,"",Model!Y21)</f>
        <v>1119380.54840386</v>
      </c>
      <c r="AB15" s="194" t="n">
        <f aca="false">IF(Model!Z21=0,"",Model!Z21)</f>
        <v>1100477.38135886</v>
      </c>
      <c r="AC15" s="194" t="n">
        <f aca="false">IF(Model!AA21=0,"",Model!AA21)</f>
        <v>1063542.84687386</v>
      </c>
      <c r="AD15" s="194" t="n">
        <f aca="false">IF(Model!AB21=0,"",Model!AB21)</f>
        <v>1010278.01734886</v>
      </c>
      <c r="AE15" s="194" t="n">
        <f aca="false">IF(Model!AC21=0,"",Model!AC21)</f>
        <v>943000.603928865</v>
      </c>
      <c r="AF15" s="194" t="n">
        <f aca="false">IF(Model!AD21=0,"",Model!AD21)</f>
        <v>864623.693098865</v>
      </c>
      <c r="AG15" s="194" t="n">
        <f aca="false">IF(Model!AE21=0,"",Model!AE21)</f>
        <v>778294.268798865</v>
      </c>
      <c r="AH15" s="194" t="n">
        <f aca="false">IF(Model!AF21=0,"",Model!AF21)</f>
        <v>687265.631993865</v>
      </c>
      <c r="AI15" s="194" t="n">
        <f aca="false">IF(Model!AG21=0,"",Model!AG21)</f>
        <v>594727.293433865</v>
      </c>
      <c r="AJ15" s="194" t="n">
        <f aca="false">IF(Model!AH21=0,"",Model!AH21)</f>
        <v>503507.285983865</v>
      </c>
      <c r="AK15" s="194" t="n">
        <f aca="false">IF(Model!AI21=0,"",Model!AI21)</f>
        <v>416135.954838865</v>
      </c>
      <c r="AL15" s="194" t="n">
        <f aca="false">IF(Model!AJ21=0,"",Model!AJ21)</f>
        <v>206509.613476115</v>
      </c>
      <c r="AM15" s="194" t="str">
        <f aca="false">IF(Model!AK21=0,"",Model!AK21)</f>
        <v/>
      </c>
      <c r="AN15" s="194" t="str">
        <f aca="false">IF(Model!AL21=0,"",Model!AL21)</f>
        <v/>
      </c>
      <c r="AO15" s="194" t="str">
        <f aca="false">IF(Model!AM21=0,"",Model!AM21)</f>
        <v/>
      </c>
      <c r="AP15" s="194" t="str">
        <f aca="false">IF(Model!AN21=0,"",Model!AN21)</f>
        <v/>
      </c>
      <c r="AQ15" s="194" t="str">
        <f aca="false">IF(Model!AO21=0,"",Model!AO21)</f>
        <v/>
      </c>
      <c r="AR15" s="194" t="str">
        <f aca="false">IF(Model!AP21=0,"",Model!AP21)</f>
        <v/>
      </c>
      <c r="AS15" s="194" t="str">
        <f aca="false">IF(Model!AQ21=0,"",Model!AQ21)</f>
        <v/>
      </c>
      <c r="AT15" s="194" t="str">
        <f aca="false">IF(Model!AR21=0,"",Model!AR21)</f>
        <v/>
      </c>
      <c r="AU15" s="194" t="str">
        <f aca="false">IF(Model!AS21=0,"",Model!AS21)</f>
        <v/>
      </c>
      <c r="AV15" s="194" t="str">
        <f aca="false">IF(Model!AT21=0,"",Model!AT21)</f>
        <v/>
      </c>
      <c r="AW15" s="194" t="str">
        <f aca="false">IF(Model!AU21=0,"",Model!AU21)</f>
        <v/>
      </c>
      <c r="AX15" s="194" t="str">
        <f aca="false">IF(Model!AV21=0,"",Model!AV21)</f>
        <v/>
      </c>
      <c r="AY15" s="194" t="str">
        <f aca="false">IF(Model!AW21=0,"",Model!AW21)</f>
        <v/>
      </c>
      <c r="AZ15" s="194" t="str">
        <f aca="false">IF(Model!AX21=0,"",Model!AX21)</f>
        <v/>
      </c>
      <c r="BA15" s="194" t="str">
        <f aca="false">IF(Model!AY21=0,"",Model!AY21)</f>
        <v/>
      </c>
      <c r="BB15" s="194" t="str">
        <f aca="false">IF(Model!AZ21=0,"",Model!AZ21)</f>
        <v/>
      </c>
      <c r="BC15" s="194" t="str">
        <f aca="false">IF(Model!BA21=0,"",Model!BA21)</f>
        <v/>
      </c>
      <c r="BD15" s="194" t="str">
        <f aca="false">IF(Model!BB21=0,"",Model!BB21)</f>
        <v/>
      </c>
      <c r="BE15" s="194" t="str">
        <f aca="false">IF(Model!BC21=0,"",Model!BC21)</f>
        <v/>
      </c>
      <c r="BF15" s="194" t="str">
        <f aca="false">IF(Model!BD21=0,"",Model!BD21)</f>
        <v/>
      </c>
      <c r="BG15" s="194" t="str">
        <f aca="false">IF(Model!BE21=0,"",Model!BE21)</f>
        <v/>
      </c>
      <c r="BH15" s="194" t="str">
        <f aca="false">IF(Model!BF21=0,"",Model!BF21)</f>
        <v/>
      </c>
      <c r="BI15" s="194" t="str">
        <f aca="false">IF(Model!BG21=0,"",Model!BG21)</f>
        <v/>
      </c>
      <c r="BJ15" s="194" t="str">
        <f aca="false">IF(Model!BH21=0,"",Model!BH21)</f>
        <v/>
      </c>
      <c r="BK15" s="194" t="str">
        <f aca="false">IF(Model!BI21=0,"",Model!BI21)</f>
        <v/>
      </c>
      <c r="BL15" s="194" t="str">
        <f aca="false">IF(Model!BJ21=0,"",Model!BJ21)</f>
        <v/>
      </c>
      <c r="BM15" s="194" t="str">
        <f aca="false">IF(Model!BK21=0,"",Model!BK21)</f>
        <v/>
      </c>
      <c r="BN15" s="194" t="str">
        <f aca="false">IF(Model!BL21=0,"",Model!BL21)</f>
        <v/>
      </c>
      <c r="BO15" s="194" t="str">
        <f aca="false">IF(Model!BM21=0,"",Model!BM21)</f>
        <v/>
      </c>
      <c r="BP15" s="194" t="str">
        <f aca="false">IF(Model!BN21=0,"",Model!BN21)</f>
        <v/>
      </c>
      <c r="BQ15" s="194" t="str">
        <f aca="false">IF(Model!BO21=0,"",Model!BO21)</f>
        <v/>
      </c>
      <c r="BR15" s="194" t="str">
        <f aca="false">IF(Model!BP21=0,"",Model!BP21)</f>
        <v/>
      </c>
      <c r="BS15" s="194" t="str">
        <f aca="false">IF(Model!BQ21=0,"",Model!BQ21)</f>
        <v/>
      </c>
      <c r="BT15" s="194" t="str">
        <f aca="false">IF(Model!BR21=0,"",Model!BR21)</f>
        <v/>
      </c>
      <c r="BU15" s="194" t="str">
        <f aca="false">IF(Model!BS21=0,"",Model!BS21)</f>
        <v/>
      </c>
      <c r="BV15" s="194" t="str">
        <f aca="false">IF(Model!BT21=0,"",Model!BT21)</f>
        <v/>
      </c>
      <c r="BW15" s="194" t="str">
        <f aca="false">IF(Model!BU21=0,"",Model!BU21)</f>
        <v/>
      </c>
      <c r="BX15" s="194" t="str">
        <f aca="false">IF(Model!BV21=0,"",Model!BV21)</f>
        <v/>
      </c>
      <c r="BY15" s="194" t="str">
        <f aca="false">IF(Model!BW21=0,"",Model!BW21)</f>
        <v/>
      </c>
      <c r="BZ15" s="194" t="str">
        <f aca="false">IF(Model!BX21=0,"",Model!BX21)</f>
        <v/>
      </c>
      <c r="CA15" s="194" t="str">
        <f aca="false">IF(Model!BY21=0,"",Model!BY21)</f>
        <v/>
      </c>
      <c r="CB15" s="194" t="str">
        <f aca="false">IF(Model!BZ21=0,"",Model!BZ21)</f>
        <v/>
      </c>
      <c r="CC15" s="194" t="str">
        <f aca="false">IF(Model!CA21=0,"",Model!CA21)</f>
        <v/>
      </c>
      <c r="CD15" s="194" t="str">
        <f aca="false">IF(Model!CB21=0,"",Model!CB21)</f>
        <v/>
      </c>
      <c r="CE15" s="194" t="str">
        <f aca="false">IF(Model!CC21=0,"",Model!CC21)</f>
        <v/>
      </c>
      <c r="CF15" s="194" t="str">
        <f aca="false">IF(Model!CD21=0,"",Model!CD21)</f>
        <v/>
      </c>
      <c r="CG15" s="194" t="str">
        <f aca="false">IF(Model!CE21=0,"",Model!CE21)</f>
        <v/>
      </c>
      <c r="CH15" s="194" t="str">
        <f aca="false">IF(Model!CF21=0,"",Model!CF21)</f>
        <v/>
      </c>
      <c r="CI15" s="194" t="str">
        <f aca="false">IF(Model!CG21=0,"",Model!CG21)</f>
        <v/>
      </c>
      <c r="CJ15" s="194" t="str">
        <f aca="false">IF(Model!CH21=0,"",Model!CH21)</f>
        <v/>
      </c>
      <c r="CK15" s="194" t="str">
        <f aca="false">IF(Model!CI21=0,"",Model!CI21)</f>
        <v/>
      </c>
      <c r="CL15" s="194" t="str">
        <f aca="false">IF(Model!CJ21=0,"",Model!CJ21)</f>
        <v/>
      </c>
      <c r="CM15" s="194" t="str">
        <f aca="false">IF(Model!CK21=0,"",Model!CK21)</f>
        <v/>
      </c>
      <c r="CN15" s="194" t="str">
        <f aca="false">IF(Model!CL21=0,"",Model!CL21)</f>
        <v/>
      </c>
      <c r="CO15" s="194" t="str">
        <f aca="false">IF(Model!CM21=0,"",Model!CM21)</f>
        <v/>
      </c>
      <c r="CP15" s="194" t="str">
        <f aca="false">IF(Model!CN21=0,"",Model!CN21)</f>
        <v/>
      </c>
      <c r="CQ15" s="194" t="str">
        <f aca="false">IF(Model!CO21=0,"",Model!CO21)</f>
        <v/>
      </c>
      <c r="CR15" s="194" t="str">
        <f aca="false">IF(Model!CP21=0,"",Model!CP21)</f>
        <v/>
      </c>
      <c r="CS15" s="194" t="str">
        <f aca="false">IF(Model!CQ21=0,"",Model!CQ21)</f>
        <v/>
      </c>
      <c r="CT15" s="194" t="str">
        <f aca="false">IF(Model!CR21=0,"",Model!CR21)</f>
        <v/>
      </c>
      <c r="CU15" s="194" t="str">
        <f aca="false">IF(Model!CS21=0,"",Model!CS21)</f>
        <v/>
      </c>
      <c r="CV15" s="194" t="str">
        <f aca="false">IF(Model!CT21=0,"",Model!CT21)</f>
        <v/>
      </c>
      <c r="CW15" s="194" t="str">
        <f aca="false">IF(Model!CU21=0,"",Model!CU21)</f>
        <v/>
      </c>
      <c r="CX15" s="194" t="str">
        <f aca="false">IF(Model!CV21=0,"",Model!CV21)</f>
        <v/>
      </c>
      <c r="CY15" s="194" t="str">
        <f aca="false">IF(Model!CW21=0,"",Model!CW21)</f>
        <v/>
      </c>
      <c r="CZ15" s="194" t="str">
        <f aca="false">IF(Model!CX21=0,"",Model!CX21)</f>
        <v/>
      </c>
      <c r="DA15" s="194" t="str">
        <f aca="false">IF(Model!CY21=0,"",Model!CY21)</f>
        <v/>
      </c>
      <c r="DB15" s="194" t="str">
        <f aca="false">IF(Model!CZ21=0,"",Model!CZ21)</f>
        <v/>
      </c>
    </row>
    <row r="16" customFormat="false" ht="15" hidden="false" customHeight="true" outlineLevel="0" collapsed="false">
      <c r="A16" s="125" t="s">
        <v>18</v>
      </c>
      <c r="B16" s="191" t="n">
        <f aca="false">Projects!$B$13</f>
        <v>45266770</v>
      </c>
      <c r="C16" s="192" t="n">
        <f aca="false">EDATE(Model!$E$2,Projects!$C$13-1)</f>
        <v>46478</v>
      </c>
      <c r="D16" s="192" t="n">
        <f aca="false">EDATE(Model!$E$2,Projects!$C$13+Projects!$D$13-2)</f>
        <v>47362</v>
      </c>
      <c r="E16" s="193" t="n">
        <f aca="false">Projects!$D$13</f>
        <v>30</v>
      </c>
      <c r="F16" s="191" t="n">
        <f aca="false">SUM(G16:DB16)</f>
        <v>39817239.36001</v>
      </c>
      <c r="G16" s="194" t="str">
        <f aca="false">IF(Model!E24=0,"",Model!E24)</f>
        <v/>
      </c>
      <c r="H16" s="194" t="str">
        <f aca="false">IF(Model!F24=0,"",Model!F24)</f>
        <v/>
      </c>
      <c r="I16" s="194" t="str">
        <f aca="false">IF(Model!G24=0,"",Model!G24)</f>
        <v/>
      </c>
      <c r="J16" s="194" t="str">
        <f aca="false">IF(Model!H24=0,"",Model!H24)</f>
        <v/>
      </c>
      <c r="K16" s="194" t="str">
        <f aca="false">IF(Model!I24=0,"",Model!I24)</f>
        <v/>
      </c>
      <c r="L16" s="194" t="str">
        <f aca="false">IF(Model!J24=0,"",Model!J24)</f>
        <v/>
      </c>
      <c r="M16" s="194" t="str">
        <f aca="false">IF(Model!K24=0,"",Model!K24)</f>
        <v/>
      </c>
      <c r="N16" s="194" t="str">
        <f aca="false">IF(Model!L24=0,"",Model!L24)</f>
        <v/>
      </c>
      <c r="O16" s="194" t="str">
        <f aca="false">IF(Model!M24=0,"",Model!M24)</f>
        <v/>
      </c>
      <c r="P16" s="194" t="str">
        <f aca="false">IF(Model!N24=0,"",Model!N24)</f>
        <v/>
      </c>
      <c r="Q16" s="194" t="str">
        <f aca="false">IF(Model!O24=0,"",Model!O24)</f>
        <v/>
      </c>
      <c r="R16" s="194" t="str">
        <f aca="false">IF(Model!P24=0,"",Model!P24)</f>
        <v/>
      </c>
      <c r="S16" s="194" t="n">
        <f aca="false">IF(Model!Q24=0,"",Model!Q24)</f>
        <v>556266.059712783</v>
      </c>
      <c r="T16" s="194" t="n">
        <f aca="false">IF(Model!R24=0,"",Model!R24)</f>
        <v>665675.842802783</v>
      </c>
      <c r="U16" s="194" t="n">
        <f aca="false">IF(Model!S24=0,"",Model!S24)</f>
        <v>781966.174932784</v>
      </c>
      <c r="V16" s="194" t="n">
        <f aca="false">IF(Model!T24=0,"",Model!T24)</f>
        <v>903552.719152783</v>
      </c>
      <c r="W16" s="194" t="n">
        <f aca="false">IF(Model!U24=0,"",Model!U24)</f>
        <v>1028579.53789278</v>
      </c>
      <c r="X16" s="194" t="n">
        <f aca="false">IF(Model!V24=0,"",Model!V24)</f>
        <v>1154783.29265278</v>
      </c>
      <c r="Y16" s="194" t="n">
        <f aca="false">IF(Model!W24=0,"",Model!W24)</f>
        <v>1279674.31108278</v>
      </c>
      <c r="Z16" s="194" t="n">
        <f aca="false">IF(Model!X24=0,"",Model!X24)</f>
        <v>1400536.58698278</v>
      </c>
      <c r="AA16" s="194" t="n">
        <f aca="false">IF(Model!Y24=0,"",Model!Y24)</f>
        <v>1514473.04707278</v>
      </c>
      <c r="AB16" s="194" t="n">
        <f aca="false">IF(Model!Z24=0,"",Model!Z24)</f>
        <v>1618722.41838278</v>
      </c>
      <c r="AC16" s="194" t="n">
        <f aca="false">IF(Model!AA24=0,"",Model!AA24)</f>
        <v>1710478.16117278</v>
      </c>
      <c r="AD16" s="194" t="n">
        <f aca="false">IF(Model!AB24=0,"",Model!AB24)</f>
        <v>1787250.60309278</v>
      </c>
      <c r="AE16" s="194" t="n">
        <f aca="false">IF(Model!AC24=0,"",Model!AC24)</f>
        <v>1846912.20595278</v>
      </c>
      <c r="AF16" s="194" t="n">
        <f aca="false">IF(Model!AD24=0,"",Model!AD24)</f>
        <v>1887652.29895278</v>
      </c>
      <c r="AG16" s="194" t="n">
        <f aca="false">IF(Model!AE24=0,"",Model!AE24)</f>
        <v>1908339.21284278</v>
      </c>
      <c r="AH16" s="194" t="n">
        <f aca="false">IF(Model!AF24=0,"",Model!AF24)</f>
        <v>1908339.21284278</v>
      </c>
      <c r="AI16" s="194" t="n">
        <f aca="false">IF(Model!AG24=0,"",Model!AG24)</f>
        <v>1887652.29895278</v>
      </c>
      <c r="AJ16" s="194" t="n">
        <f aca="false">IF(Model!AH24=0,"",Model!AH24)</f>
        <v>1846912.20595278</v>
      </c>
      <c r="AK16" s="194" t="n">
        <f aca="false">IF(Model!AI24=0,"",Model!AI24)</f>
        <v>1787250.60309278</v>
      </c>
      <c r="AL16" s="194" t="n">
        <f aca="false">IF(Model!AJ24=0,"",Model!AJ24)</f>
        <v>1710478.16117278</v>
      </c>
      <c r="AM16" s="194" t="n">
        <f aca="false">IF(Model!AK24=0,"",Model!AK24)</f>
        <v>1618722.41838278</v>
      </c>
      <c r="AN16" s="194" t="n">
        <f aca="false">IF(Model!AL24=0,"",Model!AL24)</f>
        <v>1514473.04707278</v>
      </c>
      <c r="AO16" s="194" t="n">
        <f aca="false">IF(Model!AM24=0,"",Model!AM24)</f>
        <v>1400536.58698278</v>
      </c>
      <c r="AP16" s="194" t="n">
        <f aca="false">IF(Model!AN24=0,"",Model!AN24)</f>
        <v>1279674.31108278</v>
      </c>
      <c r="AQ16" s="194" t="n">
        <f aca="false">IF(Model!AO24=0,"",Model!AO24)</f>
        <v>1154783.29265278</v>
      </c>
      <c r="AR16" s="194" t="n">
        <f aca="false">IF(Model!AP24=0,"",Model!AP24)</f>
        <v>1028579.53789278</v>
      </c>
      <c r="AS16" s="194" t="n">
        <f aca="false">IF(Model!AQ24=0,"",Model!AQ24)</f>
        <v>903552.719152783</v>
      </c>
      <c r="AT16" s="194" t="n">
        <f aca="false">IF(Model!AR24=0,"",Model!AR24)</f>
        <v>781966.174932784</v>
      </c>
      <c r="AU16" s="194" t="n">
        <f aca="false">IF(Model!AS24=0,"",Model!AS24)</f>
        <v>665675.842802783</v>
      </c>
      <c r="AV16" s="194" t="n">
        <f aca="false">IF(Model!AT24=0,"",Model!AT24)</f>
        <v>283780.474359283</v>
      </c>
      <c r="AW16" s="194" t="str">
        <f aca="false">IF(Model!AU24=0,"",Model!AU24)</f>
        <v/>
      </c>
      <c r="AX16" s="194" t="str">
        <f aca="false">IF(Model!AV24=0,"",Model!AV24)</f>
        <v/>
      </c>
      <c r="AY16" s="194" t="str">
        <f aca="false">IF(Model!AW24=0,"",Model!AW24)</f>
        <v/>
      </c>
      <c r="AZ16" s="194" t="str">
        <f aca="false">IF(Model!AX24=0,"",Model!AX24)</f>
        <v/>
      </c>
      <c r="BA16" s="194" t="str">
        <f aca="false">IF(Model!AY24=0,"",Model!AY24)</f>
        <v/>
      </c>
      <c r="BB16" s="194" t="str">
        <f aca="false">IF(Model!AZ24=0,"",Model!AZ24)</f>
        <v/>
      </c>
      <c r="BC16" s="194" t="str">
        <f aca="false">IF(Model!BA24=0,"",Model!BA24)</f>
        <v/>
      </c>
      <c r="BD16" s="194" t="str">
        <f aca="false">IF(Model!BB24=0,"",Model!BB24)</f>
        <v/>
      </c>
      <c r="BE16" s="194" t="str">
        <f aca="false">IF(Model!BC24=0,"",Model!BC24)</f>
        <v/>
      </c>
      <c r="BF16" s="194" t="str">
        <f aca="false">IF(Model!BD24=0,"",Model!BD24)</f>
        <v/>
      </c>
      <c r="BG16" s="194" t="str">
        <f aca="false">IF(Model!BE24=0,"",Model!BE24)</f>
        <v/>
      </c>
      <c r="BH16" s="194" t="str">
        <f aca="false">IF(Model!BF24=0,"",Model!BF24)</f>
        <v/>
      </c>
      <c r="BI16" s="194" t="str">
        <f aca="false">IF(Model!BG24=0,"",Model!BG24)</f>
        <v/>
      </c>
      <c r="BJ16" s="194" t="str">
        <f aca="false">IF(Model!BH24=0,"",Model!BH24)</f>
        <v/>
      </c>
      <c r="BK16" s="194" t="str">
        <f aca="false">IF(Model!BI24=0,"",Model!BI24)</f>
        <v/>
      </c>
      <c r="BL16" s="194" t="str">
        <f aca="false">IF(Model!BJ24=0,"",Model!BJ24)</f>
        <v/>
      </c>
      <c r="BM16" s="194" t="str">
        <f aca="false">IF(Model!BK24=0,"",Model!BK24)</f>
        <v/>
      </c>
      <c r="BN16" s="194" t="str">
        <f aca="false">IF(Model!BL24=0,"",Model!BL24)</f>
        <v/>
      </c>
      <c r="BO16" s="194" t="str">
        <f aca="false">IF(Model!BM24=0,"",Model!BM24)</f>
        <v/>
      </c>
      <c r="BP16" s="194" t="str">
        <f aca="false">IF(Model!BN24=0,"",Model!BN24)</f>
        <v/>
      </c>
      <c r="BQ16" s="194" t="str">
        <f aca="false">IF(Model!BO24=0,"",Model!BO24)</f>
        <v/>
      </c>
      <c r="BR16" s="194" t="str">
        <f aca="false">IF(Model!BP24=0,"",Model!BP24)</f>
        <v/>
      </c>
      <c r="BS16" s="194" t="str">
        <f aca="false">IF(Model!BQ24=0,"",Model!BQ24)</f>
        <v/>
      </c>
      <c r="BT16" s="194" t="str">
        <f aca="false">IF(Model!BR24=0,"",Model!BR24)</f>
        <v/>
      </c>
      <c r="BU16" s="194" t="str">
        <f aca="false">IF(Model!BS24=0,"",Model!BS24)</f>
        <v/>
      </c>
      <c r="BV16" s="194" t="str">
        <f aca="false">IF(Model!BT24=0,"",Model!BT24)</f>
        <v/>
      </c>
      <c r="BW16" s="194" t="str">
        <f aca="false">IF(Model!BU24=0,"",Model!BU24)</f>
        <v/>
      </c>
      <c r="BX16" s="194" t="str">
        <f aca="false">IF(Model!BV24=0,"",Model!BV24)</f>
        <v/>
      </c>
      <c r="BY16" s="194" t="str">
        <f aca="false">IF(Model!BW24=0,"",Model!BW24)</f>
        <v/>
      </c>
      <c r="BZ16" s="194" t="str">
        <f aca="false">IF(Model!BX24=0,"",Model!BX24)</f>
        <v/>
      </c>
      <c r="CA16" s="194" t="str">
        <f aca="false">IF(Model!BY24=0,"",Model!BY24)</f>
        <v/>
      </c>
      <c r="CB16" s="194" t="str">
        <f aca="false">IF(Model!BZ24=0,"",Model!BZ24)</f>
        <v/>
      </c>
      <c r="CC16" s="194" t="str">
        <f aca="false">IF(Model!CA24=0,"",Model!CA24)</f>
        <v/>
      </c>
      <c r="CD16" s="194" t="str">
        <f aca="false">IF(Model!CB24=0,"",Model!CB24)</f>
        <v/>
      </c>
      <c r="CE16" s="194" t="str">
        <f aca="false">IF(Model!CC24=0,"",Model!CC24)</f>
        <v/>
      </c>
      <c r="CF16" s="194" t="str">
        <f aca="false">IF(Model!CD24=0,"",Model!CD24)</f>
        <v/>
      </c>
      <c r="CG16" s="194" t="str">
        <f aca="false">IF(Model!CE24=0,"",Model!CE24)</f>
        <v/>
      </c>
      <c r="CH16" s="194" t="str">
        <f aca="false">IF(Model!CF24=0,"",Model!CF24)</f>
        <v/>
      </c>
      <c r="CI16" s="194" t="str">
        <f aca="false">IF(Model!CG24=0,"",Model!CG24)</f>
        <v/>
      </c>
      <c r="CJ16" s="194" t="str">
        <f aca="false">IF(Model!CH24=0,"",Model!CH24)</f>
        <v/>
      </c>
      <c r="CK16" s="194" t="str">
        <f aca="false">IF(Model!CI24=0,"",Model!CI24)</f>
        <v/>
      </c>
      <c r="CL16" s="194" t="str">
        <f aca="false">IF(Model!CJ24=0,"",Model!CJ24)</f>
        <v/>
      </c>
      <c r="CM16" s="194" t="str">
        <f aca="false">IF(Model!CK24=0,"",Model!CK24)</f>
        <v/>
      </c>
      <c r="CN16" s="194" t="str">
        <f aca="false">IF(Model!CL24=0,"",Model!CL24)</f>
        <v/>
      </c>
      <c r="CO16" s="194" t="str">
        <f aca="false">IF(Model!CM24=0,"",Model!CM24)</f>
        <v/>
      </c>
      <c r="CP16" s="194" t="str">
        <f aca="false">IF(Model!CN24=0,"",Model!CN24)</f>
        <v/>
      </c>
      <c r="CQ16" s="194" t="str">
        <f aca="false">IF(Model!CO24=0,"",Model!CO24)</f>
        <v/>
      </c>
      <c r="CR16" s="194" t="str">
        <f aca="false">IF(Model!CP24=0,"",Model!CP24)</f>
        <v/>
      </c>
      <c r="CS16" s="194" t="str">
        <f aca="false">IF(Model!CQ24=0,"",Model!CQ24)</f>
        <v/>
      </c>
      <c r="CT16" s="194" t="str">
        <f aca="false">IF(Model!CR24=0,"",Model!CR24)</f>
        <v/>
      </c>
      <c r="CU16" s="194" t="str">
        <f aca="false">IF(Model!CS24=0,"",Model!CS24)</f>
        <v/>
      </c>
      <c r="CV16" s="194" t="str">
        <f aca="false">IF(Model!CT24=0,"",Model!CT24)</f>
        <v/>
      </c>
      <c r="CW16" s="194" t="str">
        <f aca="false">IF(Model!CU24=0,"",Model!CU24)</f>
        <v/>
      </c>
      <c r="CX16" s="194" t="str">
        <f aca="false">IF(Model!CV24=0,"",Model!CV24)</f>
        <v/>
      </c>
      <c r="CY16" s="194" t="str">
        <f aca="false">IF(Model!CW24=0,"",Model!CW24)</f>
        <v/>
      </c>
      <c r="CZ16" s="194" t="str">
        <f aca="false">IF(Model!CX24=0,"",Model!CX24)</f>
        <v/>
      </c>
      <c r="DA16" s="194" t="str">
        <f aca="false">IF(Model!CY24=0,"",Model!CY24)</f>
        <v/>
      </c>
      <c r="DB16" s="194" t="str">
        <f aca="false">IF(Model!CZ24=0,"",Model!CZ24)</f>
        <v/>
      </c>
    </row>
    <row r="17" customFormat="false" ht="15" hidden="false" customHeight="true" outlineLevel="0" collapsed="false">
      <c r="A17" s="125" t="s">
        <v>19</v>
      </c>
      <c r="B17" s="191" t="n">
        <f aca="false">Projects!$B$14</f>
        <v>41354632</v>
      </c>
      <c r="C17" s="192" t="n">
        <f aca="false">EDATE(Model!$E$2,Projects!$C$14-1)</f>
        <v>46905</v>
      </c>
      <c r="D17" s="192" t="n">
        <f aca="false">EDATE(Model!$E$2,Projects!$C$14+Projects!$D$14-2)</f>
        <v>47788</v>
      </c>
      <c r="E17" s="193" t="n">
        <f aca="false">Projects!$D$14</f>
        <v>30</v>
      </c>
      <c r="F17" s="191" t="n">
        <f aca="false">SUM(G17:DB17)</f>
        <v>36376071.917416</v>
      </c>
      <c r="G17" s="194" t="str">
        <f aca="false">IF(Model!E25=0,"",Model!E25)</f>
        <v/>
      </c>
      <c r="H17" s="194" t="str">
        <f aca="false">IF(Model!F25=0,"",Model!F25)</f>
        <v/>
      </c>
      <c r="I17" s="194" t="str">
        <f aca="false">IF(Model!G25=0,"",Model!G25)</f>
        <v/>
      </c>
      <c r="J17" s="194" t="str">
        <f aca="false">IF(Model!H25=0,"",Model!H25)</f>
        <v/>
      </c>
      <c r="K17" s="194" t="str">
        <f aca="false">IF(Model!I25=0,"",Model!I25)</f>
        <v/>
      </c>
      <c r="L17" s="194" t="str">
        <f aca="false">IF(Model!J25=0,"",Model!J25)</f>
        <v/>
      </c>
      <c r="M17" s="194" t="str">
        <f aca="false">IF(Model!K25=0,"",Model!K25)</f>
        <v/>
      </c>
      <c r="N17" s="194" t="str">
        <f aca="false">IF(Model!L25=0,"",Model!L25)</f>
        <v/>
      </c>
      <c r="O17" s="194" t="str">
        <f aca="false">IF(Model!M25=0,"",Model!M25)</f>
        <v/>
      </c>
      <c r="P17" s="194" t="str">
        <f aca="false">IF(Model!N25=0,"",Model!N25)</f>
        <v/>
      </c>
      <c r="Q17" s="194" t="str">
        <f aca="false">IF(Model!O25=0,"",Model!O25)</f>
        <v/>
      </c>
      <c r="R17" s="194" t="str">
        <f aca="false">IF(Model!P25=0,"",Model!P25)</f>
        <v/>
      </c>
      <c r="S17" s="194" t="str">
        <f aca="false">IF(Model!Q25=0,"",Model!Q25)</f>
        <v/>
      </c>
      <c r="T17" s="194" t="str">
        <f aca="false">IF(Model!R25=0,"",Model!R25)</f>
        <v/>
      </c>
      <c r="U17" s="194" t="str">
        <f aca="false">IF(Model!S25=0,"",Model!S25)</f>
        <v/>
      </c>
      <c r="V17" s="194" t="str">
        <f aca="false">IF(Model!T25=0,"",Model!T25)</f>
        <v/>
      </c>
      <c r="W17" s="194" t="str">
        <f aca="false">IF(Model!U25=0,"",Model!U25)</f>
        <v/>
      </c>
      <c r="X17" s="194" t="str">
        <f aca="false">IF(Model!V25=0,"",Model!V25)</f>
        <v/>
      </c>
      <c r="Y17" s="194" t="str">
        <f aca="false">IF(Model!W25=0,"",Model!W25)</f>
        <v/>
      </c>
      <c r="Z17" s="194" t="str">
        <f aca="false">IF(Model!X25=0,"",Model!X25)</f>
        <v/>
      </c>
      <c r="AA17" s="194" t="str">
        <f aca="false">IF(Model!Y25=0,"",Model!Y25)</f>
        <v/>
      </c>
      <c r="AB17" s="194" t="str">
        <f aca="false">IF(Model!Z25=0,"",Model!Z25)</f>
        <v/>
      </c>
      <c r="AC17" s="194" t="str">
        <f aca="false">IF(Model!AA25=0,"",Model!AA25)</f>
        <v/>
      </c>
      <c r="AD17" s="194" t="str">
        <f aca="false">IF(Model!AB25=0,"",Model!AB25)</f>
        <v/>
      </c>
      <c r="AE17" s="194" t="str">
        <f aca="false">IF(Model!AC25=0,"",Model!AC25)</f>
        <v/>
      </c>
      <c r="AF17" s="194" t="str">
        <f aca="false">IF(Model!AD25=0,"",Model!AD25)</f>
        <v/>
      </c>
      <c r="AG17" s="194" t="n">
        <f aca="false">IF(Model!AE25=0,"",Model!AE25)</f>
        <v>508191.288963453</v>
      </c>
      <c r="AH17" s="194" t="n">
        <f aca="false">IF(Model!AF25=0,"",Model!AF25)</f>
        <v>608145.434507453</v>
      </c>
      <c r="AI17" s="194" t="n">
        <f aca="false">IF(Model!AG25=0,"",Model!AG25)</f>
        <v>714385.484115453</v>
      </c>
      <c r="AJ17" s="194" t="n">
        <f aca="false">IF(Model!AH25=0,"",Model!AH25)</f>
        <v>825464.025667453</v>
      </c>
      <c r="AK17" s="194" t="n">
        <f aca="false">IF(Model!AI25=0,"",Model!AI25)</f>
        <v>939685.519251453</v>
      </c>
      <c r="AL17" s="194" t="n">
        <f aca="false">IF(Model!AJ25=0,"",Model!AJ25)</f>
        <v>1054982.23326745</v>
      </c>
      <c r="AM17" s="194" t="n">
        <f aca="false">IF(Model!AK25=0,"",Model!AK25)</f>
        <v>1169079.66295545</v>
      </c>
      <c r="AN17" s="194" t="n">
        <f aca="false">IF(Model!AL25=0,"",Model!AL25)</f>
        <v>1279496.53039545</v>
      </c>
      <c r="AO17" s="194" t="n">
        <f aca="false">IF(Model!AM25=0,"",Model!AM25)</f>
        <v>1383586.13913945</v>
      </c>
      <c r="AP17" s="194" t="n">
        <f aca="false">IF(Model!AN25=0,"",Model!AN25)</f>
        <v>1478825.85663545</v>
      </c>
      <c r="AQ17" s="194" t="n">
        <f aca="false">IF(Model!AO25=0,"",Model!AO25)</f>
        <v>1562651.69569945</v>
      </c>
      <c r="AR17" s="194" t="n">
        <f aca="false">IF(Model!AP25=0,"",Model!AP25)</f>
        <v>1632789.15157145</v>
      </c>
      <c r="AS17" s="194" t="n">
        <f aca="false">IF(Model!AQ25=0,"",Model!AQ25)</f>
        <v>1687294.55654745</v>
      </c>
      <c r="AT17" s="194" t="n">
        <f aca="false">IF(Model!AR25=0,"",Model!AR25)</f>
        <v>1724513.72534745</v>
      </c>
      <c r="AU17" s="194" t="n">
        <f aca="false">IF(Model!AS25=0,"",Model!AS25)</f>
        <v>1743412.79217145</v>
      </c>
      <c r="AV17" s="194" t="n">
        <f aca="false">IF(Model!AT25=0,"",Model!AT25)</f>
        <v>1743412.79217145</v>
      </c>
      <c r="AW17" s="194" t="n">
        <f aca="false">IF(Model!AU25=0,"",Model!AU25)</f>
        <v>1724513.72534745</v>
      </c>
      <c r="AX17" s="194" t="n">
        <f aca="false">IF(Model!AV25=0,"",Model!AV25)</f>
        <v>1687294.55654745</v>
      </c>
      <c r="AY17" s="194" t="n">
        <f aca="false">IF(Model!AW25=0,"",Model!AW25)</f>
        <v>1632789.15157145</v>
      </c>
      <c r="AZ17" s="194" t="n">
        <f aca="false">IF(Model!AX25=0,"",Model!AX25)</f>
        <v>1562651.69569945</v>
      </c>
      <c r="BA17" s="194" t="n">
        <f aca="false">IF(Model!AY25=0,"",Model!AY25)</f>
        <v>1478825.85663545</v>
      </c>
      <c r="BB17" s="194" t="n">
        <f aca="false">IF(Model!AZ25=0,"",Model!AZ25)</f>
        <v>1383586.13913945</v>
      </c>
      <c r="BC17" s="194" t="n">
        <f aca="false">IF(Model!BA25=0,"",Model!BA25)</f>
        <v>1279496.53039545</v>
      </c>
      <c r="BD17" s="194" t="n">
        <f aca="false">IF(Model!BB25=0,"",Model!BB25)</f>
        <v>1169079.66295545</v>
      </c>
      <c r="BE17" s="194" t="n">
        <f aca="false">IF(Model!BC25=0,"",Model!BC25)</f>
        <v>1054982.23326745</v>
      </c>
      <c r="BF17" s="194" t="n">
        <f aca="false">IF(Model!BD25=0,"",Model!BD25)</f>
        <v>939685.519251453</v>
      </c>
      <c r="BG17" s="194" t="n">
        <f aca="false">IF(Model!BE25=0,"",Model!BE25)</f>
        <v>825464.025667453</v>
      </c>
      <c r="BH17" s="194" t="n">
        <f aca="false">IF(Model!BF25=0,"",Model!BF25)</f>
        <v>714385.484115453</v>
      </c>
      <c r="BI17" s="194" t="n">
        <f aca="false">IF(Model!BG25=0,"",Model!BG25)</f>
        <v>608145.434507453</v>
      </c>
      <c r="BJ17" s="194" t="n">
        <f aca="false">IF(Model!BH25=0,"",Model!BH25)</f>
        <v>259255.013907853</v>
      </c>
      <c r="BK17" s="194" t="str">
        <f aca="false">IF(Model!BI25=0,"",Model!BI25)</f>
        <v/>
      </c>
      <c r="BL17" s="194" t="str">
        <f aca="false">IF(Model!BJ25=0,"",Model!BJ25)</f>
        <v/>
      </c>
      <c r="BM17" s="194" t="str">
        <f aca="false">IF(Model!BK25=0,"",Model!BK25)</f>
        <v/>
      </c>
      <c r="BN17" s="194" t="str">
        <f aca="false">IF(Model!BL25=0,"",Model!BL25)</f>
        <v/>
      </c>
      <c r="BO17" s="194" t="str">
        <f aca="false">IF(Model!BM25=0,"",Model!BM25)</f>
        <v/>
      </c>
      <c r="BP17" s="194" t="str">
        <f aca="false">IF(Model!BN25=0,"",Model!BN25)</f>
        <v/>
      </c>
      <c r="BQ17" s="194" t="str">
        <f aca="false">IF(Model!BO25=0,"",Model!BO25)</f>
        <v/>
      </c>
      <c r="BR17" s="194" t="str">
        <f aca="false">IF(Model!BP25=0,"",Model!BP25)</f>
        <v/>
      </c>
      <c r="BS17" s="194" t="str">
        <f aca="false">IF(Model!BQ25=0,"",Model!BQ25)</f>
        <v/>
      </c>
      <c r="BT17" s="194" t="str">
        <f aca="false">IF(Model!BR25=0,"",Model!BR25)</f>
        <v/>
      </c>
      <c r="BU17" s="194" t="str">
        <f aca="false">IF(Model!BS25=0,"",Model!BS25)</f>
        <v/>
      </c>
      <c r="BV17" s="194" t="str">
        <f aca="false">IF(Model!BT25=0,"",Model!BT25)</f>
        <v/>
      </c>
      <c r="BW17" s="194" t="str">
        <f aca="false">IF(Model!BU25=0,"",Model!BU25)</f>
        <v/>
      </c>
      <c r="BX17" s="194" t="str">
        <f aca="false">IF(Model!BV25=0,"",Model!BV25)</f>
        <v/>
      </c>
      <c r="BY17" s="194" t="str">
        <f aca="false">IF(Model!BW25=0,"",Model!BW25)</f>
        <v/>
      </c>
      <c r="BZ17" s="194" t="str">
        <f aca="false">IF(Model!BX25=0,"",Model!BX25)</f>
        <v/>
      </c>
      <c r="CA17" s="194" t="str">
        <f aca="false">IF(Model!BY25=0,"",Model!BY25)</f>
        <v/>
      </c>
      <c r="CB17" s="194" t="str">
        <f aca="false">IF(Model!BZ25=0,"",Model!BZ25)</f>
        <v/>
      </c>
      <c r="CC17" s="194" t="str">
        <f aca="false">IF(Model!CA25=0,"",Model!CA25)</f>
        <v/>
      </c>
      <c r="CD17" s="194" t="str">
        <f aca="false">IF(Model!CB25=0,"",Model!CB25)</f>
        <v/>
      </c>
      <c r="CE17" s="194" t="str">
        <f aca="false">IF(Model!CC25=0,"",Model!CC25)</f>
        <v/>
      </c>
      <c r="CF17" s="194" t="str">
        <f aca="false">IF(Model!CD25=0,"",Model!CD25)</f>
        <v/>
      </c>
      <c r="CG17" s="194" t="str">
        <f aca="false">IF(Model!CE25=0,"",Model!CE25)</f>
        <v/>
      </c>
      <c r="CH17" s="194" t="str">
        <f aca="false">IF(Model!CF25=0,"",Model!CF25)</f>
        <v/>
      </c>
      <c r="CI17" s="194" t="str">
        <f aca="false">IF(Model!CG25=0,"",Model!CG25)</f>
        <v/>
      </c>
      <c r="CJ17" s="194" t="str">
        <f aca="false">IF(Model!CH25=0,"",Model!CH25)</f>
        <v/>
      </c>
      <c r="CK17" s="194" t="str">
        <f aca="false">IF(Model!CI25=0,"",Model!CI25)</f>
        <v/>
      </c>
      <c r="CL17" s="194" t="str">
        <f aca="false">IF(Model!CJ25=0,"",Model!CJ25)</f>
        <v/>
      </c>
      <c r="CM17" s="194" t="str">
        <f aca="false">IF(Model!CK25=0,"",Model!CK25)</f>
        <v/>
      </c>
      <c r="CN17" s="194" t="str">
        <f aca="false">IF(Model!CL25=0,"",Model!CL25)</f>
        <v/>
      </c>
      <c r="CO17" s="194" t="str">
        <f aca="false">IF(Model!CM25=0,"",Model!CM25)</f>
        <v/>
      </c>
      <c r="CP17" s="194" t="str">
        <f aca="false">IF(Model!CN25=0,"",Model!CN25)</f>
        <v/>
      </c>
      <c r="CQ17" s="194" t="str">
        <f aca="false">IF(Model!CO25=0,"",Model!CO25)</f>
        <v/>
      </c>
      <c r="CR17" s="194" t="str">
        <f aca="false">IF(Model!CP25=0,"",Model!CP25)</f>
        <v/>
      </c>
      <c r="CS17" s="194" t="str">
        <f aca="false">IF(Model!CQ25=0,"",Model!CQ25)</f>
        <v/>
      </c>
      <c r="CT17" s="194" t="str">
        <f aca="false">IF(Model!CR25=0,"",Model!CR25)</f>
        <v/>
      </c>
      <c r="CU17" s="194" t="str">
        <f aca="false">IF(Model!CS25=0,"",Model!CS25)</f>
        <v/>
      </c>
      <c r="CV17" s="194" t="str">
        <f aca="false">IF(Model!CT25=0,"",Model!CT25)</f>
        <v/>
      </c>
      <c r="CW17" s="194" t="str">
        <f aca="false">IF(Model!CU25=0,"",Model!CU25)</f>
        <v/>
      </c>
      <c r="CX17" s="194" t="str">
        <f aca="false">IF(Model!CV25=0,"",Model!CV25)</f>
        <v/>
      </c>
      <c r="CY17" s="194" t="str">
        <f aca="false">IF(Model!CW25=0,"",Model!CW25)</f>
        <v/>
      </c>
      <c r="CZ17" s="194" t="str">
        <f aca="false">IF(Model!CX25=0,"",Model!CX25)</f>
        <v/>
      </c>
      <c r="DA17" s="194" t="str">
        <f aca="false">IF(Model!CY25=0,"",Model!CY25)</f>
        <v/>
      </c>
      <c r="DB17" s="194" t="str">
        <f aca="false">IF(Model!CZ25=0,"",Model!CZ25)</f>
        <v/>
      </c>
    </row>
    <row r="18" customFormat="false" ht="15" hidden="false" customHeight="true" outlineLevel="0" collapsed="false">
      <c r="A18" s="125" t="s">
        <v>20</v>
      </c>
      <c r="B18" s="191" t="n">
        <f aca="false">Projects!$B$17</f>
        <v>15316015</v>
      </c>
      <c r="C18" s="192" t="n">
        <f aca="false">EDATE(Model!$E$2,Projects!$C$17-1)</f>
        <v>46508</v>
      </c>
      <c r="D18" s="192" t="n">
        <f aca="false">EDATE(Model!$E$2,Projects!$C$17+Projects!$D$17-2)</f>
        <v>47058</v>
      </c>
      <c r="E18" s="193" t="n">
        <f aca="false">Projects!$D$17</f>
        <v>19</v>
      </c>
      <c r="F18" s="191" t="n">
        <f aca="false">SUM(G18:DB18)</f>
        <v>13472104.638135</v>
      </c>
      <c r="G18" s="194" t="str">
        <f aca="false">IF(Model!E26=0,"",Model!E26)</f>
        <v/>
      </c>
      <c r="H18" s="194" t="str">
        <f aca="false">IF(Model!F26=0,"",Model!F26)</f>
        <v/>
      </c>
      <c r="I18" s="194" t="str">
        <f aca="false">IF(Model!G26=0,"",Model!G26)</f>
        <v/>
      </c>
      <c r="J18" s="194" t="str">
        <f aca="false">IF(Model!H26=0,"",Model!H26)</f>
        <v/>
      </c>
      <c r="K18" s="194" t="str">
        <f aca="false">IF(Model!I26=0,"",Model!I26)</f>
        <v/>
      </c>
      <c r="L18" s="194" t="str">
        <f aca="false">IF(Model!J26=0,"",Model!J26)</f>
        <v/>
      </c>
      <c r="M18" s="194" t="str">
        <f aca="false">IF(Model!K26=0,"",Model!K26)</f>
        <v/>
      </c>
      <c r="N18" s="194" t="str">
        <f aca="false">IF(Model!L26=0,"",Model!L26)</f>
        <v/>
      </c>
      <c r="O18" s="194" t="str">
        <f aca="false">IF(Model!M26=0,"",Model!M26)</f>
        <v/>
      </c>
      <c r="P18" s="194" t="str">
        <f aca="false">IF(Model!N26=0,"",Model!N26)</f>
        <v/>
      </c>
      <c r="Q18" s="194" t="str">
        <f aca="false">IF(Model!O26=0,"",Model!O26)</f>
        <v/>
      </c>
      <c r="R18" s="194" t="str">
        <f aca="false">IF(Model!P26=0,"",Model!P26)</f>
        <v/>
      </c>
      <c r="S18" s="194" t="str">
        <f aca="false">IF(Model!Q26=0,"",Model!Q26)</f>
        <v/>
      </c>
      <c r="T18" s="194" t="n">
        <f aca="false">IF(Model!R26=0,"",Model!R26)</f>
        <v>313939.25166175</v>
      </c>
      <c r="U18" s="194" t="n">
        <f aca="false">IF(Model!S26=0,"",Model!S26)</f>
        <v>409572.44932175</v>
      </c>
      <c r="V18" s="194" t="n">
        <f aca="false">IF(Model!T26=0,"",Model!T26)</f>
        <v>512511.38613675</v>
      </c>
      <c r="W18" s="194" t="n">
        <f aca="false">IF(Model!U26=0,"",Model!U26)</f>
        <v>618651.37008675</v>
      </c>
      <c r="X18" s="194" t="n">
        <f aca="false">IF(Model!V26=0,"",Model!V26)</f>
        <v>722892.16817675</v>
      </c>
      <c r="Y18" s="194" t="n">
        <f aca="false">IF(Model!W26=0,"",Model!W26)</f>
        <v>819444.32673675</v>
      </c>
      <c r="Z18" s="194" t="n">
        <f aca="false">IF(Model!X26=0,"",Model!X26)</f>
        <v>902380.54796175</v>
      </c>
      <c r="AA18" s="194" t="n">
        <f aca="false">IF(Model!Y26=0,"",Model!Y26)</f>
        <v>966202.38246675</v>
      </c>
      <c r="AB18" s="194" t="n">
        <f aca="false">IF(Model!Z26=0,"",Model!Z26)</f>
        <v>1006452.86988675</v>
      </c>
      <c r="AC18" s="194" t="n">
        <f aca="false">IF(Model!AA26=0,"",Model!AA26)</f>
        <v>1020206.65135675</v>
      </c>
      <c r="AD18" s="194" t="n">
        <f aca="false">IF(Model!AB26=0,"",Model!AB26)</f>
        <v>1006452.86988675</v>
      </c>
      <c r="AE18" s="194" t="n">
        <f aca="false">IF(Model!AC26=0,"",Model!AC26)</f>
        <v>966202.38246675</v>
      </c>
      <c r="AF18" s="194" t="n">
        <f aca="false">IF(Model!AD26=0,"",Model!AD26)</f>
        <v>902380.54796175</v>
      </c>
      <c r="AG18" s="194" t="n">
        <f aca="false">IF(Model!AE26=0,"",Model!AE26)</f>
        <v>819444.32673675</v>
      </c>
      <c r="AH18" s="194" t="n">
        <f aca="false">IF(Model!AF26=0,"",Model!AF26)</f>
        <v>722892.16817675</v>
      </c>
      <c r="AI18" s="194" t="n">
        <f aca="false">IF(Model!AG26=0,"",Model!AG26)</f>
        <v>618651.37008675</v>
      </c>
      <c r="AJ18" s="194" t="n">
        <f aca="false">IF(Model!AH26=0,"",Model!AH26)</f>
        <v>512511.38613675</v>
      </c>
      <c r="AK18" s="194" t="n">
        <f aca="false">IF(Model!AI26=0,"",Model!AI26)</f>
        <v>409572.44932175</v>
      </c>
      <c r="AL18" s="194" t="n">
        <f aca="false">IF(Model!AJ26=0,"",Model!AJ26)</f>
        <v>221743.7335685</v>
      </c>
      <c r="AM18" s="194" t="str">
        <f aca="false">IF(Model!AK26=0,"",Model!AK26)</f>
        <v/>
      </c>
      <c r="AN18" s="194" t="str">
        <f aca="false">IF(Model!AL26=0,"",Model!AL26)</f>
        <v/>
      </c>
      <c r="AO18" s="194" t="str">
        <f aca="false">IF(Model!AM26=0,"",Model!AM26)</f>
        <v/>
      </c>
      <c r="AP18" s="194" t="str">
        <f aca="false">IF(Model!AN26=0,"",Model!AN26)</f>
        <v/>
      </c>
      <c r="AQ18" s="194" t="str">
        <f aca="false">IF(Model!AO26=0,"",Model!AO26)</f>
        <v/>
      </c>
      <c r="AR18" s="194" t="str">
        <f aca="false">IF(Model!AP26=0,"",Model!AP26)</f>
        <v/>
      </c>
      <c r="AS18" s="194" t="str">
        <f aca="false">IF(Model!AQ26=0,"",Model!AQ26)</f>
        <v/>
      </c>
      <c r="AT18" s="194" t="str">
        <f aca="false">IF(Model!AR26=0,"",Model!AR26)</f>
        <v/>
      </c>
      <c r="AU18" s="194" t="str">
        <f aca="false">IF(Model!AS26=0,"",Model!AS26)</f>
        <v/>
      </c>
      <c r="AV18" s="194" t="str">
        <f aca="false">IF(Model!AT26=0,"",Model!AT26)</f>
        <v/>
      </c>
      <c r="AW18" s="194" t="str">
        <f aca="false">IF(Model!AU26=0,"",Model!AU26)</f>
        <v/>
      </c>
      <c r="AX18" s="194" t="str">
        <f aca="false">IF(Model!AV26=0,"",Model!AV26)</f>
        <v/>
      </c>
      <c r="AY18" s="194" t="str">
        <f aca="false">IF(Model!AW26=0,"",Model!AW26)</f>
        <v/>
      </c>
      <c r="AZ18" s="194" t="str">
        <f aca="false">IF(Model!AX26=0,"",Model!AX26)</f>
        <v/>
      </c>
      <c r="BA18" s="194" t="str">
        <f aca="false">IF(Model!AY26=0,"",Model!AY26)</f>
        <v/>
      </c>
      <c r="BB18" s="194" t="str">
        <f aca="false">IF(Model!AZ26=0,"",Model!AZ26)</f>
        <v/>
      </c>
      <c r="BC18" s="194" t="str">
        <f aca="false">IF(Model!BA26=0,"",Model!BA26)</f>
        <v/>
      </c>
      <c r="BD18" s="194" t="str">
        <f aca="false">IF(Model!BB26=0,"",Model!BB26)</f>
        <v/>
      </c>
      <c r="BE18" s="194" t="str">
        <f aca="false">IF(Model!BC26=0,"",Model!BC26)</f>
        <v/>
      </c>
      <c r="BF18" s="194" t="str">
        <f aca="false">IF(Model!BD26=0,"",Model!BD26)</f>
        <v/>
      </c>
      <c r="BG18" s="194" t="str">
        <f aca="false">IF(Model!BE26=0,"",Model!BE26)</f>
        <v/>
      </c>
      <c r="BH18" s="194" t="str">
        <f aca="false">IF(Model!BF26=0,"",Model!BF26)</f>
        <v/>
      </c>
      <c r="BI18" s="194" t="str">
        <f aca="false">IF(Model!BG26=0,"",Model!BG26)</f>
        <v/>
      </c>
      <c r="BJ18" s="194" t="str">
        <f aca="false">IF(Model!BH26=0,"",Model!BH26)</f>
        <v/>
      </c>
      <c r="BK18" s="194" t="str">
        <f aca="false">IF(Model!BI26=0,"",Model!BI26)</f>
        <v/>
      </c>
      <c r="BL18" s="194" t="str">
        <f aca="false">IF(Model!BJ26=0,"",Model!BJ26)</f>
        <v/>
      </c>
      <c r="BM18" s="194" t="str">
        <f aca="false">IF(Model!BK26=0,"",Model!BK26)</f>
        <v/>
      </c>
      <c r="BN18" s="194" t="str">
        <f aca="false">IF(Model!BL26=0,"",Model!BL26)</f>
        <v/>
      </c>
      <c r="BO18" s="194" t="str">
        <f aca="false">IF(Model!BM26=0,"",Model!BM26)</f>
        <v/>
      </c>
      <c r="BP18" s="194" t="str">
        <f aca="false">IF(Model!BN26=0,"",Model!BN26)</f>
        <v/>
      </c>
      <c r="BQ18" s="194" t="str">
        <f aca="false">IF(Model!BO26=0,"",Model!BO26)</f>
        <v/>
      </c>
      <c r="BR18" s="194" t="str">
        <f aca="false">IF(Model!BP26=0,"",Model!BP26)</f>
        <v/>
      </c>
      <c r="BS18" s="194" t="str">
        <f aca="false">IF(Model!BQ26=0,"",Model!BQ26)</f>
        <v/>
      </c>
      <c r="BT18" s="194" t="str">
        <f aca="false">IF(Model!BR26=0,"",Model!BR26)</f>
        <v/>
      </c>
      <c r="BU18" s="194" t="str">
        <f aca="false">IF(Model!BS26=0,"",Model!BS26)</f>
        <v/>
      </c>
      <c r="BV18" s="194" t="str">
        <f aca="false">IF(Model!BT26=0,"",Model!BT26)</f>
        <v/>
      </c>
      <c r="BW18" s="194" t="str">
        <f aca="false">IF(Model!BU26=0,"",Model!BU26)</f>
        <v/>
      </c>
      <c r="BX18" s="194" t="str">
        <f aca="false">IF(Model!BV26=0,"",Model!BV26)</f>
        <v/>
      </c>
      <c r="BY18" s="194" t="str">
        <f aca="false">IF(Model!BW26=0,"",Model!BW26)</f>
        <v/>
      </c>
      <c r="BZ18" s="194" t="str">
        <f aca="false">IF(Model!BX26=0,"",Model!BX26)</f>
        <v/>
      </c>
      <c r="CA18" s="194" t="str">
        <f aca="false">IF(Model!BY26=0,"",Model!BY26)</f>
        <v/>
      </c>
      <c r="CB18" s="194" t="str">
        <f aca="false">IF(Model!BZ26=0,"",Model!BZ26)</f>
        <v/>
      </c>
      <c r="CC18" s="194" t="str">
        <f aca="false">IF(Model!CA26=0,"",Model!CA26)</f>
        <v/>
      </c>
      <c r="CD18" s="194" t="str">
        <f aca="false">IF(Model!CB26=0,"",Model!CB26)</f>
        <v/>
      </c>
      <c r="CE18" s="194" t="str">
        <f aca="false">IF(Model!CC26=0,"",Model!CC26)</f>
        <v/>
      </c>
      <c r="CF18" s="194" t="str">
        <f aca="false">IF(Model!CD26=0,"",Model!CD26)</f>
        <v/>
      </c>
      <c r="CG18" s="194" t="str">
        <f aca="false">IF(Model!CE26=0,"",Model!CE26)</f>
        <v/>
      </c>
      <c r="CH18" s="194" t="str">
        <f aca="false">IF(Model!CF26=0,"",Model!CF26)</f>
        <v/>
      </c>
      <c r="CI18" s="194" t="str">
        <f aca="false">IF(Model!CG26=0,"",Model!CG26)</f>
        <v/>
      </c>
      <c r="CJ18" s="194" t="str">
        <f aca="false">IF(Model!CH26=0,"",Model!CH26)</f>
        <v/>
      </c>
      <c r="CK18" s="194" t="str">
        <f aca="false">IF(Model!CI26=0,"",Model!CI26)</f>
        <v/>
      </c>
      <c r="CL18" s="194" t="str">
        <f aca="false">IF(Model!CJ26=0,"",Model!CJ26)</f>
        <v/>
      </c>
      <c r="CM18" s="194" t="str">
        <f aca="false">IF(Model!CK26=0,"",Model!CK26)</f>
        <v/>
      </c>
      <c r="CN18" s="194" t="str">
        <f aca="false">IF(Model!CL26=0,"",Model!CL26)</f>
        <v/>
      </c>
      <c r="CO18" s="194" t="str">
        <f aca="false">IF(Model!CM26=0,"",Model!CM26)</f>
        <v/>
      </c>
      <c r="CP18" s="194" t="str">
        <f aca="false">IF(Model!CN26=0,"",Model!CN26)</f>
        <v/>
      </c>
      <c r="CQ18" s="194" t="str">
        <f aca="false">IF(Model!CO26=0,"",Model!CO26)</f>
        <v/>
      </c>
      <c r="CR18" s="194" t="str">
        <f aca="false">IF(Model!CP26=0,"",Model!CP26)</f>
        <v/>
      </c>
      <c r="CS18" s="194" t="str">
        <f aca="false">IF(Model!CQ26=0,"",Model!CQ26)</f>
        <v/>
      </c>
      <c r="CT18" s="194" t="str">
        <f aca="false">IF(Model!CR26=0,"",Model!CR26)</f>
        <v/>
      </c>
      <c r="CU18" s="194" t="str">
        <f aca="false">IF(Model!CS26=0,"",Model!CS26)</f>
        <v/>
      </c>
      <c r="CV18" s="194" t="str">
        <f aca="false">IF(Model!CT26=0,"",Model!CT26)</f>
        <v/>
      </c>
      <c r="CW18" s="194" t="str">
        <f aca="false">IF(Model!CU26=0,"",Model!CU26)</f>
        <v/>
      </c>
      <c r="CX18" s="194" t="str">
        <f aca="false">IF(Model!CV26=0,"",Model!CV26)</f>
        <v/>
      </c>
      <c r="CY18" s="194" t="str">
        <f aca="false">IF(Model!CW26=0,"",Model!CW26)</f>
        <v/>
      </c>
      <c r="CZ18" s="194" t="str">
        <f aca="false">IF(Model!CX26=0,"",Model!CX26)</f>
        <v/>
      </c>
      <c r="DA18" s="194" t="str">
        <f aca="false">IF(Model!CY26=0,"",Model!CY26)</f>
        <v/>
      </c>
      <c r="DB18" s="194" t="str">
        <f aca="false">IF(Model!CZ26=0,"",Model!CZ26)</f>
        <v/>
      </c>
    </row>
    <row r="19" customFormat="false" ht="15" hidden="false" customHeight="true" outlineLevel="0" collapsed="false">
      <c r="A19" s="125" t="s">
        <v>21</v>
      </c>
      <c r="B19" s="191" t="n">
        <f aca="false">Projects!$B$18</f>
        <v>11317385</v>
      </c>
      <c r="C19" s="192" t="n">
        <f aca="false">EDATE(Model!$E$2,Projects!$C$18-1)</f>
        <v>46539</v>
      </c>
      <c r="D19" s="192" t="n">
        <f aca="false">EDATE(Model!$E$2,Projects!$C$18+Projects!$D$18-2)</f>
        <v>47088</v>
      </c>
      <c r="E19" s="193" t="n">
        <f aca="false">Projects!$D$18</f>
        <v>19</v>
      </c>
      <c r="F19" s="191" t="n">
        <f aca="false">SUM(G19:DB19)</f>
        <v>9954873.702465</v>
      </c>
      <c r="G19" s="194" t="str">
        <f aca="false">IF(Model!E27=0,"",Model!E27)</f>
        <v/>
      </c>
      <c r="H19" s="194" t="str">
        <f aca="false">IF(Model!F27=0,"",Model!F27)</f>
        <v/>
      </c>
      <c r="I19" s="194" t="str">
        <f aca="false">IF(Model!G27=0,"",Model!G27)</f>
        <v/>
      </c>
      <c r="J19" s="194" t="str">
        <f aca="false">IF(Model!H27=0,"",Model!H27)</f>
        <v/>
      </c>
      <c r="K19" s="194" t="str">
        <f aca="false">IF(Model!I27=0,"",Model!I27)</f>
        <v/>
      </c>
      <c r="L19" s="194" t="str">
        <f aca="false">IF(Model!J27=0,"",Model!J27)</f>
        <v/>
      </c>
      <c r="M19" s="194" t="str">
        <f aca="false">IF(Model!K27=0,"",Model!K27)</f>
        <v/>
      </c>
      <c r="N19" s="194" t="str">
        <f aca="false">IF(Model!L27=0,"",Model!L27)</f>
        <v/>
      </c>
      <c r="O19" s="194" t="str">
        <f aca="false">IF(Model!M27=0,"",Model!M27)</f>
        <v/>
      </c>
      <c r="P19" s="194" t="str">
        <f aca="false">IF(Model!N27=0,"",Model!N27)</f>
        <v/>
      </c>
      <c r="Q19" s="194" t="str">
        <f aca="false">IF(Model!O27=0,"",Model!O27)</f>
        <v/>
      </c>
      <c r="R19" s="194" t="str">
        <f aca="false">IF(Model!P27=0,"",Model!P27)</f>
        <v/>
      </c>
      <c r="S19" s="194" t="str">
        <f aca="false">IF(Model!Q27=0,"",Model!Q27)</f>
        <v/>
      </c>
      <c r="T19" s="194" t="str">
        <f aca="false">IF(Model!R27=0,"",Model!R27)</f>
        <v/>
      </c>
      <c r="U19" s="194" t="n">
        <f aca="false">IF(Model!S27=0,"",Model!S27)</f>
        <v>231977.53316825</v>
      </c>
      <c r="V19" s="194" t="n">
        <f aca="false">IF(Model!T27=0,"",Model!T27)</f>
        <v>302643.28510825</v>
      </c>
      <c r="W19" s="194" t="n">
        <f aca="false">IF(Model!U27=0,"",Model!U27)</f>
        <v>378707.42969325</v>
      </c>
      <c r="X19" s="194" t="n">
        <f aca="false">IF(Model!V27=0,"",Model!V27)</f>
        <v>457136.90774325</v>
      </c>
      <c r="Y19" s="194" t="n">
        <f aca="false">IF(Model!W27=0,"",Model!W27)</f>
        <v>534163.03005325</v>
      </c>
      <c r="Z19" s="194" t="n">
        <f aca="false">IF(Model!X27=0,"",Model!X27)</f>
        <v>605507.82509325</v>
      </c>
      <c r="AA19" s="194" t="n">
        <f aca="false">IF(Model!Y27=0,"",Model!Y27)</f>
        <v>666791.46486825</v>
      </c>
      <c r="AB19" s="194" t="n">
        <f aca="false">IF(Model!Z27=0,"",Model!Z27)</f>
        <v>713951.00816325</v>
      </c>
      <c r="AC19" s="194" t="n">
        <f aca="false">IF(Model!AA27=0,"",Model!AA27)</f>
        <v>743693.09594325</v>
      </c>
      <c r="AD19" s="194" t="n">
        <f aca="false">IF(Model!AB27=0,"",Model!AB27)</f>
        <v>753856.10767325</v>
      </c>
      <c r="AE19" s="194" t="n">
        <f aca="false">IF(Model!AC27=0,"",Model!AC27)</f>
        <v>743693.09594325</v>
      </c>
      <c r="AF19" s="194" t="n">
        <f aca="false">IF(Model!AD27=0,"",Model!AD27)</f>
        <v>713951.00816325</v>
      </c>
      <c r="AG19" s="194" t="n">
        <f aca="false">IF(Model!AE27=0,"",Model!AE27)</f>
        <v>666791.46486825</v>
      </c>
      <c r="AH19" s="194" t="n">
        <f aca="false">IF(Model!AF27=0,"",Model!AF27)</f>
        <v>605507.82509325</v>
      </c>
      <c r="AI19" s="194" t="n">
        <f aca="false">IF(Model!AG27=0,"",Model!AG27)</f>
        <v>534163.03005325</v>
      </c>
      <c r="AJ19" s="194" t="n">
        <f aca="false">IF(Model!AH27=0,"",Model!AH27)</f>
        <v>457136.90774325</v>
      </c>
      <c r="AK19" s="194" t="n">
        <f aca="false">IF(Model!AI27=0,"",Model!AI27)</f>
        <v>378707.42969325</v>
      </c>
      <c r="AL19" s="194" t="n">
        <f aca="false">IF(Model!AJ27=0,"",Model!AJ27)</f>
        <v>302643.28510825</v>
      </c>
      <c r="AM19" s="194" t="n">
        <f aca="false">IF(Model!AK27=0,"",Model!AK27)</f>
        <v>163851.9682915</v>
      </c>
      <c r="AN19" s="194" t="str">
        <f aca="false">IF(Model!AL27=0,"",Model!AL27)</f>
        <v/>
      </c>
      <c r="AO19" s="194" t="str">
        <f aca="false">IF(Model!AM27=0,"",Model!AM27)</f>
        <v/>
      </c>
      <c r="AP19" s="194" t="str">
        <f aca="false">IF(Model!AN27=0,"",Model!AN27)</f>
        <v/>
      </c>
      <c r="AQ19" s="194" t="str">
        <f aca="false">IF(Model!AO27=0,"",Model!AO27)</f>
        <v/>
      </c>
      <c r="AR19" s="194" t="str">
        <f aca="false">IF(Model!AP27=0,"",Model!AP27)</f>
        <v/>
      </c>
      <c r="AS19" s="194" t="str">
        <f aca="false">IF(Model!AQ27=0,"",Model!AQ27)</f>
        <v/>
      </c>
      <c r="AT19" s="194" t="str">
        <f aca="false">IF(Model!AR27=0,"",Model!AR27)</f>
        <v/>
      </c>
      <c r="AU19" s="194" t="str">
        <f aca="false">IF(Model!AS27=0,"",Model!AS27)</f>
        <v/>
      </c>
      <c r="AV19" s="194" t="str">
        <f aca="false">IF(Model!AT27=0,"",Model!AT27)</f>
        <v/>
      </c>
      <c r="AW19" s="194" t="str">
        <f aca="false">IF(Model!AU27=0,"",Model!AU27)</f>
        <v/>
      </c>
      <c r="AX19" s="194" t="str">
        <f aca="false">IF(Model!AV27=0,"",Model!AV27)</f>
        <v/>
      </c>
      <c r="AY19" s="194" t="str">
        <f aca="false">IF(Model!AW27=0,"",Model!AW27)</f>
        <v/>
      </c>
      <c r="AZ19" s="194" t="str">
        <f aca="false">IF(Model!AX27=0,"",Model!AX27)</f>
        <v/>
      </c>
      <c r="BA19" s="194" t="str">
        <f aca="false">IF(Model!AY27=0,"",Model!AY27)</f>
        <v/>
      </c>
      <c r="BB19" s="194" t="str">
        <f aca="false">IF(Model!AZ27=0,"",Model!AZ27)</f>
        <v/>
      </c>
      <c r="BC19" s="194" t="str">
        <f aca="false">IF(Model!BA27=0,"",Model!BA27)</f>
        <v/>
      </c>
      <c r="BD19" s="194" t="str">
        <f aca="false">IF(Model!BB27=0,"",Model!BB27)</f>
        <v/>
      </c>
      <c r="BE19" s="194" t="str">
        <f aca="false">IF(Model!BC27=0,"",Model!BC27)</f>
        <v/>
      </c>
      <c r="BF19" s="194" t="str">
        <f aca="false">IF(Model!BD27=0,"",Model!BD27)</f>
        <v/>
      </c>
      <c r="BG19" s="194" t="str">
        <f aca="false">IF(Model!BE27=0,"",Model!BE27)</f>
        <v/>
      </c>
      <c r="BH19" s="194" t="str">
        <f aca="false">IF(Model!BF27=0,"",Model!BF27)</f>
        <v/>
      </c>
      <c r="BI19" s="194" t="str">
        <f aca="false">IF(Model!BG27=0,"",Model!BG27)</f>
        <v/>
      </c>
      <c r="BJ19" s="194" t="str">
        <f aca="false">IF(Model!BH27=0,"",Model!BH27)</f>
        <v/>
      </c>
      <c r="BK19" s="194" t="str">
        <f aca="false">IF(Model!BI27=0,"",Model!BI27)</f>
        <v/>
      </c>
      <c r="BL19" s="194" t="str">
        <f aca="false">IF(Model!BJ27=0,"",Model!BJ27)</f>
        <v/>
      </c>
      <c r="BM19" s="194" t="str">
        <f aca="false">IF(Model!BK27=0,"",Model!BK27)</f>
        <v/>
      </c>
      <c r="BN19" s="194" t="str">
        <f aca="false">IF(Model!BL27=0,"",Model!BL27)</f>
        <v/>
      </c>
      <c r="BO19" s="194" t="str">
        <f aca="false">IF(Model!BM27=0,"",Model!BM27)</f>
        <v/>
      </c>
      <c r="BP19" s="194" t="str">
        <f aca="false">IF(Model!BN27=0,"",Model!BN27)</f>
        <v/>
      </c>
      <c r="BQ19" s="194" t="str">
        <f aca="false">IF(Model!BO27=0,"",Model!BO27)</f>
        <v/>
      </c>
      <c r="BR19" s="194" t="str">
        <f aca="false">IF(Model!BP27=0,"",Model!BP27)</f>
        <v/>
      </c>
      <c r="BS19" s="194" t="str">
        <f aca="false">IF(Model!BQ27=0,"",Model!BQ27)</f>
        <v/>
      </c>
      <c r="BT19" s="194" t="str">
        <f aca="false">IF(Model!BR27=0,"",Model!BR27)</f>
        <v/>
      </c>
      <c r="BU19" s="194" t="str">
        <f aca="false">IF(Model!BS27=0,"",Model!BS27)</f>
        <v/>
      </c>
      <c r="BV19" s="194" t="str">
        <f aca="false">IF(Model!BT27=0,"",Model!BT27)</f>
        <v/>
      </c>
      <c r="BW19" s="194" t="str">
        <f aca="false">IF(Model!BU27=0,"",Model!BU27)</f>
        <v/>
      </c>
      <c r="BX19" s="194" t="str">
        <f aca="false">IF(Model!BV27=0,"",Model!BV27)</f>
        <v/>
      </c>
      <c r="BY19" s="194" t="str">
        <f aca="false">IF(Model!BW27=0,"",Model!BW27)</f>
        <v/>
      </c>
      <c r="BZ19" s="194" t="str">
        <f aca="false">IF(Model!BX27=0,"",Model!BX27)</f>
        <v/>
      </c>
      <c r="CA19" s="194" t="str">
        <f aca="false">IF(Model!BY27=0,"",Model!BY27)</f>
        <v/>
      </c>
      <c r="CB19" s="194" t="str">
        <f aca="false">IF(Model!BZ27=0,"",Model!BZ27)</f>
        <v/>
      </c>
      <c r="CC19" s="194" t="str">
        <f aca="false">IF(Model!CA27=0,"",Model!CA27)</f>
        <v/>
      </c>
      <c r="CD19" s="194" t="str">
        <f aca="false">IF(Model!CB27=0,"",Model!CB27)</f>
        <v/>
      </c>
      <c r="CE19" s="194" t="str">
        <f aca="false">IF(Model!CC27=0,"",Model!CC27)</f>
        <v/>
      </c>
      <c r="CF19" s="194" t="str">
        <f aca="false">IF(Model!CD27=0,"",Model!CD27)</f>
        <v/>
      </c>
      <c r="CG19" s="194" t="str">
        <f aca="false">IF(Model!CE27=0,"",Model!CE27)</f>
        <v/>
      </c>
      <c r="CH19" s="194" t="str">
        <f aca="false">IF(Model!CF27=0,"",Model!CF27)</f>
        <v/>
      </c>
      <c r="CI19" s="194" t="str">
        <f aca="false">IF(Model!CG27=0,"",Model!CG27)</f>
        <v/>
      </c>
      <c r="CJ19" s="194" t="str">
        <f aca="false">IF(Model!CH27=0,"",Model!CH27)</f>
        <v/>
      </c>
      <c r="CK19" s="194" t="str">
        <f aca="false">IF(Model!CI27=0,"",Model!CI27)</f>
        <v/>
      </c>
      <c r="CL19" s="194" t="str">
        <f aca="false">IF(Model!CJ27=0,"",Model!CJ27)</f>
        <v/>
      </c>
      <c r="CM19" s="194" t="str">
        <f aca="false">IF(Model!CK27=0,"",Model!CK27)</f>
        <v/>
      </c>
      <c r="CN19" s="194" t="str">
        <f aca="false">IF(Model!CL27=0,"",Model!CL27)</f>
        <v/>
      </c>
      <c r="CO19" s="194" t="str">
        <f aca="false">IF(Model!CM27=0,"",Model!CM27)</f>
        <v/>
      </c>
      <c r="CP19" s="194" t="str">
        <f aca="false">IF(Model!CN27=0,"",Model!CN27)</f>
        <v/>
      </c>
      <c r="CQ19" s="194" t="str">
        <f aca="false">IF(Model!CO27=0,"",Model!CO27)</f>
        <v/>
      </c>
      <c r="CR19" s="194" t="str">
        <f aca="false">IF(Model!CP27=0,"",Model!CP27)</f>
        <v/>
      </c>
      <c r="CS19" s="194" t="str">
        <f aca="false">IF(Model!CQ27=0,"",Model!CQ27)</f>
        <v/>
      </c>
      <c r="CT19" s="194" t="str">
        <f aca="false">IF(Model!CR27=0,"",Model!CR27)</f>
        <v/>
      </c>
      <c r="CU19" s="194" t="str">
        <f aca="false">IF(Model!CS27=0,"",Model!CS27)</f>
        <v/>
      </c>
      <c r="CV19" s="194" t="str">
        <f aca="false">IF(Model!CT27=0,"",Model!CT27)</f>
        <v/>
      </c>
      <c r="CW19" s="194" t="str">
        <f aca="false">IF(Model!CU27=0,"",Model!CU27)</f>
        <v/>
      </c>
      <c r="CX19" s="194" t="str">
        <f aca="false">IF(Model!CV27=0,"",Model!CV27)</f>
        <v/>
      </c>
      <c r="CY19" s="194" t="str">
        <f aca="false">IF(Model!CW27=0,"",Model!CW27)</f>
        <v/>
      </c>
      <c r="CZ19" s="194" t="str">
        <f aca="false">IF(Model!CX27=0,"",Model!CX27)</f>
        <v/>
      </c>
      <c r="DA19" s="194" t="str">
        <f aca="false">IF(Model!CY27=0,"",Model!CY27)</f>
        <v/>
      </c>
      <c r="DB19" s="194" t="str">
        <f aca="false">IF(Model!CZ27=0,"",Model!CZ27)</f>
        <v/>
      </c>
    </row>
    <row r="20" customFormat="false" ht="15" hidden="false" customHeight="true" outlineLevel="0" collapsed="false">
      <c r="A20" s="125" t="s">
        <v>22</v>
      </c>
      <c r="B20" s="191" t="n">
        <f aca="false">Projects!$B$19</f>
        <v>18442769</v>
      </c>
      <c r="C20" s="192" t="n">
        <f aca="false">EDATE(Model!$E$2,Projects!$C$19-1)</f>
        <v>46569</v>
      </c>
      <c r="D20" s="192" t="n">
        <f aca="false">EDATE(Model!$E$2,Projects!$C$19+Projects!$D$19-2)</f>
        <v>47119</v>
      </c>
      <c r="E20" s="193" t="n">
        <f aca="false">Projects!$D$19</f>
        <v>19</v>
      </c>
      <c r="F20" s="191" t="n">
        <f aca="false">SUM(G20:DB20)</f>
        <v>16222425.597321</v>
      </c>
      <c r="G20" s="194" t="str">
        <f aca="false">IF(Model!E28=0,"",Model!E28)</f>
        <v/>
      </c>
      <c r="H20" s="194" t="str">
        <f aca="false">IF(Model!F28=0,"",Model!F28)</f>
        <v/>
      </c>
      <c r="I20" s="194" t="str">
        <f aca="false">IF(Model!G28=0,"",Model!G28)</f>
        <v/>
      </c>
      <c r="J20" s="194" t="str">
        <f aca="false">IF(Model!H28=0,"",Model!H28)</f>
        <v/>
      </c>
      <c r="K20" s="194" t="str">
        <f aca="false">IF(Model!I28=0,"",Model!I28)</f>
        <v/>
      </c>
      <c r="L20" s="194" t="str">
        <f aca="false">IF(Model!J28=0,"",Model!J28)</f>
        <v/>
      </c>
      <c r="M20" s="194" t="str">
        <f aca="false">IF(Model!K28=0,"",Model!K28)</f>
        <v/>
      </c>
      <c r="N20" s="194" t="str">
        <f aca="false">IF(Model!L28=0,"",Model!L28)</f>
        <v/>
      </c>
      <c r="O20" s="194" t="str">
        <f aca="false">IF(Model!M28=0,"",Model!M28)</f>
        <v/>
      </c>
      <c r="P20" s="194" t="str">
        <f aca="false">IF(Model!N28=0,"",Model!N28)</f>
        <v/>
      </c>
      <c r="Q20" s="194" t="str">
        <f aca="false">IF(Model!O28=0,"",Model!O28)</f>
        <v/>
      </c>
      <c r="R20" s="194" t="str">
        <f aca="false">IF(Model!P28=0,"",Model!P28)</f>
        <v/>
      </c>
      <c r="S20" s="194" t="str">
        <f aca="false">IF(Model!Q28=0,"",Model!Q28)</f>
        <v/>
      </c>
      <c r="T20" s="194" t="str">
        <f aca="false">IF(Model!R28=0,"",Model!R28)</f>
        <v/>
      </c>
      <c r="U20" s="194" t="str">
        <f aca="false">IF(Model!S28=0,"",Model!S28)</f>
        <v/>
      </c>
      <c r="V20" s="194" t="n">
        <f aca="false">IF(Model!T28=0,"",Model!T28)</f>
        <v>378029.73543905</v>
      </c>
      <c r="W20" s="194" t="n">
        <f aca="false">IF(Model!U28=0,"",Model!U28)</f>
        <v>493186.38507505</v>
      </c>
      <c r="X20" s="194" t="n">
        <f aca="false">IF(Model!V28=0,"",Model!V28)</f>
        <v>617140.23552405</v>
      </c>
      <c r="Y20" s="194" t="n">
        <f aca="false">IF(Model!W28=0,"",Model!W28)</f>
        <v>744948.62469405</v>
      </c>
      <c r="Z20" s="194" t="n">
        <f aca="false">IF(Model!X28=0,"",Model!X28)</f>
        <v>870470.11050805</v>
      </c>
      <c r="AA20" s="194" t="n">
        <f aca="false">IF(Model!Y28=0,"",Model!Y28)</f>
        <v>986733.32628405</v>
      </c>
      <c r="AB20" s="194" t="n">
        <f aca="false">IF(Model!Z28=0,"",Model!Z28)</f>
        <v>1086600.92041905</v>
      </c>
      <c r="AC20" s="194" t="n">
        <f aca="false">IF(Model!AA28=0,"",Model!AA28)</f>
        <v>1163451.93884205</v>
      </c>
      <c r="AD20" s="194" t="n">
        <f aca="false">IF(Model!AB28=0,"",Model!AB28)</f>
        <v>1211919.53577405</v>
      </c>
      <c r="AE20" s="194" t="n">
        <f aca="false">IF(Model!AC28=0,"",Model!AC28)</f>
        <v>1228481.14233605</v>
      </c>
      <c r="AF20" s="194" t="n">
        <f aca="false">IF(Model!AD28=0,"",Model!AD28)</f>
        <v>1211919.53577405</v>
      </c>
      <c r="AG20" s="194" t="n">
        <f aca="false">IF(Model!AE28=0,"",Model!AE28)</f>
        <v>1163451.93884205</v>
      </c>
      <c r="AH20" s="194" t="n">
        <f aca="false">IF(Model!AF28=0,"",Model!AF28)</f>
        <v>1086600.92041905</v>
      </c>
      <c r="AI20" s="194" t="n">
        <f aca="false">IF(Model!AG28=0,"",Model!AG28)</f>
        <v>986733.32628405</v>
      </c>
      <c r="AJ20" s="194" t="n">
        <f aca="false">IF(Model!AH28=0,"",Model!AH28)</f>
        <v>870470.11050805</v>
      </c>
      <c r="AK20" s="194" t="n">
        <f aca="false">IF(Model!AI28=0,"",Model!AI28)</f>
        <v>744948.62469405</v>
      </c>
      <c r="AL20" s="194" t="n">
        <f aca="false">IF(Model!AJ28=0,"",Model!AJ28)</f>
        <v>617140.23552405</v>
      </c>
      <c r="AM20" s="194" t="n">
        <f aca="false">IF(Model!AK28=0,"",Model!AK28)</f>
        <v>493186.38507505</v>
      </c>
      <c r="AN20" s="194" t="n">
        <f aca="false">IF(Model!AL28=0,"",Model!AL28)</f>
        <v>267012.5653051</v>
      </c>
      <c r="AO20" s="194" t="str">
        <f aca="false">IF(Model!AM28=0,"",Model!AM28)</f>
        <v/>
      </c>
      <c r="AP20" s="194" t="str">
        <f aca="false">IF(Model!AN28=0,"",Model!AN28)</f>
        <v/>
      </c>
      <c r="AQ20" s="194" t="str">
        <f aca="false">IF(Model!AO28=0,"",Model!AO28)</f>
        <v/>
      </c>
      <c r="AR20" s="194" t="str">
        <f aca="false">IF(Model!AP28=0,"",Model!AP28)</f>
        <v/>
      </c>
      <c r="AS20" s="194" t="str">
        <f aca="false">IF(Model!AQ28=0,"",Model!AQ28)</f>
        <v/>
      </c>
      <c r="AT20" s="194" t="str">
        <f aca="false">IF(Model!AR28=0,"",Model!AR28)</f>
        <v/>
      </c>
      <c r="AU20" s="194" t="str">
        <f aca="false">IF(Model!AS28=0,"",Model!AS28)</f>
        <v/>
      </c>
      <c r="AV20" s="194" t="str">
        <f aca="false">IF(Model!AT28=0,"",Model!AT28)</f>
        <v/>
      </c>
      <c r="AW20" s="194" t="str">
        <f aca="false">IF(Model!AU28=0,"",Model!AU28)</f>
        <v/>
      </c>
      <c r="AX20" s="194" t="str">
        <f aca="false">IF(Model!AV28=0,"",Model!AV28)</f>
        <v/>
      </c>
      <c r="AY20" s="194" t="str">
        <f aca="false">IF(Model!AW28=0,"",Model!AW28)</f>
        <v/>
      </c>
      <c r="AZ20" s="194" t="str">
        <f aca="false">IF(Model!AX28=0,"",Model!AX28)</f>
        <v/>
      </c>
      <c r="BA20" s="194" t="str">
        <f aca="false">IF(Model!AY28=0,"",Model!AY28)</f>
        <v/>
      </c>
      <c r="BB20" s="194" t="str">
        <f aca="false">IF(Model!AZ28=0,"",Model!AZ28)</f>
        <v/>
      </c>
      <c r="BC20" s="194" t="str">
        <f aca="false">IF(Model!BA28=0,"",Model!BA28)</f>
        <v/>
      </c>
      <c r="BD20" s="194" t="str">
        <f aca="false">IF(Model!BB28=0,"",Model!BB28)</f>
        <v/>
      </c>
      <c r="BE20" s="194" t="str">
        <f aca="false">IF(Model!BC28=0,"",Model!BC28)</f>
        <v/>
      </c>
      <c r="BF20" s="194" t="str">
        <f aca="false">IF(Model!BD28=0,"",Model!BD28)</f>
        <v/>
      </c>
      <c r="BG20" s="194" t="str">
        <f aca="false">IF(Model!BE28=0,"",Model!BE28)</f>
        <v/>
      </c>
      <c r="BH20" s="194" t="str">
        <f aca="false">IF(Model!BF28=0,"",Model!BF28)</f>
        <v/>
      </c>
      <c r="BI20" s="194" t="str">
        <f aca="false">IF(Model!BG28=0,"",Model!BG28)</f>
        <v/>
      </c>
      <c r="BJ20" s="194" t="str">
        <f aca="false">IF(Model!BH28=0,"",Model!BH28)</f>
        <v/>
      </c>
      <c r="BK20" s="194" t="str">
        <f aca="false">IF(Model!BI28=0,"",Model!BI28)</f>
        <v/>
      </c>
      <c r="BL20" s="194" t="str">
        <f aca="false">IF(Model!BJ28=0,"",Model!BJ28)</f>
        <v/>
      </c>
      <c r="BM20" s="194" t="str">
        <f aca="false">IF(Model!BK28=0,"",Model!BK28)</f>
        <v/>
      </c>
      <c r="BN20" s="194" t="str">
        <f aca="false">IF(Model!BL28=0,"",Model!BL28)</f>
        <v/>
      </c>
      <c r="BO20" s="194" t="str">
        <f aca="false">IF(Model!BM28=0,"",Model!BM28)</f>
        <v/>
      </c>
      <c r="BP20" s="194" t="str">
        <f aca="false">IF(Model!BN28=0,"",Model!BN28)</f>
        <v/>
      </c>
      <c r="BQ20" s="194" t="str">
        <f aca="false">IF(Model!BO28=0,"",Model!BO28)</f>
        <v/>
      </c>
      <c r="BR20" s="194" t="str">
        <f aca="false">IF(Model!BP28=0,"",Model!BP28)</f>
        <v/>
      </c>
      <c r="BS20" s="194" t="str">
        <f aca="false">IF(Model!BQ28=0,"",Model!BQ28)</f>
        <v/>
      </c>
      <c r="BT20" s="194" t="str">
        <f aca="false">IF(Model!BR28=0,"",Model!BR28)</f>
        <v/>
      </c>
      <c r="BU20" s="194" t="str">
        <f aca="false">IF(Model!BS28=0,"",Model!BS28)</f>
        <v/>
      </c>
      <c r="BV20" s="194" t="str">
        <f aca="false">IF(Model!BT28=0,"",Model!BT28)</f>
        <v/>
      </c>
      <c r="BW20" s="194" t="str">
        <f aca="false">IF(Model!BU28=0,"",Model!BU28)</f>
        <v/>
      </c>
      <c r="BX20" s="194" t="str">
        <f aca="false">IF(Model!BV28=0,"",Model!BV28)</f>
        <v/>
      </c>
      <c r="BY20" s="194" t="str">
        <f aca="false">IF(Model!BW28=0,"",Model!BW28)</f>
        <v/>
      </c>
      <c r="BZ20" s="194" t="str">
        <f aca="false">IF(Model!BX28=0,"",Model!BX28)</f>
        <v/>
      </c>
      <c r="CA20" s="194" t="str">
        <f aca="false">IF(Model!BY28=0,"",Model!BY28)</f>
        <v/>
      </c>
      <c r="CB20" s="194" t="str">
        <f aca="false">IF(Model!BZ28=0,"",Model!BZ28)</f>
        <v/>
      </c>
      <c r="CC20" s="194" t="str">
        <f aca="false">IF(Model!CA28=0,"",Model!CA28)</f>
        <v/>
      </c>
      <c r="CD20" s="194" t="str">
        <f aca="false">IF(Model!CB28=0,"",Model!CB28)</f>
        <v/>
      </c>
      <c r="CE20" s="194" t="str">
        <f aca="false">IF(Model!CC28=0,"",Model!CC28)</f>
        <v/>
      </c>
      <c r="CF20" s="194" t="str">
        <f aca="false">IF(Model!CD28=0,"",Model!CD28)</f>
        <v/>
      </c>
      <c r="CG20" s="194" t="str">
        <f aca="false">IF(Model!CE28=0,"",Model!CE28)</f>
        <v/>
      </c>
      <c r="CH20" s="194" t="str">
        <f aca="false">IF(Model!CF28=0,"",Model!CF28)</f>
        <v/>
      </c>
      <c r="CI20" s="194" t="str">
        <f aca="false">IF(Model!CG28=0,"",Model!CG28)</f>
        <v/>
      </c>
      <c r="CJ20" s="194" t="str">
        <f aca="false">IF(Model!CH28=0,"",Model!CH28)</f>
        <v/>
      </c>
      <c r="CK20" s="194" t="str">
        <f aca="false">IF(Model!CI28=0,"",Model!CI28)</f>
        <v/>
      </c>
      <c r="CL20" s="194" t="str">
        <f aca="false">IF(Model!CJ28=0,"",Model!CJ28)</f>
        <v/>
      </c>
      <c r="CM20" s="194" t="str">
        <f aca="false">IF(Model!CK28=0,"",Model!CK28)</f>
        <v/>
      </c>
      <c r="CN20" s="194" t="str">
        <f aca="false">IF(Model!CL28=0,"",Model!CL28)</f>
        <v/>
      </c>
      <c r="CO20" s="194" t="str">
        <f aca="false">IF(Model!CM28=0,"",Model!CM28)</f>
        <v/>
      </c>
      <c r="CP20" s="194" t="str">
        <f aca="false">IF(Model!CN28=0,"",Model!CN28)</f>
        <v/>
      </c>
      <c r="CQ20" s="194" t="str">
        <f aca="false">IF(Model!CO28=0,"",Model!CO28)</f>
        <v/>
      </c>
      <c r="CR20" s="194" t="str">
        <f aca="false">IF(Model!CP28=0,"",Model!CP28)</f>
        <v/>
      </c>
      <c r="CS20" s="194" t="str">
        <f aca="false">IF(Model!CQ28=0,"",Model!CQ28)</f>
        <v/>
      </c>
      <c r="CT20" s="194" t="str">
        <f aca="false">IF(Model!CR28=0,"",Model!CR28)</f>
        <v/>
      </c>
      <c r="CU20" s="194" t="str">
        <f aca="false">IF(Model!CS28=0,"",Model!CS28)</f>
        <v/>
      </c>
      <c r="CV20" s="194" t="str">
        <f aca="false">IF(Model!CT28=0,"",Model!CT28)</f>
        <v/>
      </c>
      <c r="CW20" s="194" t="str">
        <f aca="false">IF(Model!CU28=0,"",Model!CU28)</f>
        <v/>
      </c>
      <c r="CX20" s="194" t="str">
        <f aca="false">IF(Model!CV28=0,"",Model!CV28)</f>
        <v/>
      </c>
      <c r="CY20" s="194" t="str">
        <f aca="false">IF(Model!CW28=0,"",Model!CW28)</f>
        <v/>
      </c>
      <c r="CZ20" s="194" t="str">
        <f aca="false">IF(Model!CX28=0,"",Model!CX28)</f>
        <v/>
      </c>
      <c r="DA20" s="194" t="str">
        <f aca="false">IF(Model!CY28=0,"",Model!CY28)</f>
        <v/>
      </c>
      <c r="DB20" s="194" t="str">
        <f aca="false">IF(Model!CZ28=0,"",Model!CZ28)</f>
        <v/>
      </c>
    </row>
    <row r="21" customFormat="false" ht="15" hidden="false" customHeight="true" outlineLevel="0" collapsed="false">
      <c r="A21" s="94" t="s">
        <v>586</v>
      </c>
      <c r="G21" s="195" t="n">
        <f aca="false">SUM(G7:G20)+SUM(G24:G27)</f>
        <v>3312759.91</v>
      </c>
      <c r="H21" s="195" t="n">
        <f aca="false">SUM(H7:H20)+SUM(H24:H27)</f>
        <v>3939278.23</v>
      </c>
      <c r="I21" s="195" t="n">
        <f aca="false">SUM(I7:I20)+SUM(I24:I27)</f>
        <v>5584522.73</v>
      </c>
      <c r="J21" s="195" t="n">
        <f aca="false">SUM(J7:J20)+SUM(J24:J27)</f>
        <v>6409057.07</v>
      </c>
      <c r="K21" s="195" t="n">
        <f aca="false">SUM(K7:K20)+SUM(K24:K27)</f>
        <v>5304128.59</v>
      </c>
      <c r="L21" s="195" t="n">
        <f aca="false">SUM(L7:L20)+SUM(L24:L27)</f>
        <v>5120266.58613186</v>
      </c>
      <c r="M21" s="195" t="n">
        <f aca="false">SUM(M7:M20)+SUM(M24:M27)</f>
        <v>5314638.36576529</v>
      </c>
      <c r="N21" s="195" t="n">
        <f aca="false">SUM(N7:N20)+SUM(N24:N27)</f>
        <v>4584134.97988837</v>
      </c>
      <c r="O21" s="195" t="n">
        <f aca="false">SUM(O7:O20)+SUM(O24:O27)</f>
        <v>4551163.93984795</v>
      </c>
      <c r="P21" s="195" t="n">
        <f aca="false">SUM(P7:P20)+SUM(P24:P27)</f>
        <v>5652213.83488249</v>
      </c>
      <c r="Q21" s="195" t="n">
        <f aca="false">SUM(Q7:Q20)+SUM(Q24:Q27)</f>
        <v>5678924.56676773</v>
      </c>
      <c r="R21" s="195" t="n">
        <f aca="false">SUM(R7:R20)+SUM(R24:R27)</f>
        <v>6369213.91179984</v>
      </c>
      <c r="S21" s="195" t="n">
        <f aca="false">SUM(S7:S20)+SUM(S24:S27)</f>
        <v>6926644.90127187</v>
      </c>
      <c r="T21" s="195" t="n">
        <f aca="false">SUM(T7:T20)+SUM(T24:T27)</f>
        <v>7328656.83552692</v>
      </c>
      <c r="U21" s="195" t="n">
        <f aca="false">SUM(U7:U20)+SUM(U24:U27)</f>
        <v>8086686.66470567</v>
      </c>
      <c r="V21" s="195" t="n">
        <f aca="false">SUM(V7:V20)+SUM(V24:V27)</f>
        <v>9702571.30793667</v>
      </c>
      <c r="W21" s="195" t="n">
        <f aca="false">SUM(W7:W20)+SUM(W24:W27)</f>
        <v>9488891.93990192</v>
      </c>
      <c r="X21" s="195" t="n">
        <f aca="false">SUM(X7:X20)+SUM(X24:X27)</f>
        <v>10375072.7581756</v>
      </c>
      <c r="Y21" s="195" t="n">
        <f aca="false">SUM(Y7:Y20)+SUM(Y24:Y27)</f>
        <v>9469764.02134012</v>
      </c>
      <c r="Z21" s="195" t="n">
        <f aca="false">SUM(Z7:Z20)+SUM(Z24:Z27)</f>
        <v>11471758.8425016</v>
      </c>
      <c r="AA21" s="195" t="n">
        <f aca="false">SUM(AA7:AA20)+SUM(AA24:AA27)</f>
        <v>10579776.7097878</v>
      </c>
      <c r="AB21" s="195" t="n">
        <f aca="false">SUM(AB7:AB20)+SUM(AB24:AB27)</f>
        <v>11610500.2428034</v>
      </c>
      <c r="AC21" s="195" t="n">
        <f aca="false">SUM(AC7:AC20)+SUM(AC24:AC27)</f>
        <v>11128162.3447432</v>
      </c>
      <c r="AD21" s="195" t="n">
        <f aca="false">SUM(AD7:AD20)+SUM(AD24:AD27)</f>
        <v>10152595.0312114</v>
      </c>
      <c r="AE21" s="195" t="n">
        <f aca="false">SUM(AE7:AE20)+SUM(AE24:AE27)</f>
        <v>9352876.60245888</v>
      </c>
      <c r="AF21" s="195" t="n">
        <f aca="false">SUM(AF7:AF20)+SUM(AF24:AF27)</f>
        <v>9280688.47959108</v>
      </c>
      <c r="AG21" s="195" t="n">
        <f aca="false">SUM(AG7:AG20)+SUM(AG24:AG27)</f>
        <v>9365467.54317764</v>
      </c>
      <c r="AH21" s="195" t="n">
        <f aca="false">SUM(AH7:AH20)+SUM(AH24:AH27)</f>
        <v>9094725.21805217</v>
      </c>
      <c r="AI21" s="195" t="n">
        <f aca="false">SUM(AI7:AI20)+SUM(AI24:AI27)</f>
        <v>9282995.43448374</v>
      </c>
      <c r="AJ21" s="195" t="n">
        <f aca="false">SUM(AJ7:AJ20)+SUM(AJ24:AJ27)</f>
        <v>8649804.1922978</v>
      </c>
      <c r="AK21" s="195" t="n">
        <f aca="false">SUM(AK7:AK20)+SUM(AK24:AK27)</f>
        <v>8200590.38443356</v>
      </c>
      <c r="AL21" s="195" t="n">
        <f aca="false">SUM(AL7:AL20)+SUM(AL24:AL27)</f>
        <v>6663689.6061317</v>
      </c>
      <c r="AM21" s="195" t="n">
        <f aca="false">SUM(AM7:AM20)+SUM(AM24:AM27)</f>
        <v>5682126.57862863</v>
      </c>
      <c r="AN21" s="195" t="n">
        <f aca="false">SUM(AN7:AN20)+SUM(AN24:AN27)</f>
        <v>5242007.50872086</v>
      </c>
      <c r="AO21" s="195" t="n">
        <f aca="false">SUM(AO7:AO20)+SUM(AO24:AO27)</f>
        <v>4879099.59614228</v>
      </c>
      <c r="AP21" s="195" t="n">
        <f aca="false">SUM(AP7:AP20)+SUM(AP24:AP27)</f>
        <v>3910551.81681888</v>
      </c>
      <c r="AQ21" s="195" t="n">
        <f aca="false">SUM(AQ7:AQ20)+SUM(AQ24:AQ27)</f>
        <v>3418060.1996247</v>
      </c>
      <c r="AR21" s="195" t="n">
        <f aca="false">SUM(AR7:AR20)+SUM(AR24:AR27)</f>
        <v>3205729.49259518</v>
      </c>
      <c r="AS21" s="195" t="n">
        <f aca="false">SUM(AS7:AS20)+SUM(AS24:AS27)</f>
        <v>2471584.87084132</v>
      </c>
      <c r="AT21" s="195" t="n">
        <f aca="false">SUM(AT7:AT20)+SUM(AT24:AT27)</f>
        <v>2387217.49542132</v>
      </c>
      <c r="AU21" s="195" t="n">
        <f aca="false">SUM(AU7:AU20)+SUM(AU24:AU27)</f>
        <v>2289826.23011532</v>
      </c>
      <c r="AV21" s="195" t="n">
        <f aca="false">SUM(AV7:AV20)+SUM(AV24:AV27)</f>
        <v>1907930.86167182</v>
      </c>
      <c r="AW21" s="195" t="n">
        <f aca="false">SUM(AW7:AW20)+SUM(AW24:AW27)</f>
        <v>1454604.0722457</v>
      </c>
      <c r="AX21" s="195" t="n">
        <f aca="false">SUM(AX7:AX20)+SUM(AX24:AX27)</f>
        <v>1687294.55654745</v>
      </c>
      <c r="AY21" s="195" t="n">
        <f aca="false">SUM(AY7:AY20)+SUM(AY24:AY27)</f>
        <v>1632789.15157145</v>
      </c>
      <c r="AZ21" s="195" t="n">
        <f aca="false">SUM(AZ7:AZ20)+SUM(AZ24:AZ27)</f>
        <v>1562651.69569945</v>
      </c>
      <c r="BA21" s="195" t="n">
        <f aca="false">SUM(BA7:BA20)+SUM(BA24:BA27)</f>
        <v>1478825.85663545</v>
      </c>
      <c r="BB21" s="195" t="n">
        <f aca="false">SUM(BB7:BB20)+SUM(BB24:BB27)</f>
        <v>1383586.13913945</v>
      </c>
      <c r="BC21" s="195" t="n">
        <f aca="false">SUM(BC7:BC20)+SUM(BC24:BC27)</f>
        <v>1279496.53039545</v>
      </c>
      <c r="BD21" s="195" t="n">
        <f aca="false">SUM(BD7:BD20)+SUM(BD24:BD27)</f>
        <v>1169079.66295545</v>
      </c>
      <c r="BE21" s="195" t="n">
        <f aca="false">SUM(BE7:BE20)+SUM(BE24:BE27)</f>
        <v>1054982.23326745</v>
      </c>
      <c r="BF21" s="195" t="n">
        <f aca="false">SUM(BF7:BF20)+SUM(BF24:BF27)</f>
        <v>939685.519251453</v>
      </c>
      <c r="BG21" s="195" t="n">
        <f aca="false">SUM(BG7:BG20)+SUM(BG24:BG27)</f>
        <v>825464.025667453</v>
      </c>
      <c r="BH21" s="195" t="n">
        <f aca="false">SUM(BH7:BH20)+SUM(BH24:BH27)</f>
        <v>714385.484115453</v>
      </c>
      <c r="BI21" s="195" t="n">
        <f aca="false">SUM(BI7:BI20)+SUM(BI24:BI27)</f>
        <v>608145.434507453</v>
      </c>
      <c r="BJ21" s="195" t="n">
        <f aca="false">SUM(BJ7:BJ20)+SUM(BJ24:BJ27)</f>
        <v>259255.013907853</v>
      </c>
      <c r="BK21" s="195" t="n">
        <f aca="false">SUM(BK7:BK20)+SUM(BK24:BK27)</f>
        <v>0</v>
      </c>
      <c r="BL21" s="195" t="n">
        <f aca="false">SUM(BL7:BL20)+SUM(BL24:BL27)</f>
        <v>0</v>
      </c>
      <c r="BM21" s="195" t="n">
        <f aca="false">SUM(BM7:BM20)+SUM(BM24:BM27)</f>
        <v>0</v>
      </c>
      <c r="BN21" s="195" t="n">
        <f aca="false">SUM(BN7:BN20)+SUM(BN24:BN27)</f>
        <v>0</v>
      </c>
      <c r="BO21" s="195" t="n">
        <f aca="false">SUM(BO7:BO20)+SUM(BO24:BO27)</f>
        <v>0</v>
      </c>
      <c r="BP21" s="195" t="n">
        <f aca="false">SUM(BP7:BP20)+SUM(BP24:BP27)</f>
        <v>0</v>
      </c>
      <c r="BQ21" s="195" t="n">
        <f aca="false">SUM(BQ7:BQ20)+SUM(BQ24:BQ27)</f>
        <v>0</v>
      </c>
      <c r="BR21" s="195" t="n">
        <f aca="false">SUM(BR7:BR20)+SUM(BR24:BR27)</f>
        <v>0</v>
      </c>
      <c r="BS21" s="195" t="n">
        <f aca="false">SUM(BS7:BS20)+SUM(BS24:BS27)</f>
        <v>0</v>
      </c>
      <c r="BT21" s="195" t="n">
        <f aca="false">SUM(BT7:BT20)+SUM(BT24:BT27)</f>
        <v>0</v>
      </c>
      <c r="BU21" s="195" t="n">
        <f aca="false">SUM(BU7:BU20)+SUM(BU24:BU27)</f>
        <v>0</v>
      </c>
      <c r="BV21" s="195" t="n">
        <f aca="false">SUM(BV7:BV20)+SUM(BV24:BV27)</f>
        <v>0</v>
      </c>
      <c r="BW21" s="195" t="n">
        <f aca="false">SUM(BW7:BW20)+SUM(BW24:BW27)</f>
        <v>0</v>
      </c>
      <c r="BX21" s="195" t="n">
        <f aca="false">SUM(BX7:BX20)+SUM(BX24:BX27)</f>
        <v>0</v>
      </c>
      <c r="BY21" s="195" t="n">
        <f aca="false">SUM(BY7:BY20)+SUM(BY24:BY27)</f>
        <v>0</v>
      </c>
      <c r="BZ21" s="195" t="n">
        <f aca="false">SUM(BZ7:BZ20)+SUM(BZ24:BZ27)</f>
        <v>0</v>
      </c>
      <c r="CA21" s="195" t="n">
        <f aca="false">SUM(CA7:CA20)+SUM(CA24:CA27)</f>
        <v>0</v>
      </c>
      <c r="CB21" s="195" t="n">
        <f aca="false">SUM(CB7:CB20)+SUM(CB24:CB27)</f>
        <v>0</v>
      </c>
      <c r="CC21" s="195" t="n">
        <f aca="false">SUM(CC7:CC20)+SUM(CC24:CC27)</f>
        <v>0</v>
      </c>
      <c r="CD21" s="195" t="n">
        <f aca="false">SUM(CD7:CD20)+SUM(CD24:CD27)</f>
        <v>0</v>
      </c>
      <c r="CE21" s="195" t="n">
        <f aca="false">SUM(CE7:CE20)+SUM(CE24:CE27)</f>
        <v>0</v>
      </c>
      <c r="CF21" s="195" t="n">
        <f aca="false">SUM(CF7:CF20)+SUM(CF24:CF27)</f>
        <v>0</v>
      </c>
      <c r="CG21" s="195" t="n">
        <f aca="false">SUM(CG7:CG20)+SUM(CG24:CG27)</f>
        <v>0</v>
      </c>
      <c r="CH21" s="195" t="n">
        <f aca="false">SUM(CH7:CH20)+SUM(CH24:CH27)</f>
        <v>0</v>
      </c>
      <c r="CI21" s="195" t="n">
        <f aca="false">SUM(CI7:CI20)+SUM(CI24:CI27)</f>
        <v>0</v>
      </c>
      <c r="CJ21" s="195" t="n">
        <f aca="false">SUM(CJ7:CJ20)+SUM(CJ24:CJ27)</f>
        <v>0</v>
      </c>
      <c r="CK21" s="195" t="n">
        <f aca="false">SUM(CK7:CK20)+SUM(CK24:CK27)</f>
        <v>0</v>
      </c>
      <c r="CL21" s="195" t="n">
        <f aca="false">SUM(CL7:CL20)+SUM(CL24:CL27)</f>
        <v>0</v>
      </c>
      <c r="CM21" s="195" t="n">
        <f aca="false">SUM(CM7:CM20)+SUM(CM24:CM27)</f>
        <v>0</v>
      </c>
      <c r="CN21" s="195" t="n">
        <f aca="false">SUM(CN7:CN20)+SUM(CN24:CN27)</f>
        <v>0</v>
      </c>
      <c r="CO21" s="195" t="n">
        <f aca="false">SUM(CO7:CO20)+SUM(CO24:CO27)</f>
        <v>0</v>
      </c>
      <c r="CP21" s="195" t="n">
        <f aca="false">SUM(CP7:CP20)+SUM(CP24:CP27)</f>
        <v>0</v>
      </c>
      <c r="CQ21" s="195" t="n">
        <f aca="false">SUM(CQ7:CQ20)+SUM(CQ24:CQ27)</f>
        <v>0</v>
      </c>
      <c r="CR21" s="195" t="n">
        <f aca="false">SUM(CR7:CR20)+SUM(CR24:CR27)</f>
        <v>0</v>
      </c>
      <c r="CS21" s="195" t="n">
        <f aca="false">SUM(CS7:CS20)+SUM(CS24:CS27)</f>
        <v>0</v>
      </c>
      <c r="CT21" s="195" t="n">
        <f aca="false">SUM(CT7:CT20)+SUM(CT24:CT27)</f>
        <v>0</v>
      </c>
      <c r="CU21" s="195" t="n">
        <f aca="false">SUM(CU7:CU20)+SUM(CU24:CU27)</f>
        <v>0</v>
      </c>
      <c r="CV21" s="195" t="n">
        <f aca="false">SUM(CV7:CV20)+SUM(CV24:CV27)</f>
        <v>0</v>
      </c>
      <c r="CW21" s="195" t="n">
        <f aca="false">SUM(CW7:CW20)+SUM(CW24:CW27)</f>
        <v>0</v>
      </c>
      <c r="CX21" s="195" t="n">
        <f aca="false">SUM(CX7:CX20)+SUM(CX24:CX27)</f>
        <v>0</v>
      </c>
      <c r="CY21" s="195" t="n">
        <f aca="false">SUM(CY7:CY20)+SUM(CY24:CY27)</f>
        <v>0</v>
      </c>
      <c r="CZ21" s="195" t="n">
        <f aca="false">SUM(CZ7:CZ20)+SUM(CZ24:CZ27)</f>
        <v>0</v>
      </c>
      <c r="DA21" s="195" t="n">
        <f aca="false">SUM(DA7:DA20)+SUM(DA24:DA27)</f>
        <v>0</v>
      </c>
      <c r="DB21" s="195" t="n">
        <f aca="false">SUM(DB7:DB20)+SUM(DB24:DB27)</f>
        <v>0</v>
      </c>
    </row>
    <row r="22" customFormat="false" ht="15" hidden="false" customHeight="true" outlineLevel="0" collapsed="false">
      <c r="A22" s="94" t="s">
        <v>587</v>
      </c>
      <c r="G22" s="196" t="n">
        <f aca="false">COUNT(G7:G20)+COUNT(G24:G27)</f>
        <v>5</v>
      </c>
      <c r="H22" s="196" t="n">
        <f aca="false">COUNT(H7:H20)+COUNT(H24:H27)</f>
        <v>5</v>
      </c>
      <c r="I22" s="196" t="n">
        <f aca="false">COUNT(I7:I20)+COUNT(I24:I27)</f>
        <v>5</v>
      </c>
      <c r="J22" s="196" t="n">
        <f aca="false">COUNT(J7:J20)+COUNT(J24:J27)</f>
        <v>7</v>
      </c>
      <c r="K22" s="196" t="n">
        <f aca="false">COUNT(K7:K20)+COUNT(K24:K27)</f>
        <v>8</v>
      </c>
      <c r="L22" s="196" t="n">
        <f aca="false">COUNT(L7:L20)+COUNT(L24:L27)</f>
        <v>8</v>
      </c>
      <c r="M22" s="196" t="n">
        <f aca="false">COUNT(M7:M20)+COUNT(M24:M27)</f>
        <v>8</v>
      </c>
      <c r="N22" s="196" t="n">
        <f aca="false">COUNT(N7:N20)+COUNT(N24:N27)</f>
        <v>8</v>
      </c>
      <c r="O22" s="196" t="n">
        <f aca="false">COUNT(O7:O20)+COUNT(O24:O27)</f>
        <v>8</v>
      </c>
      <c r="P22" s="196" t="n">
        <f aca="false">COUNT(P7:P20)+COUNT(P24:P27)</f>
        <v>10</v>
      </c>
      <c r="Q22" s="196" t="n">
        <f aca="false">COUNT(Q7:Q20)+COUNT(Q24:Q27)</f>
        <v>11</v>
      </c>
      <c r="R22" s="196" t="n">
        <f aca="false">COUNT(R7:R20)+COUNT(R24:R27)</f>
        <v>11</v>
      </c>
      <c r="S22" s="196" t="n">
        <f aca="false">COUNT(S7:S20)+COUNT(S24:S27)</f>
        <v>12</v>
      </c>
      <c r="T22" s="196" t="n">
        <f aca="false">COUNT(T7:T20)+COUNT(T24:T27)</f>
        <v>13</v>
      </c>
      <c r="U22" s="196" t="n">
        <f aca="false">COUNT(U7:U20)+COUNT(U24:U27)</f>
        <v>14</v>
      </c>
      <c r="V22" s="196" t="n">
        <f aca="false">COUNT(V7:V20)+COUNT(V24:V27)</f>
        <v>14</v>
      </c>
      <c r="W22" s="196" t="n">
        <f aca="false">COUNT(W7:W20)+COUNT(W24:W27)</f>
        <v>14</v>
      </c>
      <c r="X22" s="196" t="n">
        <f aca="false">COUNT(X7:X20)+COUNT(X24:X27)</f>
        <v>13</v>
      </c>
      <c r="Y22" s="196" t="n">
        <f aca="false">COUNT(Y7:Y20)+COUNT(Y24:Y27)</f>
        <v>12</v>
      </c>
      <c r="Z22" s="196" t="n">
        <f aca="false">COUNT(Z7:Z20)+COUNT(Z24:Z27)</f>
        <v>12</v>
      </c>
      <c r="AA22" s="196" t="n">
        <f aca="false">COUNT(AA7:AA20)+COUNT(AA24:AA27)</f>
        <v>12</v>
      </c>
      <c r="AB22" s="196" t="n">
        <f aca="false">COUNT(AB7:AB20)+COUNT(AB24:AB27)</f>
        <v>12</v>
      </c>
      <c r="AC22" s="196" t="n">
        <f aca="false">COUNT(AC7:AC20)+COUNT(AC24:AC27)</f>
        <v>12</v>
      </c>
      <c r="AD22" s="196" t="n">
        <f aca="false">COUNT(AD7:AD20)+COUNT(AD24:AD27)</f>
        <v>11</v>
      </c>
      <c r="AE22" s="196" t="n">
        <f aca="false">COUNT(AE7:AE20)+COUNT(AE24:AE27)</f>
        <v>10</v>
      </c>
      <c r="AF22" s="196" t="n">
        <f aca="false">COUNT(AF7:AF20)+COUNT(AF24:AF27)</f>
        <v>10</v>
      </c>
      <c r="AG22" s="196" t="n">
        <f aca="false">COUNT(AG7:AG20)+COUNT(AG24:AG27)</f>
        <v>11</v>
      </c>
      <c r="AH22" s="196" t="n">
        <f aca="false">COUNT(AH7:AH20)+COUNT(AH24:AH27)</f>
        <v>11</v>
      </c>
      <c r="AI22" s="196" t="n">
        <f aca="false">COUNT(AI7:AI20)+COUNT(AI24:AI27)</f>
        <v>9</v>
      </c>
      <c r="AJ22" s="196" t="n">
        <f aca="false">COUNT(AJ7:AJ20)+COUNT(AJ24:AJ27)</f>
        <v>8</v>
      </c>
      <c r="AK22" s="196" t="n">
        <f aca="false">COUNT(AK7:AK20)+COUNT(AK24:AK27)</f>
        <v>8</v>
      </c>
      <c r="AL22" s="196" t="n">
        <f aca="false">COUNT(AL7:AL20)+COUNT(AL24:AL27)</f>
        <v>8</v>
      </c>
      <c r="AM22" s="196" t="n">
        <f aca="false">COUNT(AM7:AM20)+COUNT(AM24:AM27)</f>
        <v>6</v>
      </c>
      <c r="AN22" s="196" t="n">
        <f aca="false">COUNT(AN7:AN20)+COUNT(AN24:AN27)</f>
        <v>5</v>
      </c>
      <c r="AO22" s="196" t="n">
        <f aca="false">COUNT(AO7:AO20)+COUNT(AO24:AO27)</f>
        <v>4</v>
      </c>
      <c r="AP22" s="196" t="n">
        <f aca="false">COUNT(AP7:AP20)+COUNT(AP24:AP27)</f>
        <v>4</v>
      </c>
      <c r="AQ22" s="196" t="n">
        <f aca="false">COUNT(AQ7:AQ20)+COUNT(AQ24:AQ27)</f>
        <v>3</v>
      </c>
      <c r="AR22" s="196" t="n">
        <f aca="false">COUNT(AR7:AR20)+COUNT(AR24:AR27)</f>
        <v>3</v>
      </c>
      <c r="AS22" s="196" t="n">
        <f aca="false">COUNT(AS7:AS20)+COUNT(AS24:AS27)</f>
        <v>3</v>
      </c>
      <c r="AT22" s="196" t="n">
        <f aca="false">COUNT(AT7:AT20)+COUNT(AT24:AT27)</f>
        <v>3</v>
      </c>
      <c r="AU22" s="196" t="n">
        <f aca="false">COUNT(AU7:AU20)+COUNT(AU24:AU27)</f>
        <v>3</v>
      </c>
      <c r="AV22" s="196" t="n">
        <f aca="false">COUNT(AV7:AV20)+COUNT(AV24:AV27)</f>
        <v>3</v>
      </c>
      <c r="AW22" s="196" t="n">
        <f aca="false">COUNT(AW7:AW20)+COUNT(AW24:AW27)</f>
        <v>2</v>
      </c>
      <c r="AX22" s="196" t="n">
        <f aca="false">COUNT(AX7:AX20)+COUNT(AX24:AX27)</f>
        <v>1</v>
      </c>
      <c r="AY22" s="196" t="n">
        <f aca="false">COUNT(AY7:AY20)+COUNT(AY24:AY27)</f>
        <v>1</v>
      </c>
      <c r="AZ22" s="196" t="n">
        <f aca="false">COUNT(AZ7:AZ20)+COUNT(AZ24:AZ27)</f>
        <v>1</v>
      </c>
      <c r="BA22" s="196" t="n">
        <f aca="false">COUNT(BA7:BA20)+COUNT(BA24:BA27)</f>
        <v>1</v>
      </c>
      <c r="BB22" s="196" t="n">
        <f aca="false">COUNT(BB7:BB20)+COUNT(BB24:BB27)</f>
        <v>1</v>
      </c>
      <c r="BC22" s="196" t="n">
        <f aca="false">COUNT(BC7:BC20)+COUNT(BC24:BC27)</f>
        <v>1</v>
      </c>
      <c r="BD22" s="196" t="n">
        <f aca="false">COUNT(BD7:BD20)+COUNT(BD24:BD27)</f>
        <v>1</v>
      </c>
      <c r="BE22" s="196" t="n">
        <f aca="false">COUNT(BE7:BE20)+COUNT(BE24:BE27)</f>
        <v>1</v>
      </c>
      <c r="BF22" s="196" t="n">
        <f aca="false">COUNT(BF7:BF20)+COUNT(BF24:BF27)</f>
        <v>1</v>
      </c>
      <c r="BG22" s="196" t="n">
        <f aca="false">COUNT(BG7:BG20)+COUNT(BG24:BG27)</f>
        <v>1</v>
      </c>
      <c r="BH22" s="196" t="n">
        <f aca="false">COUNT(BH7:BH20)+COUNT(BH24:BH27)</f>
        <v>1</v>
      </c>
      <c r="BI22" s="196" t="n">
        <f aca="false">COUNT(BI7:BI20)+COUNT(BI24:BI27)</f>
        <v>1</v>
      </c>
      <c r="BJ22" s="196" t="n">
        <f aca="false">COUNT(BJ7:BJ20)+COUNT(BJ24:BJ27)</f>
        <v>1</v>
      </c>
      <c r="BK22" s="196" t="n">
        <f aca="false">COUNT(BK7:BK20)+COUNT(BK24:BK27)</f>
        <v>0</v>
      </c>
      <c r="BL22" s="196" t="n">
        <f aca="false">COUNT(BL7:BL20)+COUNT(BL24:BL27)</f>
        <v>0</v>
      </c>
      <c r="BM22" s="196" t="n">
        <f aca="false">COUNT(BM7:BM20)+COUNT(BM24:BM27)</f>
        <v>0</v>
      </c>
      <c r="BN22" s="196" t="n">
        <f aca="false">COUNT(BN7:BN20)+COUNT(BN24:BN27)</f>
        <v>0</v>
      </c>
      <c r="BO22" s="196" t="n">
        <f aca="false">COUNT(BO7:BO20)+COUNT(BO24:BO27)</f>
        <v>0</v>
      </c>
      <c r="BP22" s="196" t="n">
        <f aca="false">COUNT(BP7:BP20)+COUNT(BP24:BP27)</f>
        <v>0</v>
      </c>
      <c r="BQ22" s="196" t="n">
        <f aca="false">COUNT(BQ7:BQ20)+COUNT(BQ24:BQ27)</f>
        <v>0</v>
      </c>
      <c r="BR22" s="196" t="n">
        <f aca="false">COUNT(BR7:BR20)+COUNT(BR24:BR27)</f>
        <v>0</v>
      </c>
      <c r="BS22" s="196" t="n">
        <f aca="false">COUNT(BS7:BS20)+COUNT(BS24:BS27)</f>
        <v>0</v>
      </c>
      <c r="BT22" s="196" t="n">
        <f aca="false">COUNT(BT7:BT20)+COUNT(BT24:BT27)</f>
        <v>0</v>
      </c>
      <c r="BU22" s="196" t="n">
        <f aca="false">COUNT(BU7:BU20)+COUNT(BU24:BU27)</f>
        <v>0</v>
      </c>
      <c r="BV22" s="196" t="n">
        <f aca="false">COUNT(BV7:BV20)+COUNT(BV24:BV27)</f>
        <v>0</v>
      </c>
      <c r="BW22" s="196" t="n">
        <f aca="false">COUNT(BW7:BW20)+COUNT(BW24:BW27)</f>
        <v>0</v>
      </c>
      <c r="BX22" s="196" t="n">
        <f aca="false">COUNT(BX7:BX20)+COUNT(BX24:BX27)</f>
        <v>0</v>
      </c>
      <c r="BY22" s="196" t="n">
        <f aca="false">COUNT(BY7:BY20)+COUNT(BY24:BY27)</f>
        <v>0</v>
      </c>
      <c r="BZ22" s="196" t="n">
        <f aca="false">COUNT(BZ7:BZ20)+COUNT(BZ24:BZ27)</f>
        <v>0</v>
      </c>
      <c r="CA22" s="196" t="n">
        <f aca="false">COUNT(CA7:CA20)+COUNT(CA24:CA27)</f>
        <v>0</v>
      </c>
      <c r="CB22" s="196" t="n">
        <f aca="false">COUNT(CB7:CB20)+COUNT(CB24:CB27)</f>
        <v>0</v>
      </c>
      <c r="CC22" s="196" t="n">
        <f aca="false">COUNT(CC7:CC20)+COUNT(CC24:CC27)</f>
        <v>0</v>
      </c>
      <c r="CD22" s="196" t="n">
        <f aca="false">COUNT(CD7:CD20)+COUNT(CD24:CD27)</f>
        <v>0</v>
      </c>
      <c r="CE22" s="196" t="n">
        <f aca="false">COUNT(CE7:CE20)+COUNT(CE24:CE27)</f>
        <v>0</v>
      </c>
      <c r="CF22" s="196" t="n">
        <f aca="false">COUNT(CF7:CF20)+COUNT(CF24:CF27)</f>
        <v>0</v>
      </c>
      <c r="CG22" s="196" t="n">
        <f aca="false">COUNT(CG7:CG20)+COUNT(CG24:CG27)</f>
        <v>0</v>
      </c>
      <c r="CH22" s="196" t="n">
        <f aca="false">COUNT(CH7:CH20)+COUNT(CH24:CH27)</f>
        <v>0</v>
      </c>
      <c r="CI22" s="196" t="n">
        <f aca="false">COUNT(CI7:CI20)+COUNT(CI24:CI27)</f>
        <v>0</v>
      </c>
      <c r="CJ22" s="196" t="n">
        <f aca="false">COUNT(CJ7:CJ20)+COUNT(CJ24:CJ27)</f>
        <v>0</v>
      </c>
      <c r="CK22" s="196" t="n">
        <f aca="false">COUNT(CK7:CK20)+COUNT(CK24:CK27)</f>
        <v>0</v>
      </c>
      <c r="CL22" s="196" t="n">
        <f aca="false">COUNT(CL7:CL20)+COUNT(CL24:CL27)</f>
        <v>0</v>
      </c>
      <c r="CM22" s="196" t="n">
        <f aca="false">COUNT(CM7:CM20)+COUNT(CM24:CM27)</f>
        <v>0</v>
      </c>
      <c r="CN22" s="196" t="n">
        <f aca="false">COUNT(CN7:CN20)+COUNT(CN24:CN27)</f>
        <v>0</v>
      </c>
      <c r="CO22" s="196" t="n">
        <f aca="false">COUNT(CO7:CO20)+COUNT(CO24:CO27)</f>
        <v>0</v>
      </c>
      <c r="CP22" s="196" t="n">
        <f aca="false">COUNT(CP7:CP20)+COUNT(CP24:CP27)</f>
        <v>0</v>
      </c>
      <c r="CQ22" s="196" t="n">
        <f aca="false">COUNT(CQ7:CQ20)+COUNT(CQ24:CQ27)</f>
        <v>0</v>
      </c>
      <c r="CR22" s="196" t="n">
        <f aca="false">COUNT(CR7:CR20)+COUNT(CR24:CR27)</f>
        <v>0</v>
      </c>
      <c r="CS22" s="196" t="n">
        <f aca="false">COUNT(CS7:CS20)+COUNT(CS24:CS27)</f>
        <v>0</v>
      </c>
      <c r="CT22" s="196" t="n">
        <f aca="false">COUNT(CT7:CT20)+COUNT(CT24:CT27)</f>
        <v>0</v>
      </c>
      <c r="CU22" s="196" t="n">
        <f aca="false">COUNT(CU7:CU20)+COUNT(CU24:CU27)</f>
        <v>0</v>
      </c>
      <c r="CV22" s="196" t="n">
        <f aca="false">COUNT(CV7:CV20)+COUNT(CV24:CV27)</f>
        <v>0</v>
      </c>
      <c r="CW22" s="196" t="n">
        <f aca="false">COUNT(CW7:CW20)+COUNT(CW24:CW27)</f>
        <v>0</v>
      </c>
      <c r="CX22" s="196" t="n">
        <f aca="false">COUNT(CX7:CX20)+COUNT(CX24:CX27)</f>
        <v>0</v>
      </c>
      <c r="CY22" s="196" t="n">
        <f aca="false">COUNT(CY7:CY20)+COUNT(CY24:CY27)</f>
        <v>0</v>
      </c>
      <c r="CZ22" s="196" t="n">
        <f aca="false">COUNT(CZ7:CZ20)+COUNT(CZ24:CZ27)</f>
        <v>0</v>
      </c>
      <c r="DA22" s="196" t="n">
        <f aca="false">COUNT(DA7:DA20)+COUNT(DA24:DA27)</f>
        <v>0</v>
      </c>
      <c r="DB22" s="196" t="n">
        <f aca="false">COUNT(DB7:DB20)+COUNT(DB24:DB27)</f>
        <v>0</v>
      </c>
    </row>
    <row r="23" customFormat="false" ht="15" hidden="false" customHeight="true" outlineLevel="0" collapsed="false">
      <c r="A23" s="189" t="s">
        <v>588</v>
      </c>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0"/>
      <c r="CD23" s="190"/>
      <c r="CE23" s="190"/>
      <c r="CF23" s="190"/>
      <c r="CG23" s="190"/>
      <c r="CH23" s="190"/>
      <c r="CI23" s="190"/>
      <c r="CJ23" s="190"/>
      <c r="CK23" s="190"/>
      <c r="CL23" s="190"/>
      <c r="CM23" s="190"/>
      <c r="CN23" s="190"/>
      <c r="CO23" s="190"/>
      <c r="CP23" s="190"/>
      <c r="CQ23" s="190"/>
      <c r="CR23" s="190"/>
      <c r="CS23" s="190"/>
      <c r="CT23" s="190"/>
      <c r="CU23" s="190"/>
      <c r="CV23" s="190"/>
      <c r="CW23" s="190"/>
      <c r="CX23" s="190"/>
      <c r="CY23" s="190"/>
      <c r="CZ23" s="190"/>
      <c r="DA23" s="190"/>
      <c r="DB23" s="190"/>
    </row>
    <row r="24" customFormat="false" ht="15" hidden="false" customHeight="true" outlineLevel="0" collapsed="false">
      <c r="A24" s="125" t="s">
        <v>16</v>
      </c>
      <c r="B24" s="191" t="n">
        <f aca="false">Projects!$B$11</f>
        <v>9577109</v>
      </c>
      <c r="C24" s="192" t="n">
        <f aca="false">EDATE(Model!$E$2,Projects!$C$11-1)</f>
        <v>46419</v>
      </c>
      <c r="D24" s="192" t="n">
        <f aca="false">EDATE(Model!$E$2,Projects!$C$11+Projects!$D$11-2)</f>
        <v>46966</v>
      </c>
      <c r="E24" s="193" t="n">
        <f aca="false">Projects!$D$11</f>
        <v>19</v>
      </c>
      <c r="F24" s="191" t="n">
        <f aca="false">SUM(G24:DB24)</f>
        <v>8424111.270381</v>
      </c>
      <c r="G24" s="194" t="str">
        <f aca="false">IF(Model!E22=0,"",Model!E22)</f>
        <v/>
      </c>
      <c r="H24" s="194" t="str">
        <f aca="false">IF(Model!F22=0,"",Model!F22)</f>
        <v/>
      </c>
      <c r="I24" s="194" t="str">
        <f aca="false">IF(Model!G22=0,"",Model!G22)</f>
        <v/>
      </c>
      <c r="J24" s="194" t="str">
        <f aca="false">IF(Model!H22=0,"",Model!H22)</f>
        <v/>
      </c>
      <c r="K24" s="194" t="str">
        <f aca="false">IF(Model!I22=0,"",Model!I22)</f>
        <v/>
      </c>
      <c r="L24" s="194" t="str">
        <f aca="false">IF(Model!J22=0,"",Model!J22)</f>
        <v/>
      </c>
      <c r="M24" s="194" t="str">
        <f aca="false">IF(Model!K22=0,"",Model!K22)</f>
        <v/>
      </c>
      <c r="N24" s="194" t="str">
        <f aca="false">IF(Model!L22=0,"",Model!L22)</f>
        <v/>
      </c>
      <c r="O24" s="194" t="str">
        <f aca="false">IF(Model!M22=0,"",Model!M22)</f>
        <v/>
      </c>
      <c r="P24" s="194" t="str">
        <f aca="false">IF(Model!N22=0,"",Model!N22)</f>
        <v/>
      </c>
      <c r="Q24" s="194" t="n">
        <f aca="false">IF(Model!O22=0,"",Model!O22)</f>
        <v>196306.31287205</v>
      </c>
      <c r="R24" s="194" t="n">
        <f aca="false">IF(Model!P22=0,"",Model!P22)</f>
        <v>256105.78146805</v>
      </c>
      <c r="S24" s="194" t="n">
        <f aca="false">IF(Model!Q22=0,"",Model!Q22)</f>
        <v>320473.53105705</v>
      </c>
      <c r="T24" s="194" t="n">
        <f aca="false">IF(Model!R22=0,"",Model!R22)</f>
        <v>386842.89642705</v>
      </c>
      <c r="U24" s="194" t="n">
        <f aca="false">IF(Model!S22=0,"",Model!S22)</f>
        <v>452024.70028105</v>
      </c>
      <c r="V24" s="194" t="n">
        <f aca="false">IF(Model!T22=0,"",Model!T22)</f>
        <v>512398.79541705</v>
      </c>
      <c r="W24" s="194" t="n">
        <f aca="false">IF(Model!U22=0,"",Model!U22)</f>
        <v>564258.84065205</v>
      </c>
      <c r="X24" s="194" t="n">
        <f aca="false">IF(Model!V22=0,"",Model!V22)</f>
        <v>604166.65385505</v>
      </c>
      <c r="Y24" s="194" t="n">
        <f aca="false">IF(Model!W22=0,"",Model!W22)</f>
        <v>629335.29630705</v>
      </c>
      <c r="Z24" s="194" t="n">
        <f aca="false">IF(Model!X22=0,"",Model!X22)</f>
        <v>637935.54018905</v>
      </c>
      <c r="AA24" s="194" t="n">
        <f aca="false">IF(Model!Y22=0,"",Model!Y22)</f>
        <v>629335.29630705</v>
      </c>
      <c r="AB24" s="194" t="n">
        <f aca="false">IF(Model!Z22=0,"",Model!Z22)</f>
        <v>604166.65385505</v>
      </c>
      <c r="AC24" s="194" t="n">
        <f aca="false">IF(Model!AA22=0,"",Model!AA22)</f>
        <v>564258.84065205</v>
      </c>
      <c r="AD24" s="194" t="n">
        <f aca="false">IF(Model!AB22=0,"",Model!AB22)</f>
        <v>512398.79541705</v>
      </c>
      <c r="AE24" s="194" t="n">
        <f aca="false">IF(Model!AC22=0,"",Model!AC22)</f>
        <v>452024.70028105</v>
      </c>
      <c r="AF24" s="194" t="n">
        <f aca="false">IF(Model!AD22=0,"",Model!AD22)</f>
        <v>386842.89642705</v>
      </c>
      <c r="AG24" s="194" t="n">
        <f aca="false">IF(Model!AE22=0,"",Model!AE22)</f>
        <v>320473.53105705</v>
      </c>
      <c r="AH24" s="194" t="n">
        <f aca="false">IF(Model!AF22=0,"",Model!AF22)</f>
        <v>256105.78146805</v>
      </c>
      <c r="AI24" s="194" t="n">
        <f aca="false">IF(Model!AG22=0,"",Model!AG22)</f>
        <v>138656.4263911</v>
      </c>
      <c r="AJ24" s="194" t="str">
        <f aca="false">IF(Model!AH22=0,"",Model!AH22)</f>
        <v/>
      </c>
      <c r="AK24" s="194" t="str">
        <f aca="false">IF(Model!AI22=0,"",Model!AI22)</f>
        <v/>
      </c>
      <c r="AL24" s="194" t="str">
        <f aca="false">IF(Model!AJ22=0,"",Model!AJ22)</f>
        <v/>
      </c>
      <c r="AM24" s="194" t="str">
        <f aca="false">IF(Model!AK22=0,"",Model!AK22)</f>
        <v/>
      </c>
      <c r="AN24" s="194" t="str">
        <f aca="false">IF(Model!AL22=0,"",Model!AL22)</f>
        <v/>
      </c>
      <c r="AO24" s="194" t="str">
        <f aca="false">IF(Model!AM22=0,"",Model!AM22)</f>
        <v/>
      </c>
      <c r="AP24" s="194" t="str">
        <f aca="false">IF(Model!AN22=0,"",Model!AN22)</f>
        <v/>
      </c>
      <c r="AQ24" s="194" t="str">
        <f aca="false">IF(Model!AO22=0,"",Model!AO22)</f>
        <v/>
      </c>
      <c r="AR24" s="194" t="str">
        <f aca="false">IF(Model!AP22=0,"",Model!AP22)</f>
        <v/>
      </c>
      <c r="AS24" s="194" t="str">
        <f aca="false">IF(Model!AQ22=0,"",Model!AQ22)</f>
        <v/>
      </c>
      <c r="AT24" s="194" t="str">
        <f aca="false">IF(Model!AR22=0,"",Model!AR22)</f>
        <v/>
      </c>
      <c r="AU24" s="194" t="str">
        <f aca="false">IF(Model!AS22=0,"",Model!AS22)</f>
        <v/>
      </c>
      <c r="AV24" s="194" t="str">
        <f aca="false">IF(Model!AT22=0,"",Model!AT22)</f>
        <v/>
      </c>
      <c r="AW24" s="194" t="str">
        <f aca="false">IF(Model!AU22=0,"",Model!AU22)</f>
        <v/>
      </c>
      <c r="AX24" s="194" t="str">
        <f aca="false">IF(Model!AV22=0,"",Model!AV22)</f>
        <v/>
      </c>
      <c r="AY24" s="194" t="str">
        <f aca="false">IF(Model!AW22=0,"",Model!AW22)</f>
        <v/>
      </c>
      <c r="AZ24" s="194" t="str">
        <f aca="false">IF(Model!AX22=0,"",Model!AX22)</f>
        <v/>
      </c>
      <c r="BA24" s="194" t="str">
        <f aca="false">IF(Model!AY22=0,"",Model!AY22)</f>
        <v/>
      </c>
      <c r="BB24" s="194" t="str">
        <f aca="false">IF(Model!AZ22=0,"",Model!AZ22)</f>
        <v/>
      </c>
      <c r="BC24" s="194" t="str">
        <f aca="false">IF(Model!BA22=0,"",Model!BA22)</f>
        <v/>
      </c>
      <c r="BD24" s="194" t="str">
        <f aca="false">IF(Model!BB22=0,"",Model!BB22)</f>
        <v/>
      </c>
      <c r="BE24" s="194" t="str">
        <f aca="false">IF(Model!BC22=0,"",Model!BC22)</f>
        <v/>
      </c>
      <c r="BF24" s="194" t="str">
        <f aca="false">IF(Model!BD22=0,"",Model!BD22)</f>
        <v/>
      </c>
      <c r="BG24" s="194" t="str">
        <f aca="false">IF(Model!BE22=0,"",Model!BE22)</f>
        <v/>
      </c>
      <c r="BH24" s="194" t="str">
        <f aca="false">IF(Model!BF22=0,"",Model!BF22)</f>
        <v/>
      </c>
      <c r="BI24" s="194" t="str">
        <f aca="false">IF(Model!BG22=0,"",Model!BG22)</f>
        <v/>
      </c>
      <c r="BJ24" s="194" t="str">
        <f aca="false">IF(Model!BH22=0,"",Model!BH22)</f>
        <v/>
      </c>
      <c r="BK24" s="194" t="str">
        <f aca="false">IF(Model!BI22=0,"",Model!BI22)</f>
        <v/>
      </c>
      <c r="BL24" s="194" t="str">
        <f aca="false">IF(Model!BJ22=0,"",Model!BJ22)</f>
        <v/>
      </c>
      <c r="BM24" s="194" t="str">
        <f aca="false">IF(Model!BK22=0,"",Model!BK22)</f>
        <v/>
      </c>
      <c r="BN24" s="194" t="str">
        <f aca="false">IF(Model!BL22=0,"",Model!BL22)</f>
        <v/>
      </c>
      <c r="BO24" s="194" t="str">
        <f aca="false">IF(Model!BM22=0,"",Model!BM22)</f>
        <v/>
      </c>
      <c r="BP24" s="194" t="str">
        <f aca="false">IF(Model!BN22=0,"",Model!BN22)</f>
        <v/>
      </c>
      <c r="BQ24" s="194" t="str">
        <f aca="false">IF(Model!BO22=0,"",Model!BO22)</f>
        <v/>
      </c>
      <c r="BR24" s="194" t="str">
        <f aca="false">IF(Model!BP22=0,"",Model!BP22)</f>
        <v/>
      </c>
      <c r="BS24" s="194" t="str">
        <f aca="false">IF(Model!BQ22=0,"",Model!BQ22)</f>
        <v/>
      </c>
      <c r="BT24" s="194" t="str">
        <f aca="false">IF(Model!BR22=0,"",Model!BR22)</f>
        <v/>
      </c>
      <c r="BU24" s="194" t="str">
        <f aca="false">IF(Model!BS22=0,"",Model!BS22)</f>
        <v/>
      </c>
      <c r="BV24" s="194" t="str">
        <f aca="false">IF(Model!BT22=0,"",Model!BT22)</f>
        <v/>
      </c>
      <c r="BW24" s="194" t="str">
        <f aca="false">IF(Model!BU22=0,"",Model!BU22)</f>
        <v/>
      </c>
      <c r="BX24" s="194" t="str">
        <f aca="false">IF(Model!BV22=0,"",Model!BV22)</f>
        <v/>
      </c>
      <c r="BY24" s="194" t="str">
        <f aca="false">IF(Model!BW22=0,"",Model!BW22)</f>
        <v/>
      </c>
      <c r="BZ24" s="194" t="str">
        <f aca="false">IF(Model!BX22=0,"",Model!BX22)</f>
        <v/>
      </c>
      <c r="CA24" s="194" t="str">
        <f aca="false">IF(Model!BY22=0,"",Model!BY22)</f>
        <v/>
      </c>
      <c r="CB24" s="194" t="str">
        <f aca="false">IF(Model!BZ22=0,"",Model!BZ22)</f>
        <v/>
      </c>
      <c r="CC24" s="194" t="str">
        <f aca="false">IF(Model!CA22=0,"",Model!CA22)</f>
        <v/>
      </c>
      <c r="CD24" s="194" t="str">
        <f aca="false">IF(Model!CB22=0,"",Model!CB22)</f>
        <v/>
      </c>
      <c r="CE24" s="194" t="str">
        <f aca="false">IF(Model!CC22=0,"",Model!CC22)</f>
        <v/>
      </c>
      <c r="CF24" s="194" t="str">
        <f aca="false">IF(Model!CD22=0,"",Model!CD22)</f>
        <v/>
      </c>
      <c r="CG24" s="194" t="str">
        <f aca="false">IF(Model!CE22=0,"",Model!CE22)</f>
        <v/>
      </c>
      <c r="CH24" s="194" t="str">
        <f aca="false">IF(Model!CF22=0,"",Model!CF22)</f>
        <v/>
      </c>
      <c r="CI24" s="194" t="str">
        <f aca="false">IF(Model!CG22=0,"",Model!CG22)</f>
        <v/>
      </c>
      <c r="CJ24" s="194" t="str">
        <f aca="false">IF(Model!CH22=0,"",Model!CH22)</f>
        <v/>
      </c>
      <c r="CK24" s="194" t="str">
        <f aca="false">IF(Model!CI22=0,"",Model!CI22)</f>
        <v/>
      </c>
      <c r="CL24" s="194" t="str">
        <f aca="false">IF(Model!CJ22=0,"",Model!CJ22)</f>
        <v/>
      </c>
      <c r="CM24" s="194" t="str">
        <f aca="false">IF(Model!CK22=0,"",Model!CK22)</f>
        <v/>
      </c>
      <c r="CN24" s="194" t="str">
        <f aca="false">IF(Model!CL22=0,"",Model!CL22)</f>
        <v/>
      </c>
      <c r="CO24" s="194" t="str">
        <f aca="false">IF(Model!CM22=0,"",Model!CM22)</f>
        <v/>
      </c>
      <c r="CP24" s="194" t="str">
        <f aca="false">IF(Model!CN22=0,"",Model!CN22)</f>
        <v/>
      </c>
      <c r="CQ24" s="194" t="str">
        <f aca="false">IF(Model!CO22=0,"",Model!CO22)</f>
        <v/>
      </c>
      <c r="CR24" s="194" t="str">
        <f aca="false">IF(Model!CP22=0,"",Model!CP22)</f>
        <v/>
      </c>
      <c r="CS24" s="194" t="str">
        <f aca="false">IF(Model!CQ22=0,"",Model!CQ22)</f>
        <v/>
      </c>
      <c r="CT24" s="194" t="str">
        <f aca="false">IF(Model!CR22=0,"",Model!CR22)</f>
        <v/>
      </c>
      <c r="CU24" s="194" t="str">
        <f aca="false">IF(Model!CS22=0,"",Model!CS22)</f>
        <v/>
      </c>
      <c r="CV24" s="194" t="str">
        <f aca="false">IF(Model!CT22=0,"",Model!CT22)</f>
        <v/>
      </c>
      <c r="CW24" s="194" t="str">
        <f aca="false">IF(Model!CU22=0,"",Model!CU22)</f>
        <v/>
      </c>
      <c r="CX24" s="194" t="str">
        <f aca="false">IF(Model!CV22=0,"",Model!CV22)</f>
        <v/>
      </c>
      <c r="CY24" s="194" t="str">
        <f aca="false">IF(Model!CW22=0,"",Model!CW22)</f>
        <v/>
      </c>
      <c r="CZ24" s="194" t="str">
        <f aca="false">IF(Model!CX22=0,"",Model!CX22)</f>
        <v/>
      </c>
      <c r="DA24" s="194" t="str">
        <f aca="false">IF(Model!CY22=0,"",Model!CY22)</f>
        <v/>
      </c>
      <c r="DB24" s="194" t="str">
        <f aca="false">IF(Model!CZ22=0,"",Model!CZ22)</f>
        <v/>
      </c>
    </row>
    <row r="25" customFormat="false" ht="15" hidden="false" customHeight="true" outlineLevel="0" collapsed="false">
      <c r="A25" s="125" t="s">
        <v>17</v>
      </c>
      <c r="B25" s="191" t="n">
        <f aca="false">Projects!$B$12</f>
        <v>7545203</v>
      </c>
      <c r="C25" s="192" t="n">
        <f aca="false">EDATE(Model!$E$2,Projects!$C$12-1)</f>
        <v>46388</v>
      </c>
      <c r="D25" s="192" t="n">
        <f aca="false">EDATE(Model!$E$2,Projects!$C$12+Projects!$D$12-2)</f>
        <v>46935</v>
      </c>
      <c r="E25" s="193" t="n">
        <f aca="false">Projects!$D$12</f>
        <v>19</v>
      </c>
      <c r="F25" s="191" t="n">
        <f aca="false">SUM(G25:DB25)</f>
        <v>6636828.465627</v>
      </c>
      <c r="G25" s="194" t="str">
        <f aca="false">IF(Model!E23=0,"",Model!E23)</f>
        <v/>
      </c>
      <c r="H25" s="194" t="str">
        <f aca="false">IF(Model!F23=0,"",Model!F23)</f>
        <v/>
      </c>
      <c r="I25" s="194" t="str">
        <f aca="false">IF(Model!G23=0,"",Model!G23)</f>
        <v/>
      </c>
      <c r="J25" s="194" t="str">
        <f aca="false">IF(Model!H23=0,"",Model!H23)</f>
        <v/>
      </c>
      <c r="K25" s="194" t="str">
        <f aca="false">IF(Model!I23=0,"",Model!I23)</f>
        <v/>
      </c>
      <c r="L25" s="194" t="str">
        <f aca="false">IF(Model!J23=0,"",Model!J23)</f>
        <v/>
      </c>
      <c r="M25" s="194" t="str">
        <f aca="false">IF(Model!K23=0,"",Model!K23)</f>
        <v/>
      </c>
      <c r="N25" s="194" t="str">
        <f aca="false">IF(Model!L23=0,"",Model!L23)</f>
        <v/>
      </c>
      <c r="O25" s="194" t="str">
        <f aca="false">IF(Model!M23=0,"",Model!M23)</f>
        <v/>
      </c>
      <c r="P25" s="194" t="n">
        <f aca="false">IF(Model!N23=0,"",Model!N23)</f>
        <v>154657.42123235</v>
      </c>
      <c r="Q25" s="194" t="n">
        <f aca="false">IF(Model!O23=0,"",Model!O23)</f>
        <v>201769.66876435</v>
      </c>
      <c r="R25" s="194" t="n">
        <f aca="false">IF(Model!P23=0,"",Model!P23)</f>
        <v>252480.97812735</v>
      </c>
      <c r="S25" s="194" t="n">
        <f aca="false">IF(Model!Q23=0,"",Model!Q23)</f>
        <v>304769.23491735</v>
      </c>
      <c r="T25" s="194" t="n">
        <f aca="false">IF(Model!R23=0,"",Model!R23)</f>
        <v>356121.88653535</v>
      </c>
      <c r="U25" s="194" t="n">
        <f aca="false">IF(Model!S23=0,"",Model!S23)</f>
        <v>403686.84624735</v>
      </c>
      <c r="V25" s="194" t="n">
        <f aca="false">IF(Model!T23=0,"",Model!T23)</f>
        <v>444544.12049235</v>
      </c>
      <c r="W25" s="194" t="n">
        <f aca="false">IF(Model!U23=0,"",Model!U23)</f>
        <v>475984.98139335</v>
      </c>
      <c r="X25" s="194" t="n">
        <f aca="false">IF(Model!V23=0,"",Model!V23)</f>
        <v>495813.77487735</v>
      </c>
      <c r="Y25" s="194" t="n">
        <f aca="false">IF(Model!W23=0,"",Model!W23)</f>
        <v>502589.36717135</v>
      </c>
      <c r="Z25" s="194" t="n">
        <f aca="false">IF(Model!X23=0,"",Model!X23)</f>
        <v>495813.77487735</v>
      </c>
      <c r="AA25" s="194" t="n">
        <f aca="false">IF(Model!Y23=0,"",Model!Y23)</f>
        <v>475984.98139335</v>
      </c>
      <c r="AB25" s="194" t="n">
        <f aca="false">IF(Model!Z23=0,"",Model!Z23)</f>
        <v>444544.12049235</v>
      </c>
      <c r="AC25" s="194" t="n">
        <f aca="false">IF(Model!AA23=0,"",Model!AA23)</f>
        <v>403686.84624735</v>
      </c>
      <c r="AD25" s="194" t="n">
        <f aca="false">IF(Model!AB23=0,"",Model!AB23)</f>
        <v>356121.88653535</v>
      </c>
      <c r="AE25" s="194" t="n">
        <f aca="false">IF(Model!AC23=0,"",Model!AC23)</f>
        <v>304769.23491735</v>
      </c>
      <c r="AF25" s="194" t="n">
        <f aca="false">IF(Model!AD23=0,"",Model!AD23)</f>
        <v>252480.97812735</v>
      </c>
      <c r="AG25" s="194" t="n">
        <f aca="false">IF(Model!AE23=0,"",Model!AE23)</f>
        <v>201769.66876435</v>
      </c>
      <c r="AH25" s="194" t="n">
        <f aca="false">IF(Model!AF23=0,"",Model!AF23)</f>
        <v>109238.6945137</v>
      </c>
      <c r="AI25" s="194" t="str">
        <f aca="false">IF(Model!AG23=0,"",Model!AG23)</f>
        <v/>
      </c>
      <c r="AJ25" s="194" t="str">
        <f aca="false">IF(Model!AH23=0,"",Model!AH23)</f>
        <v/>
      </c>
      <c r="AK25" s="194" t="str">
        <f aca="false">IF(Model!AI23=0,"",Model!AI23)</f>
        <v/>
      </c>
      <c r="AL25" s="194" t="str">
        <f aca="false">IF(Model!AJ23=0,"",Model!AJ23)</f>
        <v/>
      </c>
      <c r="AM25" s="194" t="str">
        <f aca="false">IF(Model!AK23=0,"",Model!AK23)</f>
        <v/>
      </c>
      <c r="AN25" s="194" t="str">
        <f aca="false">IF(Model!AL23=0,"",Model!AL23)</f>
        <v/>
      </c>
      <c r="AO25" s="194" t="str">
        <f aca="false">IF(Model!AM23=0,"",Model!AM23)</f>
        <v/>
      </c>
      <c r="AP25" s="194" t="str">
        <f aca="false">IF(Model!AN23=0,"",Model!AN23)</f>
        <v/>
      </c>
      <c r="AQ25" s="194" t="str">
        <f aca="false">IF(Model!AO23=0,"",Model!AO23)</f>
        <v/>
      </c>
      <c r="AR25" s="194" t="str">
        <f aca="false">IF(Model!AP23=0,"",Model!AP23)</f>
        <v/>
      </c>
      <c r="AS25" s="194" t="str">
        <f aca="false">IF(Model!AQ23=0,"",Model!AQ23)</f>
        <v/>
      </c>
      <c r="AT25" s="194" t="str">
        <f aca="false">IF(Model!AR23=0,"",Model!AR23)</f>
        <v/>
      </c>
      <c r="AU25" s="194" t="str">
        <f aca="false">IF(Model!AS23=0,"",Model!AS23)</f>
        <v/>
      </c>
      <c r="AV25" s="194" t="str">
        <f aca="false">IF(Model!AT23=0,"",Model!AT23)</f>
        <v/>
      </c>
      <c r="AW25" s="194" t="str">
        <f aca="false">IF(Model!AU23=0,"",Model!AU23)</f>
        <v/>
      </c>
      <c r="AX25" s="194" t="str">
        <f aca="false">IF(Model!AV23=0,"",Model!AV23)</f>
        <v/>
      </c>
      <c r="AY25" s="194" t="str">
        <f aca="false">IF(Model!AW23=0,"",Model!AW23)</f>
        <v/>
      </c>
      <c r="AZ25" s="194" t="str">
        <f aca="false">IF(Model!AX23=0,"",Model!AX23)</f>
        <v/>
      </c>
      <c r="BA25" s="194" t="str">
        <f aca="false">IF(Model!AY23=0,"",Model!AY23)</f>
        <v/>
      </c>
      <c r="BB25" s="194" t="str">
        <f aca="false">IF(Model!AZ23=0,"",Model!AZ23)</f>
        <v/>
      </c>
      <c r="BC25" s="194" t="str">
        <f aca="false">IF(Model!BA23=0,"",Model!BA23)</f>
        <v/>
      </c>
      <c r="BD25" s="194" t="str">
        <f aca="false">IF(Model!BB23=0,"",Model!BB23)</f>
        <v/>
      </c>
      <c r="BE25" s="194" t="str">
        <f aca="false">IF(Model!BC23=0,"",Model!BC23)</f>
        <v/>
      </c>
      <c r="BF25" s="194" t="str">
        <f aca="false">IF(Model!BD23=0,"",Model!BD23)</f>
        <v/>
      </c>
      <c r="BG25" s="194" t="str">
        <f aca="false">IF(Model!BE23=0,"",Model!BE23)</f>
        <v/>
      </c>
      <c r="BH25" s="194" t="str">
        <f aca="false">IF(Model!BF23=0,"",Model!BF23)</f>
        <v/>
      </c>
      <c r="BI25" s="194" t="str">
        <f aca="false">IF(Model!BG23=0,"",Model!BG23)</f>
        <v/>
      </c>
      <c r="BJ25" s="194" t="str">
        <f aca="false">IF(Model!BH23=0,"",Model!BH23)</f>
        <v/>
      </c>
      <c r="BK25" s="194" t="str">
        <f aca="false">IF(Model!BI23=0,"",Model!BI23)</f>
        <v/>
      </c>
      <c r="BL25" s="194" t="str">
        <f aca="false">IF(Model!BJ23=0,"",Model!BJ23)</f>
        <v/>
      </c>
      <c r="BM25" s="194" t="str">
        <f aca="false">IF(Model!BK23=0,"",Model!BK23)</f>
        <v/>
      </c>
      <c r="BN25" s="194" t="str">
        <f aca="false">IF(Model!BL23=0,"",Model!BL23)</f>
        <v/>
      </c>
      <c r="BO25" s="194" t="str">
        <f aca="false">IF(Model!BM23=0,"",Model!BM23)</f>
        <v/>
      </c>
      <c r="BP25" s="194" t="str">
        <f aca="false">IF(Model!BN23=0,"",Model!BN23)</f>
        <v/>
      </c>
      <c r="BQ25" s="194" t="str">
        <f aca="false">IF(Model!BO23=0,"",Model!BO23)</f>
        <v/>
      </c>
      <c r="BR25" s="194" t="str">
        <f aca="false">IF(Model!BP23=0,"",Model!BP23)</f>
        <v/>
      </c>
      <c r="BS25" s="194" t="str">
        <f aca="false">IF(Model!BQ23=0,"",Model!BQ23)</f>
        <v/>
      </c>
      <c r="BT25" s="194" t="str">
        <f aca="false">IF(Model!BR23=0,"",Model!BR23)</f>
        <v/>
      </c>
      <c r="BU25" s="194" t="str">
        <f aca="false">IF(Model!BS23=0,"",Model!BS23)</f>
        <v/>
      </c>
      <c r="BV25" s="194" t="str">
        <f aca="false">IF(Model!BT23=0,"",Model!BT23)</f>
        <v/>
      </c>
      <c r="BW25" s="194" t="str">
        <f aca="false">IF(Model!BU23=0,"",Model!BU23)</f>
        <v/>
      </c>
      <c r="BX25" s="194" t="str">
        <f aca="false">IF(Model!BV23=0,"",Model!BV23)</f>
        <v/>
      </c>
      <c r="BY25" s="194" t="str">
        <f aca="false">IF(Model!BW23=0,"",Model!BW23)</f>
        <v/>
      </c>
      <c r="BZ25" s="194" t="str">
        <f aca="false">IF(Model!BX23=0,"",Model!BX23)</f>
        <v/>
      </c>
      <c r="CA25" s="194" t="str">
        <f aca="false">IF(Model!BY23=0,"",Model!BY23)</f>
        <v/>
      </c>
      <c r="CB25" s="194" t="str">
        <f aca="false">IF(Model!BZ23=0,"",Model!BZ23)</f>
        <v/>
      </c>
      <c r="CC25" s="194" t="str">
        <f aca="false">IF(Model!CA23=0,"",Model!CA23)</f>
        <v/>
      </c>
      <c r="CD25" s="194" t="str">
        <f aca="false">IF(Model!CB23=0,"",Model!CB23)</f>
        <v/>
      </c>
      <c r="CE25" s="194" t="str">
        <f aca="false">IF(Model!CC23=0,"",Model!CC23)</f>
        <v/>
      </c>
      <c r="CF25" s="194" t="str">
        <f aca="false">IF(Model!CD23=0,"",Model!CD23)</f>
        <v/>
      </c>
      <c r="CG25" s="194" t="str">
        <f aca="false">IF(Model!CE23=0,"",Model!CE23)</f>
        <v/>
      </c>
      <c r="CH25" s="194" t="str">
        <f aca="false">IF(Model!CF23=0,"",Model!CF23)</f>
        <v/>
      </c>
      <c r="CI25" s="194" t="str">
        <f aca="false">IF(Model!CG23=0,"",Model!CG23)</f>
        <v/>
      </c>
      <c r="CJ25" s="194" t="str">
        <f aca="false">IF(Model!CH23=0,"",Model!CH23)</f>
        <v/>
      </c>
      <c r="CK25" s="194" t="str">
        <f aca="false">IF(Model!CI23=0,"",Model!CI23)</f>
        <v/>
      </c>
      <c r="CL25" s="194" t="str">
        <f aca="false">IF(Model!CJ23=0,"",Model!CJ23)</f>
        <v/>
      </c>
      <c r="CM25" s="194" t="str">
        <f aca="false">IF(Model!CK23=0,"",Model!CK23)</f>
        <v/>
      </c>
      <c r="CN25" s="194" t="str">
        <f aca="false">IF(Model!CL23=0,"",Model!CL23)</f>
        <v/>
      </c>
      <c r="CO25" s="194" t="str">
        <f aca="false">IF(Model!CM23=0,"",Model!CM23)</f>
        <v/>
      </c>
      <c r="CP25" s="194" t="str">
        <f aca="false">IF(Model!CN23=0,"",Model!CN23)</f>
        <v/>
      </c>
      <c r="CQ25" s="194" t="str">
        <f aca="false">IF(Model!CO23=0,"",Model!CO23)</f>
        <v/>
      </c>
      <c r="CR25" s="194" t="str">
        <f aca="false">IF(Model!CP23=0,"",Model!CP23)</f>
        <v/>
      </c>
      <c r="CS25" s="194" t="str">
        <f aca="false">IF(Model!CQ23=0,"",Model!CQ23)</f>
        <v/>
      </c>
      <c r="CT25" s="194" t="str">
        <f aca="false">IF(Model!CR23=0,"",Model!CR23)</f>
        <v/>
      </c>
      <c r="CU25" s="194" t="str">
        <f aca="false">IF(Model!CS23=0,"",Model!CS23)</f>
        <v/>
      </c>
      <c r="CV25" s="194" t="str">
        <f aca="false">IF(Model!CT23=0,"",Model!CT23)</f>
        <v/>
      </c>
      <c r="CW25" s="194" t="str">
        <f aca="false">IF(Model!CU23=0,"",Model!CU23)</f>
        <v/>
      </c>
      <c r="CX25" s="194" t="str">
        <f aca="false">IF(Model!CV23=0,"",Model!CV23)</f>
        <v/>
      </c>
      <c r="CY25" s="194" t="str">
        <f aca="false">IF(Model!CW23=0,"",Model!CW23)</f>
        <v/>
      </c>
      <c r="CZ25" s="194" t="str">
        <f aca="false">IF(Model!CX23=0,"",Model!CX23)</f>
        <v/>
      </c>
      <c r="DA25" s="194" t="str">
        <f aca="false">IF(Model!CY23=0,"",Model!CY23)</f>
        <v/>
      </c>
      <c r="DB25" s="194" t="str">
        <f aca="false">IF(Model!CZ23=0,"",Model!CZ23)</f>
        <v/>
      </c>
    </row>
    <row r="26" customFormat="false" ht="15" hidden="false" customHeight="true" outlineLevel="0" collapsed="false">
      <c r="A26" s="125" t="s">
        <v>23</v>
      </c>
      <c r="B26" s="191" t="n">
        <f aca="false">Projects!$B$20</f>
        <v>25026330.58</v>
      </c>
      <c r="C26" s="192" t="n">
        <f aca="false">EDATE(Model!$E$2,Projects!$C$20-1)</f>
        <v>46692</v>
      </c>
      <c r="D26" s="192" t="n">
        <f aca="false">EDATE(Model!$E$2,Projects!$C$20+Projects!$D$20-2)</f>
        <v>47392</v>
      </c>
      <c r="E26" s="193" t="n">
        <f aca="false">Projects!$D$20</f>
        <v>24</v>
      </c>
      <c r="F26" s="191" t="n">
        <f aca="false">SUM(G26:DB26)</f>
        <v>22013385.6151432</v>
      </c>
      <c r="G26" s="194" t="str">
        <f aca="false">IF(Model!E29=0,"",Model!E29)</f>
        <v/>
      </c>
      <c r="H26" s="194" t="str">
        <f aca="false">IF(Model!F29=0,"",Model!F29)</f>
        <v/>
      </c>
      <c r="I26" s="194" t="str">
        <f aca="false">IF(Model!G29=0,"",Model!G29)</f>
        <v/>
      </c>
      <c r="J26" s="194" t="str">
        <f aca="false">IF(Model!H29=0,"",Model!H29)</f>
        <v/>
      </c>
      <c r="K26" s="194" t="str">
        <f aca="false">IF(Model!I29=0,"",Model!I29)</f>
        <v/>
      </c>
      <c r="L26" s="194" t="str">
        <f aca="false">IF(Model!J29=0,"",Model!J29)</f>
        <v/>
      </c>
      <c r="M26" s="194" t="str">
        <f aca="false">IF(Model!K29=0,"",Model!K29)</f>
        <v/>
      </c>
      <c r="N26" s="194" t="str">
        <f aca="false">IF(Model!L29=0,"",Model!L29)</f>
        <v/>
      </c>
      <c r="O26" s="194" t="str">
        <f aca="false">IF(Model!M29=0,"",Model!M29)</f>
        <v/>
      </c>
      <c r="P26" s="194" t="str">
        <f aca="false">IF(Model!N29=0,"",Model!N29)</f>
        <v/>
      </c>
      <c r="Q26" s="194" t="str">
        <f aca="false">IF(Model!O29=0,"",Model!O29)</f>
        <v/>
      </c>
      <c r="R26" s="194" t="str">
        <f aca="false">IF(Model!P29=0,"",Model!P29)</f>
        <v/>
      </c>
      <c r="S26" s="194" t="str">
        <f aca="false">IF(Model!Q29=0,"",Model!Q29)</f>
        <v/>
      </c>
      <c r="T26" s="194" t="str">
        <f aca="false">IF(Model!R29=0,"",Model!R29)</f>
        <v/>
      </c>
      <c r="U26" s="194" t="str">
        <f aca="false">IF(Model!S29=0,"",Model!S29)</f>
        <v/>
      </c>
      <c r="V26" s="194" t="str">
        <f aca="false">IF(Model!T29=0,"",Model!T29)</f>
        <v/>
      </c>
      <c r="W26" s="194" t="str">
        <f aca="false">IF(Model!U29=0,"",Model!U29)</f>
        <v/>
      </c>
      <c r="X26" s="194" t="str">
        <f aca="false">IF(Model!V29=0,"",Model!V29)</f>
        <v/>
      </c>
      <c r="Y26" s="194" t="str">
        <f aca="false">IF(Model!W29=0,"",Model!W29)</f>
        <v/>
      </c>
      <c r="Z26" s="194" t="n">
        <f aca="false">IF(Model!X29=0,"",Model!X29)</f>
        <v>544360.803130946</v>
      </c>
      <c r="AA26" s="194" t="n">
        <f aca="false">IF(Model!Y29=0,"",Model!Y29)</f>
        <v>700625.211272466</v>
      </c>
      <c r="AB26" s="194" t="n">
        <f aca="false">IF(Model!Z29=0,"",Model!Z29)</f>
        <v>868827.179100646</v>
      </c>
      <c r="AC26" s="194" t="n">
        <f aca="false">IF(Model!AA29=0,"",Model!AA29)</f>
        <v>1042259.65002005</v>
      </c>
      <c r="AD26" s="194" t="n">
        <f aca="false">IF(Model!AB29=0,"",Model!AB29)</f>
        <v>1212588.85594753</v>
      </c>
      <c r="AE26" s="194" t="n">
        <f aca="false">IF(Model!AC29=0,"",Model!AC29)</f>
        <v>1370354.84392385</v>
      </c>
      <c r="AF26" s="194" t="n">
        <f aca="false">IF(Model!AD29=0,"",Model!AD29)</f>
        <v>1505872.42401455</v>
      </c>
      <c r="AG26" s="194" t="n">
        <f aca="false">IF(Model!AE29=0,"",Model!AE29)</f>
        <v>1610157.14354141</v>
      </c>
      <c r="AH26" s="194" t="n">
        <f aca="false">IF(Model!AF29=0,"",Model!AF29)</f>
        <v>1675926.34030565</v>
      </c>
      <c r="AI26" s="194" t="n">
        <f aca="false">IF(Model!AG29=0,"",Model!AG29)</f>
        <v>1698399.98516649</v>
      </c>
      <c r="AJ26" s="194" t="n">
        <f aca="false">IF(Model!AH29=0,"",Model!AH29)</f>
        <v>1675926.34030565</v>
      </c>
      <c r="AK26" s="194" t="n">
        <f aca="false">IF(Model!AI29=0,"",Model!AI29)</f>
        <v>1610157.14354141</v>
      </c>
      <c r="AL26" s="194" t="n">
        <f aca="false">IF(Model!AJ29=0,"",Model!AJ29)</f>
        <v>1505872.42401455</v>
      </c>
      <c r="AM26" s="194" t="n">
        <f aca="false">IF(Model!AK29=0,"",Model!AK29)</f>
        <v>1370354.84392385</v>
      </c>
      <c r="AN26" s="194" t="n">
        <f aca="false">IF(Model!AL29=0,"",Model!AL29)</f>
        <v>1212588.85594753</v>
      </c>
      <c r="AO26" s="194" t="n">
        <f aca="false">IF(Model!AM29=0,"",Model!AM29)</f>
        <v>1042259.65002005</v>
      </c>
      <c r="AP26" s="194" t="n">
        <f aca="false">IF(Model!AN29=0,"",Model!AN29)</f>
        <v>868827.179100646</v>
      </c>
      <c r="AQ26" s="194" t="n">
        <f aca="false">IF(Model!AO29=0,"",Model!AO29)</f>
        <v>700625.211272466</v>
      </c>
      <c r="AR26" s="194" t="n">
        <f aca="false">IF(Model!AP29=0,"",Model!AP29)</f>
        <v>544360.803130946</v>
      </c>
      <c r="AS26" s="194" t="n">
        <f aca="false">IF(Model!AQ29=0,"",Model!AQ29)</f>
        <v>-119262.404858914</v>
      </c>
      <c r="AT26" s="194" t="n">
        <f aca="false">IF(Model!AR29=0,"",Model!AR29)</f>
        <v>-119262.404858914</v>
      </c>
      <c r="AU26" s="194" t="n">
        <f aca="false">IF(Model!AS29=0,"",Model!AS29)</f>
        <v>-119262.404858914</v>
      </c>
      <c r="AV26" s="194" t="n">
        <f aca="false">IF(Model!AT29=0,"",Model!AT29)</f>
        <v>-119262.404858914</v>
      </c>
      <c r="AW26" s="194" t="n">
        <f aca="false">IF(Model!AU29=0,"",Model!AU29)</f>
        <v>-269909.653101753</v>
      </c>
      <c r="AX26" s="194" t="str">
        <f aca="false">IF(Model!AV29=0,"",Model!AV29)</f>
        <v/>
      </c>
      <c r="AY26" s="194" t="str">
        <f aca="false">IF(Model!AW29=0,"",Model!AW29)</f>
        <v/>
      </c>
      <c r="AZ26" s="194" t="str">
        <f aca="false">IF(Model!AX29=0,"",Model!AX29)</f>
        <v/>
      </c>
      <c r="BA26" s="194" t="str">
        <f aca="false">IF(Model!AY29=0,"",Model!AY29)</f>
        <v/>
      </c>
      <c r="BB26" s="194" t="str">
        <f aca="false">IF(Model!AZ29=0,"",Model!AZ29)</f>
        <v/>
      </c>
      <c r="BC26" s="194" t="str">
        <f aca="false">IF(Model!BA29=0,"",Model!BA29)</f>
        <v/>
      </c>
      <c r="BD26" s="194" t="str">
        <f aca="false">IF(Model!BB29=0,"",Model!BB29)</f>
        <v/>
      </c>
      <c r="BE26" s="194" t="str">
        <f aca="false">IF(Model!BC29=0,"",Model!BC29)</f>
        <v/>
      </c>
      <c r="BF26" s="194" t="str">
        <f aca="false">IF(Model!BD29=0,"",Model!BD29)</f>
        <v/>
      </c>
      <c r="BG26" s="194" t="str">
        <f aca="false">IF(Model!BE29=0,"",Model!BE29)</f>
        <v/>
      </c>
      <c r="BH26" s="194" t="str">
        <f aca="false">IF(Model!BF29=0,"",Model!BF29)</f>
        <v/>
      </c>
      <c r="BI26" s="194" t="str">
        <f aca="false">IF(Model!BG29=0,"",Model!BG29)</f>
        <v/>
      </c>
      <c r="BJ26" s="194" t="str">
        <f aca="false">IF(Model!BH29=0,"",Model!BH29)</f>
        <v/>
      </c>
      <c r="BK26" s="194" t="str">
        <f aca="false">IF(Model!BI29=0,"",Model!BI29)</f>
        <v/>
      </c>
      <c r="BL26" s="194" t="str">
        <f aca="false">IF(Model!BJ29=0,"",Model!BJ29)</f>
        <v/>
      </c>
      <c r="BM26" s="194" t="str">
        <f aca="false">IF(Model!BK29=0,"",Model!BK29)</f>
        <v/>
      </c>
      <c r="BN26" s="194" t="str">
        <f aca="false">IF(Model!BL29=0,"",Model!BL29)</f>
        <v/>
      </c>
      <c r="BO26" s="194" t="str">
        <f aca="false">IF(Model!BM29=0,"",Model!BM29)</f>
        <v/>
      </c>
      <c r="BP26" s="194" t="str">
        <f aca="false">IF(Model!BN29=0,"",Model!BN29)</f>
        <v/>
      </c>
      <c r="BQ26" s="194" t="str">
        <f aca="false">IF(Model!BO29=0,"",Model!BO29)</f>
        <v/>
      </c>
      <c r="BR26" s="194" t="str">
        <f aca="false">IF(Model!BP29=0,"",Model!BP29)</f>
        <v/>
      </c>
      <c r="BS26" s="194" t="str">
        <f aca="false">IF(Model!BQ29=0,"",Model!BQ29)</f>
        <v/>
      </c>
      <c r="BT26" s="194" t="str">
        <f aca="false">IF(Model!BR29=0,"",Model!BR29)</f>
        <v/>
      </c>
      <c r="BU26" s="194" t="str">
        <f aca="false">IF(Model!BS29=0,"",Model!BS29)</f>
        <v/>
      </c>
      <c r="BV26" s="194" t="str">
        <f aca="false">IF(Model!BT29=0,"",Model!BT29)</f>
        <v/>
      </c>
      <c r="BW26" s="194" t="str">
        <f aca="false">IF(Model!BU29=0,"",Model!BU29)</f>
        <v/>
      </c>
      <c r="BX26" s="194" t="str">
        <f aca="false">IF(Model!BV29=0,"",Model!BV29)</f>
        <v/>
      </c>
      <c r="BY26" s="194" t="str">
        <f aca="false">IF(Model!BW29=0,"",Model!BW29)</f>
        <v/>
      </c>
      <c r="BZ26" s="194" t="str">
        <f aca="false">IF(Model!BX29=0,"",Model!BX29)</f>
        <v/>
      </c>
      <c r="CA26" s="194" t="str">
        <f aca="false">IF(Model!BY29=0,"",Model!BY29)</f>
        <v/>
      </c>
      <c r="CB26" s="194" t="str">
        <f aca="false">IF(Model!BZ29=0,"",Model!BZ29)</f>
        <v/>
      </c>
      <c r="CC26" s="194" t="str">
        <f aca="false">IF(Model!CA29=0,"",Model!CA29)</f>
        <v/>
      </c>
      <c r="CD26" s="194" t="str">
        <f aca="false">IF(Model!CB29=0,"",Model!CB29)</f>
        <v/>
      </c>
      <c r="CE26" s="194" t="str">
        <f aca="false">IF(Model!CC29=0,"",Model!CC29)</f>
        <v/>
      </c>
      <c r="CF26" s="194" t="str">
        <f aca="false">IF(Model!CD29=0,"",Model!CD29)</f>
        <v/>
      </c>
      <c r="CG26" s="194" t="str">
        <f aca="false">IF(Model!CE29=0,"",Model!CE29)</f>
        <v/>
      </c>
      <c r="CH26" s="194" t="str">
        <f aca="false">IF(Model!CF29=0,"",Model!CF29)</f>
        <v/>
      </c>
      <c r="CI26" s="194" t="str">
        <f aca="false">IF(Model!CG29=0,"",Model!CG29)</f>
        <v/>
      </c>
      <c r="CJ26" s="194" t="str">
        <f aca="false">IF(Model!CH29=0,"",Model!CH29)</f>
        <v/>
      </c>
      <c r="CK26" s="194" t="str">
        <f aca="false">IF(Model!CI29=0,"",Model!CI29)</f>
        <v/>
      </c>
      <c r="CL26" s="194" t="str">
        <f aca="false">IF(Model!CJ29=0,"",Model!CJ29)</f>
        <v/>
      </c>
      <c r="CM26" s="194" t="str">
        <f aca="false">IF(Model!CK29=0,"",Model!CK29)</f>
        <v/>
      </c>
      <c r="CN26" s="194" t="str">
        <f aca="false">IF(Model!CL29=0,"",Model!CL29)</f>
        <v/>
      </c>
      <c r="CO26" s="194" t="str">
        <f aca="false">IF(Model!CM29=0,"",Model!CM29)</f>
        <v/>
      </c>
      <c r="CP26" s="194" t="str">
        <f aca="false">IF(Model!CN29=0,"",Model!CN29)</f>
        <v/>
      </c>
      <c r="CQ26" s="194" t="str">
        <f aca="false">IF(Model!CO29=0,"",Model!CO29)</f>
        <v/>
      </c>
      <c r="CR26" s="194" t="str">
        <f aca="false">IF(Model!CP29=0,"",Model!CP29)</f>
        <v/>
      </c>
      <c r="CS26" s="194" t="str">
        <f aca="false">IF(Model!CQ29=0,"",Model!CQ29)</f>
        <v/>
      </c>
      <c r="CT26" s="194" t="str">
        <f aca="false">IF(Model!CR29=0,"",Model!CR29)</f>
        <v/>
      </c>
      <c r="CU26" s="194" t="str">
        <f aca="false">IF(Model!CS29=0,"",Model!CS29)</f>
        <v/>
      </c>
      <c r="CV26" s="194" t="str">
        <f aca="false">IF(Model!CT29=0,"",Model!CT29)</f>
        <v/>
      </c>
      <c r="CW26" s="194" t="str">
        <f aca="false">IF(Model!CU29=0,"",Model!CU29)</f>
        <v/>
      </c>
      <c r="CX26" s="194" t="str">
        <f aca="false">IF(Model!CV29=0,"",Model!CV29)</f>
        <v/>
      </c>
      <c r="CY26" s="194" t="str">
        <f aca="false">IF(Model!CW29=0,"",Model!CW29)</f>
        <v/>
      </c>
      <c r="CZ26" s="194" t="str">
        <f aca="false">IF(Model!CX29=0,"",Model!CX29)</f>
        <v/>
      </c>
      <c r="DA26" s="194" t="str">
        <f aca="false">IF(Model!CY29=0,"",Model!CY29)</f>
        <v/>
      </c>
      <c r="DB26" s="194" t="str">
        <f aca="false">IF(Model!CZ29=0,"",Model!CZ29)</f>
        <v/>
      </c>
    </row>
    <row r="27" customFormat="false" ht="15" hidden="false" customHeight="true" outlineLevel="0" collapsed="false">
      <c r="A27" s="125" t="s">
        <v>24</v>
      </c>
      <c r="B27" s="191" t="n">
        <f aca="false">Projects!$B$21</f>
        <v>15189508.75</v>
      </c>
      <c r="C27" s="192" t="n">
        <f aca="false">EDATE(Model!$E$2,Projects!$C$21-1)</f>
        <v>46388</v>
      </c>
      <c r="D27" s="192" t="n">
        <f aca="false">EDATE(Model!$E$2,Projects!$C$21+Projects!$D$21-2)</f>
        <v>46935</v>
      </c>
      <c r="E27" s="193" t="n">
        <f aca="false">Projects!$D$21</f>
        <v>19</v>
      </c>
      <c r="F27" s="191" t="n">
        <f aca="false">SUM(G27:DB27)</f>
        <v>13360828.6020788</v>
      </c>
      <c r="G27" s="194" t="str">
        <f aca="false">IF(Model!E30=0,"",Model!E30)</f>
        <v/>
      </c>
      <c r="H27" s="194" t="str">
        <f aca="false">IF(Model!F30=0,"",Model!F30)</f>
        <v/>
      </c>
      <c r="I27" s="194" t="str">
        <f aca="false">IF(Model!G30=0,"",Model!G30)</f>
        <v/>
      </c>
      <c r="J27" s="194" t="str">
        <f aca="false">IF(Model!H30=0,"",Model!H30)</f>
        <v/>
      </c>
      <c r="K27" s="194" t="str">
        <f aca="false">IF(Model!I30=0,"",Model!I30)</f>
        <v/>
      </c>
      <c r="L27" s="194" t="str">
        <f aca="false">IF(Model!J30=0,"",Model!J30)</f>
        <v/>
      </c>
      <c r="M27" s="194" t="str">
        <f aca="false">IF(Model!K30=0,"",Model!K30)</f>
        <v/>
      </c>
      <c r="N27" s="194" t="str">
        <f aca="false">IF(Model!L30=0,"",Model!L30)</f>
        <v/>
      </c>
      <c r="O27" s="194" t="str">
        <f aca="false">IF(Model!M30=0,"",Model!M30)</f>
        <v/>
      </c>
      <c r="P27" s="194" t="n">
        <f aca="false">IF(Model!N30=0,"",Model!N30)</f>
        <v>311346.196127688</v>
      </c>
      <c r="Q27" s="194" t="n">
        <f aca="false">IF(Model!O30=0,"",Model!O30)</f>
        <v>406189.488762688</v>
      </c>
      <c r="R27" s="194" t="n">
        <f aca="false">IF(Model!P30=0,"",Model!P30)</f>
        <v>508278.177071438</v>
      </c>
      <c r="S27" s="194" t="n">
        <f aca="false">IF(Model!Q30=0,"",Model!Q30)</f>
        <v>613541.472708938</v>
      </c>
      <c r="T27" s="194" t="n">
        <f aca="false">IF(Model!R30=0,"",Model!R30)</f>
        <v>716921.269261438</v>
      </c>
      <c r="U27" s="194" t="n">
        <f aca="false">IF(Model!S30=0,"",Model!S30)</f>
        <v>812675.932421438</v>
      </c>
      <c r="V27" s="194" t="n">
        <f aca="false">IF(Model!T30=0,"",Model!T30)</f>
        <v>894927.122302687</v>
      </c>
      <c r="W27" s="194" t="n">
        <f aca="false">IF(Model!U30=0,"",Model!U30)</f>
        <v>958221.805263938</v>
      </c>
      <c r="X27" s="194" t="n">
        <f aca="false">IF(Model!V30=0,"",Model!V30)</f>
        <v>998139.834258938</v>
      </c>
      <c r="Y27" s="194" t="n">
        <f aca="false">IF(Model!W30=0,"",Model!W30)</f>
        <v>1011780.01311644</v>
      </c>
      <c r="Z27" s="194" t="n">
        <f aca="false">IF(Model!X30=0,"",Model!X30)</f>
        <v>998139.834258938</v>
      </c>
      <c r="AA27" s="194" t="n">
        <f aca="false">IF(Model!Y30=0,"",Model!Y30)</f>
        <v>958221.805263938</v>
      </c>
      <c r="AB27" s="194" t="n">
        <f aca="false">IF(Model!Z30=0,"",Model!Z30)</f>
        <v>894927.122302687</v>
      </c>
      <c r="AC27" s="194" t="n">
        <f aca="false">IF(Model!AA30=0,"",Model!AA30)</f>
        <v>812675.932421438</v>
      </c>
      <c r="AD27" s="194" t="n">
        <f aca="false">IF(Model!AB30=0,"",Model!AB30)</f>
        <v>716921.269261438</v>
      </c>
      <c r="AE27" s="194" t="n">
        <f aca="false">IF(Model!AC30=0,"",Model!AC30)</f>
        <v>613541.472708938</v>
      </c>
      <c r="AF27" s="194" t="n">
        <f aca="false">IF(Model!AD30=0,"",Model!AD30)</f>
        <v>508278.177071438</v>
      </c>
      <c r="AG27" s="194" t="n">
        <f aca="false">IF(Model!AE30=0,"",Model!AE30)</f>
        <v>406189.488762688</v>
      </c>
      <c r="AH27" s="194" t="n">
        <f aca="false">IF(Model!AF30=0,"",Model!AF30)</f>
        <v>219912.188731625</v>
      </c>
      <c r="AI27" s="194" t="str">
        <f aca="false">IF(Model!AG30=0,"",Model!AG30)</f>
        <v/>
      </c>
      <c r="AJ27" s="194" t="str">
        <f aca="false">IF(Model!AH30=0,"",Model!AH30)</f>
        <v/>
      </c>
      <c r="AK27" s="194" t="str">
        <f aca="false">IF(Model!AI30=0,"",Model!AI30)</f>
        <v/>
      </c>
      <c r="AL27" s="194" t="str">
        <f aca="false">IF(Model!AJ30=0,"",Model!AJ30)</f>
        <v/>
      </c>
      <c r="AM27" s="194" t="str">
        <f aca="false">IF(Model!AK30=0,"",Model!AK30)</f>
        <v/>
      </c>
      <c r="AN27" s="194" t="str">
        <f aca="false">IF(Model!AL30=0,"",Model!AL30)</f>
        <v/>
      </c>
      <c r="AO27" s="194" t="str">
        <f aca="false">IF(Model!AM30=0,"",Model!AM30)</f>
        <v/>
      </c>
      <c r="AP27" s="194" t="str">
        <f aca="false">IF(Model!AN30=0,"",Model!AN30)</f>
        <v/>
      </c>
      <c r="AQ27" s="194" t="str">
        <f aca="false">IF(Model!AO30=0,"",Model!AO30)</f>
        <v/>
      </c>
      <c r="AR27" s="194" t="str">
        <f aca="false">IF(Model!AP30=0,"",Model!AP30)</f>
        <v/>
      </c>
      <c r="AS27" s="194" t="str">
        <f aca="false">IF(Model!AQ30=0,"",Model!AQ30)</f>
        <v/>
      </c>
      <c r="AT27" s="194" t="str">
        <f aca="false">IF(Model!AR30=0,"",Model!AR30)</f>
        <v/>
      </c>
      <c r="AU27" s="194" t="str">
        <f aca="false">IF(Model!AS30=0,"",Model!AS30)</f>
        <v/>
      </c>
      <c r="AV27" s="194" t="str">
        <f aca="false">IF(Model!AT30=0,"",Model!AT30)</f>
        <v/>
      </c>
      <c r="AW27" s="194" t="str">
        <f aca="false">IF(Model!AU30=0,"",Model!AU30)</f>
        <v/>
      </c>
      <c r="AX27" s="194" t="str">
        <f aca="false">IF(Model!AV30=0,"",Model!AV30)</f>
        <v/>
      </c>
      <c r="AY27" s="194" t="str">
        <f aca="false">IF(Model!AW30=0,"",Model!AW30)</f>
        <v/>
      </c>
      <c r="AZ27" s="194" t="str">
        <f aca="false">IF(Model!AX30=0,"",Model!AX30)</f>
        <v/>
      </c>
      <c r="BA27" s="194" t="str">
        <f aca="false">IF(Model!AY30=0,"",Model!AY30)</f>
        <v/>
      </c>
      <c r="BB27" s="194" t="str">
        <f aca="false">IF(Model!AZ30=0,"",Model!AZ30)</f>
        <v/>
      </c>
      <c r="BC27" s="194" t="str">
        <f aca="false">IF(Model!BA30=0,"",Model!BA30)</f>
        <v/>
      </c>
      <c r="BD27" s="194" t="str">
        <f aca="false">IF(Model!BB30=0,"",Model!BB30)</f>
        <v/>
      </c>
      <c r="BE27" s="194" t="str">
        <f aca="false">IF(Model!BC30=0,"",Model!BC30)</f>
        <v/>
      </c>
      <c r="BF27" s="194" t="str">
        <f aca="false">IF(Model!BD30=0,"",Model!BD30)</f>
        <v/>
      </c>
      <c r="BG27" s="194" t="str">
        <f aca="false">IF(Model!BE30=0,"",Model!BE30)</f>
        <v/>
      </c>
      <c r="BH27" s="194" t="str">
        <f aca="false">IF(Model!BF30=0,"",Model!BF30)</f>
        <v/>
      </c>
      <c r="BI27" s="194" t="str">
        <f aca="false">IF(Model!BG30=0,"",Model!BG30)</f>
        <v/>
      </c>
      <c r="BJ27" s="194" t="str">
        <f aca="false">IF(Model!BH30=0,"",Model!BH30)</f>
        <v/>
      </c>
      <c r="BK27" s="194" t="str">
        <f aca="false">IF(Model!BI30=0,"",Model!BI30)</f>
        <v/>
      </c>
      <c r="BL27" s="194" t="str">
        <f aca="false">IF(Model!BJ30=0,"",Model!BJ30)</f>
        <v/>
      </c>
      <c r="BM27" s="194" t="str">
        <f aca="false">IF(Model!BK30=0,"",Model!BK30)</f>
        <v/>
      </c>
      <c r="BN27" s="194" t="str">
        <f aca="false">IF(Model!BL30=0,"",Model!BL30)</f>
        <v/>
      </c>
      <c r="BO27" s="194" t="str">
        <f aca="false">IF(Model!BM30=0,"",Model!BM30)</f>
        <v/>
      </c>
      <c r="BP27" s="194" t="str">
        <f aca="false">IF(Model!BN30=0,"",Model!BN30)</f>
        <v/>
      </c>
      <c r="BQ27" s="194" t="str">
        <f aca="false">IF(Model!BO30=0,"",Model!BO30)</f>
        <v/>
      </c>
      <c r="BR27" s="194" t="str">
        <f aca="false">IF(Model!BP30=0,"",Model!BP30)</f>
        <v/>
      </c>
      <c r="BS27" s="194" t="str">
        <f aca="false">IF(Model!BQ30=0,"",Model!BQ30)</f>
        <v/>
      </c>
      <c r="BT27" s="194" t="str">
        <f aca="false">IF(Model!BR30=0,"",Model!BR30)</f>
        <v/>
      </c>
      <c r="BU27" s="194" t="str">
        <f aca="false">IF(Model!BS30=0,"",Model!BS30)</f>
        <v/>
      </c>
      <c r="BV27" s="194" t="str">
        <f aca="false">IF(Model!BT30=0,"",Model!BT30)</f>
        <v/>
      </c>
      <c r="BW27" s="194" t="str">
        <f aca="false">IF(Model!BU30=0,"",Model!BU30)</f>
        <v/>
      </c>
      <c r="BX27" s="194" t="str">
        <f aca="false">IF(Model!BV30=0,"",Model!BV30)</f>
        <v/>
      </c>
      <c r="BY27" s="194" t="str">
        <f aca="false">IF(Model!BW30=0,"",Model!BW30)</f>
        <v/>
      </c>
      <c r="BZ27" s="194" t="str">
        <f aca="false">IF(Model!BX30=0,"",Model!BX30)</f>
        <v/>
      </c>
      <c r="CA27" s="194" t="str">
        <f aca="false">IF(Model!BY30=0,"",Model!BY30)</f>
        <v/>
      </c>
      <c r="CB27" s="194" t="str">
        <f aca="false">IF(Model!BZ30=0,"",Model!BZ30)</f>
        <v/>
      </c>
      <c r="CC27" s="194" t="str">
        <f aca="false">IF(Model!CA30=0,"",Model!CA30)</f>
        <v/>
      </c>
      <c r="CD27" s="194" t="str">
        <f aca="false">IF(Model!CB30=0,"",Model!CB30)</f>
        <v/>
      </c>
      <c r="CE27" s="194" t="str">
        <f aca="false">IF(Model!CC30=0,"",Model!CC30)</f>
        <v/>
      </c>
      <c r="CF27" s="194" t="str">
        <f aca="false">IF(Model!CD30=0,"",Model!CD30)</f>
        <v/>
      </c>
      <c r="CG27" s="194" t="str">
        <f aca="false">IF(Model!CE30=0,"",Model!CE30)</f>
        <v/>
      </c>
      <c r="CH27" s="194" t="str">
        <f aca="false">IF(Model!CF30=0,"",Model!CF30)</f>
        <v/>
      </c>
      <c r="CI27" s="194" t="str">
        <f aca="false">IF(Model!CG30=0,"",Model!CG30)</f>
        <v/>
      </c>
      <c r="CJ27" s="194" t="str">
        <f aca="false">IF(Model!CH30=0,"",Model!CH30)</f>
        <v/>
      </c>
      <c r="CK27" s="194" t="str">
        <f aca="false">IF(Model!CI30=0,"",Model!CI30)</f>
        <v/>
      </c>
      <c r="CL27" s="194" t="str">
        <f aca="false">IF(Model!CJ30=0,"",Model!CJ30)</f>
        <v/>
      </c>
      <c r="CM27" s="194" t="str">
        <f aca="false">IF(Model!CK30=0,"",Model!CK30)</f>
        <v/>
      </c>
      <c r="CN27" s="194" t="str">
        <f aca="false">IF(Model!CL30=0,"",Model!CL30)</f>
        <v/>
      </c>
      <c r="CO27" s="194" t="str">
        <f aca="false">IF(Model!CM30=0,"",Model!CM30)</f>
        <v/>
      </c>
      <c r="CP27" s="194" t="str">
        <f aca="false">IF(Model!CN30=0,"",Model!CN30)</f>
        <v/>
      </c>
      <c r="CQ27" s="194" t="str">
        <f aca="false">IF(Model!CO30=0,"",Model!CO30)</f>
        <v/>
      </c>
      <c r="CR27" s="194" t="str">
        <f aca="false">IF(Model!CP30=0,"",Model!CP30)</f>
        <v/>
      </c>
      <c r="CS27" s="194" t="str">
        <f aca="false">IF(Model!CQ30=0,"",Model!CQ30)</f>
        <v/>
      </c>
      <c r="CT27" s="194" t="str">
        <f aca="false">IF(Model!CR30=0,"",Model!CR30)</f>
        <v/>
      </c>
      <c r="CU27" s="194" t="str">
        <f aca="false">IF(Model!CS30=0,"",Model!CS30)</f>
        <v/>
      </c>
      <c r="CV27" s="194" t="str">
        <f aca="false">IF(Model!CT30=0,"",Model!CT30)</f>
        <v/>
      </c>
      <c r="CW27" s="194" t="str">
        <f aca="false">IF(Model!CU30=0,"",Model!CU30)</f>
        <v/>
      </c>
      <c r="CX27" s="194" t="str">
        <f aca="false">IF(Model!CV30=0,"",Model!CV30)</f>
        <v/>
      </c>
      <c r="CY27" s="194" t="str">
        <f aca="false">IF(Model!CW30=0,"",Model!CW30)</f>
        <v/>
      </c>
      <c r="CZ27" s="194" t="str">
        <f aca="false">IF(Model!CX30=0,"",Model!CX30)</f>
        <v/>
      </c>
      <c r="DA27" s="194" t="str">
        <f aca="false">IF(Model!CY30=0,"",Model!CY30)</f>
        <v/>
      </c>
      <c r="DB27" s="194" t="str">
        <f aca="false">IF(Model!CZ30=0,"",Model!CZ30)</f>
        <v/>
      </c>
    </row>
    <row r="28" customFormat="false" ht="15" hidden="false" customHeight="true" outlineLevel="0" collapsed="false">
      <c r="A28" s="125" t="s">
        <v>25</v>
      </c>
      <c r="B28" s="191" t="n">
        <f aca="false">Projects!$B$22</f>
        <v>15000000</v>
      </c>
      <c r="C28" s="192" t="n">
        <f aca="false">EDATE(Model!$E$2,Projects!$C$22-1)</f>
        <v>47027</v>
      </c>
      <c r="D28" s="192" t="n">
        <f aca="false">EDATE(Model!$E$2,Projects!$C$22+Projects!$D$22-2)</f>
        <v>47574</v>
      </c>
      <c r="E28" s="193" t="n">
        <f aca="false">Projects!$D$22</f>
        <v>19</v>
      </c>
      <c r="F28" s="191" t="n">
        <f aca="false">SUM(G28:DB28)</f>
        <v>0</v>
      </c>
      <c r="G28" s="194" t="str">
        <f aca="false">IF(Model!E31=0,"",Model!E31)</f>
        <v/>
      </c>
      <c r="H28" s="194" t="str">
        <f aca="false">IF(Model!F31=0,"",Model!F31)</f>
        <v/>
      </c>
      <c r="I28" s="194" t="str">
        <f aca="false">IF(Model!G31=0,"",Model!G31)</f>
        <v/>
      </c>
      <c r="J28" s="194" t="str">
        <f aca="false">IF(Model!H31=0,"",Model!H31)</f>
        <v/>
      </c>
      <c r="K28" s="194" t="str">
        <f aca="false">IF(Model!I31=0,"",Model!I31)</f>
        <v/>
      </c>
      <c r="L28" s="194" t="str">
        <f aca="false">IF(Model!J31=0,"",Model!J31)</f>
        <v/>
      </c>
      <c r="M28" s="194" t="str">
        <f aca="false">IF(Model!K31=0,"",Model!K31)</f>
        <v/>
      </c>
      <c r="N28" s="194" t="str">
        <f aca="false">IF(Model!L31=0,"",Model!L31)</f>
        <v/>
      </c>
      <c r="O28" s="194" t="str">
        <f aca="false">IF(Model!M31=0,"",Model!M31)</f>
        <v/>
      </c>
      <c r="P28" s="194" t="str">
        <f aca="false">IF(Model!N31=0,"",Model!N31)</f>
        <v/>
      </c>
      <c r="Q28" s="194" t="str">
        <f aca="false">IF(Model!O31=0,"",Model!O31)</f>
        <v/>
      </c>
      <c r="R28" s="194" t="str">
        <f aca="false">IF(Model!P31=0,"",Model!P31)</f>
        <v/>
      </c>
      <c r="S28" s="194" t="str">
        <f aca="false">IF(Model!Q31=0,"",Model!Q31)</f>
        <v/>
      </c>
      <c r="T28" s="194" t="str">
        <f aca="false">IF(Model!R31=0,"",Model!R31)</f>
        <v/>
      </c>
      <c r="U28" s="194" t="str">
        <f aca="false">IF(Model!S31=0,"",Model!S31)</f>
        <v/>
      </c>
      <c r="V28" s="194" t="str">
        <f aca="false">IF(Model!T31=0,"",Model!T31)</f>
        <v/>
      </c>
      <c r="W28" s="194" t="str">
        <f aca="false">IF(Model!U31=0,"",Model!U31)</f>
        <v/>
      </c>
      <c r="X28" s="194" t="str">
        <f aca="false">IF(Model!V31=0,"",Model!V31)</f>
        <v/>
      </c>
      <c r="Y28" s="194" t="str">
        <f aca="false">IF(Model!W31=0,"",Model!W31)</f>
        <v/>
      </c>
      <c r="Z28" s="194" t="str">
        <f aca="false">IF(Model!X31=0,"",Model!X31)</f>
        <v/>
      </c>
      <c r="AA28" s="194" t="str">
        <f aca="false">IF(Model!Y31=0,"",Model!Y31)</f>
        <v/>
      </c>
      <c r="AB28" s="194" t="str">
        <f aca="false">IF(Model!Z31=0,"",Model!Z31)</f>
        <v/>
      </c>
      <c r="AC28" s="194" t="str">
        <f aca="false">IF(Model!AA31=0,"",Model!AA31)</f>
        <v/>
      </c>
      <c r="AD28" s="194" t="str">
        <f aca="false">IF(Model!AB31=0,"",Model!AB31)</f>
        <v/>
      </c>
      <c r="AE28" s="194" t="str">
        <f aca="false">IF(Model!AC31=0,"",Model!AC31)</f>
        <v/>
      </c>
      <c r="AF28" s="194" t="str">
        <f aca="false">IF(Model!AD31=0,"",Model!AD31)</f>
        <v/>
      </c>
      <c r="AG28" s="194" t="str">
        <f aca="false">IF(Model!AE31=0,"",Model!AE31)</f>
        <v/>
      </c>
      <c r="AH28" s="194" t="str">
        <f aca="false">IF(Model!AF31=0,"",Model!AF31)</f>
        <v/>
      </c>
      <c r="AI28" s="194" t="str">
        <f aca="false">IF(Model!AG31=0,"",Model!AG31)</f>
        <v/>
      </c>
      <c r="AJ28" s="194" t="str">
        <f aca="false">IF(Model!AH31=0,"",Model!AH31)</f>
        <v/>
      </c>
      <c r="AK28" s="194" t="str">
        <f aca="false">IF(Model!AI31=0,"",Model!AI31)</f>
        <v/>
      </c>
      <c r="AL28" s="194" t="str">
        <f aca="false">IF(Model!AJ31=0,"",Model!AJ31)</f>
        <v/>
      </c>
      <c r="AM28" s="194" t="str">
        <f aca="false">IF(Model!AK31=0,"",Model!AK31)</f>
        <v/>
      </c>
      <c r="AN28" s="194" t="str">
        <f aca="false">IF(Model!AL31=0,"",Model!AL31)</f>
        <v/>
      </c>
      <c r="AO28" s="194" t="str">
        <f aca="false">IF(Model!AM31=0,"",Model!AM31)</f>
        <v/>
      </c>
      <c r="AP28" s="194" t="str">
        <f aca="false">IF(Model!AN31=0,"",Model!AN31)</f>
        <v/>
      </c>
      <c r="AQ28" s="194" t="str">
        <f aca="false">IF(Model!AO31=0,"",Model!AO31)</f>
        <v/>
      </c>
      <c r="AR28" s="194" t="str">
        <f aca="false">IF(Model!AP31=0,"",Model!AP31)</f>
        <v/>
      </c>
      <c r="AS28" s="194" t="str">
        <f aca="false">IF(Model!AQ31=0,"",Model!AQ31)</f>
        <v/>
      </c>
      <c r="AT28" s="194" t="str">
        <f aca="false">IF(Model!AR31=0,"",Model!AR31)</f>
        <v/>
      </c>
      <c r="AU28" s="194" t="str">
        <f aca="false">IF(Model!AS31=0,"",Model!AS31)</f>
        <v/>
      </c>
      <c r="AV28" s="194" t="str">
        <f aca="false">IF(Model!AT31=0,"",Model!AT31)</f>
        <v/>
      </c>
      <c r="AW28" s="194" t="str">
        <f aca="false">IF(Model!AU31=0,"",Model!AU31)</f>
        <v/>
      </c>
      <c r="AX28" s="194" t="str">
        <f aca="false">IF(Model!AV31=0,"",Model!AV31)</f>
        <v/>
      </c>
      <c r="AY28" s="194" t="str">
        <f aca="false">IF(Model!AW31=0,"",Model!AW31)</f>
        <v/>
      </c>
      <c r="AZ28" s="194" t="str">
        <f aca="false">IF(Model!AX31=0,"",Model!AX31)</f>
        <v/>
      </c>
      <c r="BA28" s="194" t="str">
        <f aca="false">IF(Model!AY31=0,"",Model!AY31)</f>
        <v/>
      </c>
      <c r="BB28" s="194" t="str">
        <f aca="false">IF(Model!AZ31=0,"",Model!AZ31)</f>
        <v/>
      </c>
      <c r="BC28" s="194" t="str">
        <f aca="false">IF(Model!BA31=0,"",Model!BA31)</f>
        <v/>
      </c>
      <c r="BD28" s="194" t="str">
        <f aca="false">IF(Model!BB31=0,"",Model!BB31)</f>
        <v/>
      </c>
      <c r="BE28" s="194" t="str">
        <f aca="false">IF(Model!BC31=0,"",Model!BC31)</f>
        <v/>
      </c>
      <c r="BF28" s="194" t="str">
        <f aca="false">IF(Model!BD31=0,"",Model!BD31)</f>
        <v/>
      </c>
      <c r="BG28" s="194" t="str">
        <f aca="false">IF(Model!BE31=0,"",Model!BE31)</f>
        <v/>
      </c>
      <c r="BH28" s="194" t="str">
        <f aca="false">IF(Model!BF31=0,"",Model!BF31)</f>
        <v/>
      </c>
      <c r="BI28" s="194" t="str">
        <f aca="false">IF(Model!BG31=0,"",Model!BG31)</f>
        <v/>
      </c>
      <c r="BJ28" s="194" t="str">
        <f aca="false">IF(Model!BH31=0,"",Model!BH31)</f>
        <v/>
      </c>
      <c r="BK28" s="194" t="str">
        <f aca="false">IF(Model!BI31=0,"",Model!BI31)</f>
        <v/>
      </c>
      <c r="BL28" s="194" t="str">
        <f aca="false">IF(Model!BJ31=0,"",Model!BJ31)</f>
        <v/>
      </c>
      <c r="BM28" s="194" t="str">
        <f aca="false">IF(Model!BK31=0,"",Model!BK31)</f>
        <v/>
      </c>
      <c r="BN28" s="194" t="str">
        <f aca="false">IF(Model!BL31=0,"",Model!BL31)</f>
        <v/>
      </c>
      <c r="BO28" s="194" t="str">
        <f aca="false">IF(Model!BM31=0,"",Model!BM31)</f>
        <v/>
      </c>
      <c r="BP28" s="194" t="str">
        <f aca="false">IF(Model!BN31=0,"",Model!BN31)</f>
        <v/>
      </c>
      <c r="BQ28" s="194" t="str">
        <f aca="false">IF(Model!BO31=0,"",Model!BO31)</f>
        <v/>
      </c>
      <c r="BR28" s="194" t="str">
        <f aca="false">IF(Model!BP31=0,"",Model!BP31)</f>
        <v/>
      </c>
      <c r="BS28" s="194" t="str">
        <f aca="false">IF(Model!BQ31=0,"",Model!BQ31)</f>
        <v/>
      </c>
      <c r="BT28" s="194" t="str">
        <f aca="false">IF(Model!BR31=0,"",Model!BR31)</f>
        <v/>
      </c>
      <c r="BU28" s="194" t="str">
        <f aca="false">IF(Model!BS31=0,"",Model!BS31)</f>
        <v/>
      </c>
      <c r="BV28" s="194" t="str">
        <f aca="false">IF(Model!BT31=0,"",Model!BT31)</f>
        <v/>
      </c>
      <c r="BW28" s="194" t="str">
        <f aca="false">IF(Model!BU31=0,"",Model!BU31)</f>
        <v/>
      </c>
      <c r="BX28" s="194" t="str">
        <f aca="false">IF(Model!BV31=0,"",Model!BV31)</f>
        <v/>
      </c>
      <c r="BY28" s="194" t="str">
        <f aca="false">IF(Model!BW31=0,"",Model!BW31)</f>
        <v/>
      </c>
      <c r="BZ28" s="194" t="str">
        <f aca="false">IF(Model!BX31=0,"",Model!BX31)</f>
        <v/>
      </c>
      <c r="CA28" s="194" t="str">
        <f aca="false">IF(Model!BY31=0,"",Model!BY31)</f>
        <v/>
      </c>
      <c r="CB28" s="194" t="str">
        <f aca="false">IF(Model!BZ31=0,"",Model!BZ31)</f>
        <v/>
      </c>
      <c r="CC28" s="194" t="str">
        <f aca="false">IF(Model!CA31=0,"",Model!CA31)</f>
        <v/>
      </c>
      <c r="CD28" s="194" t="str">
        <f aca="false">IF(Model!CB31=0,"",Model!CB31)</f>
        <v/>
      </c>
      <c r="CE28" s="194" t="str">
        <f aca="false">IF(Model!CC31=0,"",Model!CC31)</f>
        <v/>
      </c>
      <c r="CF28" s="194" t="str">
        <f aca="false">IF(Model!CD31=0,"",Model!CD31)</f>
        <v/>
      </c>
      <c r="CG28" s="194" t="str">
        <f aca="false">IF(Model!CE31=0,"",Model!CE31)</f>
        <v/>
      </c>
      <c r="CH28" s="194" t="str">
        <f aca="false">IF(Model!CF31=0,"",Model!CF31)</f>
        <v/>
      </c>
      <c r="CI28" s="194" t="str">
        <f aca="false">IF(Model!CG31=0,"",Model!CG31)</f>
        <v/>
      </c>
      <c r="CJ28" s="194" t="str">
        <f aca="false">IF(Model!CH31=0,"",Model!CH31)</f>
        <v/>
      </c>
      <c r="CK28" s="194" t="str">
        <f aca="false">IF(Model!CI31=0,"",Model!CI31)</f>
        <v/>
      </c>
      <c r="CL28" s="194" t="str">
        <f aca="false">IF(Model!CJ31=0,"",Model!CJ31)</f>
        <v/>
      </c>
      <c r="CM28" s="194" t="str">
        <f aca="false">IF(Model!CK31=0,"",Model!CK31)</f>
        <v/>
      </c>
      <c r="CN28" s="194" t="str">
        <f aca="false">IF(Model!CL31=0,"",Model!CL31)</f>
        <v/>
      </c>
      <c r="CO28" s="194" t="str">
        <f aca="false">IF(Model!CM31=0,"",Model!CM31)</f>
        <v/>
      </c>
      <c r="CP28" s="194" t="str">
        <f aca="false">IF(Model!CN31=0,"",Model!CN31)</f>
        <v/>
      </c>
      <c r="CQ28" s="194" t="str">
        <f aca="false">IF(Model!CO31=0,"",Model!CO31)</f>
        <v/>
      </c>
      <c r="CR28" s="194" t="str">
        <f aca="false">IF(Model!CP31=0,"",Model!CP31)</f>
        <v/>
      </c>
      <c r="CS28" s="194" t="str">
        <f aca="false">IF(Model!CQ31=0,"",Model!CQ31)</f>
        <v/>
      </c>
      <c r="CT28" s="194" t="str">
        <f aca="false">IF(Model!CR31=0,"",Model!CR31)</f>
        <v/>
      </c>
      <c r="CU28" s="194" t="str">
        <f aca="false">IF(Model!CS31=0,"",Model!CS31)</f>
        <v/>
      </c>
      <c r="CV28" s="194" t="str">
        <f aca="false">IF(Model!CT31=0,"",Model!CT31)</f>
        <v/>
      </c>
      <c r="CW28" s="194" t="str">
        <f aca="false">IF(Model!CU31=0,"",Model!CU31)</f>
        <v/>
      </c>
      <c r="CX28" s="194" t="str">
        <f aca="false">IF(Model!CV31=0,"",Model!CV31)</f>
        <v/>
      </c>
      <c r="CY28" s="194" t="str">
        <f aca="false">IF(Model!CW31=0,"",Model!CW31)</f>
        <v/>
      </c>
      <c r="CZ28" s="194" t="str">
        <f aca="false">IF(Model!CX31=0,"",Model!CX31)</f>
        <v/>
      </c>
      <c r="DA28" s="194" t="str">
        <f aca="false">IF(Model!CY31=0,"",Model!CY31)</f>
        <v/>
      </c>
      <c r="DB28" s="194" t="str">
        <f aca="false">IF(Model!CZ31=0,"",Model!CZ31)</f>
        <v/>
      </c>
    </row>
    <row r="29" customFormat="false" ht="15" hidden="false" customHeight="true" outlineLevel="0" collapsed="false">
      <c r="A29" s="125" t="s">
        <v>26</v>
      </c>
      <c r="B29" s="191" t="n">
        <f aca="false">Projects!$B$23</f>
        <v>15000000</v>
      </c>
      <c r="C29" s="192" t="n">
        <f aca="false">EDATE(Model!$E$2,Projects!$C$23-1)</f>
        <v>47119</v>
      </c>
      <c r="D29" s="192" t="n">
        <f aca="false">EDATE(Model!$E$2,Projects!$C$23+Projects!$D$23-2)</f>
        <v>47665</v>
      </c>
      <c r="E29" s="193" t="n">
        <f aca="false">Projects!$D$23</f>
        <v>19</v>
      </c>
      <c r="F29" s="191" t="n">
        <f aca="false">SUM(G29:DB29)</f>
        <v>0</v>
      </c>
      <c r="G29" s="194" t="str">
        <f aca="false">IF(Model!E32=0,"",Model!E32)</f>
        <v/>
      </c>
      <c r="H29" s="194" t="str">
        <f aca="false">IF(Model!F32=0,"",Model!F32)</f>
        <v/>
      </c>
      <c r="I29" s="194" t="str">
        <f aca="false">IF(Model!G32=0,"",Model!G32)</f>
        <v/>
      </c>
      <c r="J29" s="194" t="str">
        <f aca="false">IF(Model!H32=0,"",Model!H32)</f>
        <v/>
      </c>
      <c r="K29" s="194" t="str">
        <f aca="false">IF(Model!I32=0,"",Model!I32)</f>
        <v/>
      </c>
      <c r="L29" s="194" t="str">
        <f aca="false">IF(Model!J32=0,"",Model!J32)</f>
        <v/>
      </c>
      <c r="M29" s="194" t="str">
        <f aca="false">IF(Model!K32=0,"",Model!K32)</f>
        <v/>
      </c>
      <c r="N29" s="194" t="str">
        <f aca="false">IF(Model!L32=0,"",Model!L32)</f>
        <v/>
      </c>
      <c r="O29" s="194" t="str">
        <f aca="false">IF(Model!M32=0,"",Model!M32)</f>
        <v/>
      </c>
      <c r="P29" s="194" t="str">
        <f aca="false">IF(Model!N32=0,"",Model!N32)</f>
        <v/>
      </c>
      <c r="Q29" s="194" t="str">
        <f aca="false">IF(Model!O32=0,"",Model!O32)</f>
        <v/>
      </c>
      <c r="R29" s="194" t="str">
        <f aca="false">IF(Model!P32=0,"",Model!P32)</f>
        <v/>
      </c>
      <c r="S29" s="194" t="str">
        <f aca="false">IF(Model!Q32=0,"",Model!Q32)</f>
        <v/>
      </c>
      <c r="T29" s="194" t="str">
        <f aca="false">IF(Model!R32=0,"",Model!R32)</f>
        <v/>
      </c>
      <c r="U29" s="194" t="str">
        <f aca="false">IF(Model!S32=0,"",Model!S32)</f>
        <v/>
      </c>
      <c r="V29" s="194" t="str">
        <f aca="false">IF(Model!T32=0,"",Model!T32)</f>
        <v/>
      </c>
      <c r="W29" s="194" t="str">
        <f aca="false">IF(Model!U32=0,"",Model!U32)</f>
        <v/>
      </c>
      <c r="X29" s="194" t="str">
        <f aca="false">IF(Model!V32=0,"",Model!V32)</f>
        <v/>
      </c>
      <c r="Y29" s="194" t="str">
        <f aca="false">IF(Model!W32=0,"",Model!W32)</f>
        <v/>
      </c>
      <c r="Z29" s="194" t="str">
        <f aca="false">IF(Model!X32=0,"",Model!X32)</f>
        <v/>
      </c>
      <c r="AA29" s="194" t="str">
        <f aca="false">IF(Model!Y32=0,"",Model!Y32)</f>
        <v/>
      </c>
      <c r="AB29" s="194" t="str">
        <f aca="false">IF(Model!Z32=0,"",Model!Z32)</f>
        <v/>
      </c>
      <c r="AC29" s="194" t="str">
        <f aca="false">IF(Model!AA32=0,"",Model!AA32)</f>
        <v/>
      </c>
      <c r="AD29" s="194" t="str">
        <f aca="false">IF(Model!AB32=0,"",Model!AB32)</f>
        <v/>
      </c>
      <c r="AE29" s="194" t="str">
        <f aca="false">IF(Model!AC32=0,"",Model!AC32)</f>
        <v/>
      </c>
      <c r="AF29" s="194" t="str">
        <f aca="false">IF(Model!AD32=0,"",Model!AD32)</f>
        <v/>
      </c>
      <c r="AG29" s="194" t="str">
        <f aca="false">IF(Model!AE32=0,"",Model!AE32)</f>
        <v/>
      </c>
      <c r="AH29" s="194" t="str">
        <f aca="false">IF(Model!AF32=0,"",Model!AF32)</f>
        <v/>
      </c>
      <c r="AI29" s="194" t="str">
        <f aca="false">IF(Model!AG32=0,"",Model!AG32)</f>
        <v/>
      </c>
      <c r="AJ29" s="194" t="str">
        <f aca="false">IF(Model!AH32=0,"",Model!AH32)</f>
        <v/>
      </c>
      <c r="AK29" s="194" t="str">
        <f aca="false">IF(Model!AI32=0,"",Model!AI32)</f>
        <v/>
      </c>
      <c r="AL29" s="194" t="str">
        <f aca="false">IF(Model!AJ32=0,"",Model!AJ32)</f>
        <v/>
      </c>
      <c r="AM29" s="194" t="str">
        <f aca="false">IF(Model!AK32=0,"",Model!AK32)</f>
        <v/>
      </c>
      <c r="AN29" s="194" t="str">
        <f aca="false">IF(Model!AL32=0,"",Model!AL32)</f>
        <v/>
      </c>
      <c r="AO29" s="194" t="str">
        <f aca="false">IF(Model!AM32=0,"",Model!AM32)</f>
        <v/>
      </c>
      <c r="AP29" s="194" t="str">
        <f aca="false">IF(Model!AN32=0,"",Model!AN32)</f>
        <v/>
      </c>
      <c r="AQ29" s="194" t="str">
        <f aca="false">IF(Model!AO32=0,"",Model!AO32)</f>
        <v/>
      </c>
      <c r="AR29" s="194" t="str">
        <f aca="false">IF(Model!AP32=0,"",Model!AP32)</f>
        <v/>
      </c>
      <c r="AS29" s="194" t="str">
        <f aca="false">IF(Model!AQ32=0,"",Model!AQ32)</f>
        <v/>
      </c>
      <c r="AT29" s="194" t="str">
        <f aca="false">IF(Model!AR32=0,"",Model!AR32)</f>
        <v/>
      </c>
      <c r="AU29" s="194" t="str">
        <f aca="false">IF(Model!AS32=0,"",Model!AS32)</f>
        <v/>
      </c>
      <c r="AV29" s="194" t="str">
        <f aca="false">IF(Model!AT32=0,"",Model!AT32)</f>
        <v/>
      </c>
      <c r="AW29" s="194" t="str">
        <f aca="false">IF(Model!AU32=0,"",Model!AU32)</f>
        <v/>
      </c>
      <c r="AX29" s="194" t="str">
        <f aca="false">IF(Model!AV32=0,"",Model!AV32)</f>
        <v/>
      </c>
      <c r="AY29" s="194" t="str">
        <f aca="false">IF(Model!AW32=0,"",Model!AW32)</f>
        <v/>
      </c>
      <c r="AZ29" s="194" t="str">
        <f aca="false">IF(Model!AX32=0,"",Model!AX32)</f>
        <v/>
      </c>
      <c r="BA29" s="194" t="str">
        <f aca="false">IF(Model!AY32=0,"",Model!AY32)</f>
        <v/>
      </c>
      <c r="BB29" s="194" t="str">
        <f aca="false">IF(Model!AZ32=0,"",Model!AZ32)</f>
        <v/>
      </c>
      <c r="BC29" s="194" t="str">
        <f aca="false">IF(Model!BA32=0,"",Model!BA32)</f>
        <v/>
      </c>
      <c r="BD29" s="194" t="str">
        <f aca="false">IF(Model!BB32=0,"",Model!BB32)</f>
        <v/>
      </c>
      <c r="BE29" s="194" t="str">
        <f aca="false">IF(Model!BC32=0,"",Model!BC32)</f>
        <v/>
      </c>
      <c r="BF29" s="194" t="str">
        <f aca="false">IF(Model!BD32=0,"",Model!BD32)</f>
        <v/>
      </c>
      <c r="BG29" s="194" t="str">
        <f aca="false">IF(Model!BE32=0,"",Model!BE32)</f>
        <v/>
      </c>
      <c r="BH29" s="194" t="str">
        <f aca="false">IF(Model!BF32=0,"",Model!BF32)</f>
        <v/>
      </c>
      <c r="BI29" s="194" t="str">
        <f aca="false">IF(Model!BG32=0,"",Model!BG32)</f>
        <v/>
      </c>
      <c r="BJ29" s="194" t="str">
        <f aca="false">IF(Model!BH32=0,"",Model!BH32)</f>
        <v/>
      </c>
      <c r="BK29" s="194" t="str">
        <f aca="false">IF(Model!BI32=0,"",Model!BI32)</f>
        <v/>
      </c>
      <c r="BL29" s="194" t="str">
        <f aca="false">IF(Model!BJ32=0,"",Model!BJ32)</f>
        <v/>
      </c>
      <c r="BM29" s="194" t="str">
        <f aca="false">IF(Model!BK32=0,"",Model!BK32)</f>
        <v/>
      </c>
      <c r="BN29" s="194" t="str">
        <f aca="false">IF(Model!BL32=0,"",Model!BL32)</f>
        <v/>
      </c>
      <c r="BO29" s="194" t="str">
        <f aca="false">IF(Model!BM32=0,"",Model!BM32)</f>
        <v/>
      </c>
      <c r="BP29" s="194" t="str">
        <f aca="false">IF(Model!BN32=0,"",Model!BN32)</f>
        <v/>
      </c>
      <c r="BQ29" s="194" t="str">
        <f aca="false">IF(Model!BO32=0,"",Model!BO32)</f>
        <v/>
      </c>
      <c r="BR29" s="194" t="str">
        <f aca="false">IF(Model!BP32=0,"",Model!BP32)</f>
        <v/>
      </c>
      <c r="BS29" s="194" t="str">
        <f aca="false">IF(Model!BQ32=0,"",Model!BQ32)</f>
        <v/>
      </c>
      <c r="BT29" s="194" t="str">
        <f aca="false">IF(Model!BR32=0,"",Model!BR32)</f>
        <v/>
      </c>
      <c r="BU29" s="194" t="str">
        <f aca="false">IF(Model!BS32=0,"",Model!BS32)</f>
        <v/>
      </c>
      <c r="BV29" s="194" t="str">
        <f aca="false">IF(Model!BT32=0,"",Model!BT32)</f>
        <v/>
      </c>
      <c r="BW29" s="194" t="str">
        <f aca="false">IF(Model!BU32=0,"",Model!BU32)</f>
        <v/>
      </c>
      <c r="BX29" s="194" t="str">
        <f aca="false">IF(Model!BV32=0,"",Model!BV32)</f>
        <v/>
      </c>
      <c r="BY29" s="194" t="str">
        <f aca="false">IF(Model!BW32=0,"",Model!BW32)</f>
        <v/>
      </c>
      <c r="BZ29" s="194" t="str">
        <f aca="false">IF(Model!BX32=0,"",Model!BX32)</f>
        <v/>
      </c>
      <c r="CA29" s="194" t="str">
        <f aca="false">IF(Model!BY32=0,"",Model!BY32)</f>
        <v/>
      </c>
      <c r="CB29" s="194" t="str">
        <f aca="false">IF(Model!BZ32=0,"",Model!BZ32)</f>
        <v/>
      </c>
      <c r="CC29" s="194" t="str">
        <f aca="false">IF(Model!CA32=0,"",Model!CA32)</f>
        <v/>
      </c>
      <c r="CD29" s="194" t="str">
        <f aca="false">IF(Model!CB32=0,"",Model!CB32)</f>
        <v/>
      </c>
      <c r="CE29" s="194" t="str">
        <f aca="false">IF(Model!CC32=0,"",Model!CC32)</f>
        <v/>
      </c>
      <c r="CF29" s="194" t="str">
        <f aca="false">IF(Model!CD32=0,"",Model!CD32)</f>
        <v/>
      </c>
      <c r="CG29" s="194" t="str">
        <f aca="false">IF(Model!CE32=0,"",Model!CE32)</f>
        <v/>
      </c>
      <c r="CH29" s="194" t="str">
        <f aca="false">IF(Model!CF32=0,"",Model!CF32)</f>
        <v/>
      </c>
      <c r="CI29" s="194" t="str">
        <f aca="false">IF(Model!CG32=0,"",Model!CG32)</f>
        <v/>
      </c>
      <c r="CJ29" s="194" t="str">
        <f aca="false">IF(Model!CH32=0,"",Model!CH32)</f>
        <v/>
      </c>
      <c r="CK29" s="194" t="str">
        <f aca="false">IF(Model!CI32=0,"",Model!CI32)</f>
        <v/>
      </c>
      <c r="CL29" s="194" t="str">
        <f aca="false">IF(Model!CJ32=0,"",Model!CJ32)</f>
        <v/>
      </c>
      <c r="CM29" s="194" t="str">
        <f aca="false">IF(Model!CK32=0,"",Model!CK32)</f>
        <v/>
      </c>
      <c r="CN29" s="194" t="str">
        <f aca="false">IF(Model!CL32=0,"",Model!CL32)</f>
        <v/>
      </c>
      <c r="CO29" s="194" t="str">
        <f aca="false">IF(Model!CM32=0,"",Model!CM32)</f>
        <v/>
      </c>
      <c r="CP29" s="194" t="str">
        <f aca="false">IF(Model!CN32=0,"",Model!CN32)</f>
        <v/>
      </c>
      <c r="CQ29" s="194" t="str">
        <f aca="false">IF(Model!CO32=0,"",Model!CO32)</f>
        <v/>
      </c>
      <c r="CR29" s="194" t="str">
        <f aca="false">IF(Model!CP32=0,"",Model!CP32)</f>
        <v/>
      </c>
      <c r="CS29" s="194" t="str">
        <f aca="false">IF(Model!CQ32=0,"",Model!CQ32)</f>
        <v/>
      </c>
      <c r="CT29" s="194" t="str">
        <f aca="false">IF(Model!CR32=0,"",Model!CR32)</f>
        <v/>
      </c>
      <c r="CU29" s="194" t="str">
        <f aca="false">IF(Model!CS32=0,"",Model!CS32)</f>
        <v/>
      </c>
      <c r="CV29" s="194" t="str">
        <f aca="false">IF(Model!CT32=0,"",Model!CT32)</f>
        <v/>
      </c>
      <c r="CW29" s="194" t="str">
        <f aca="false">IF(Model!CU32=0,"",Model!CU32)</f>
        <v/>
      </c>
      <c r="CX29" s="194" t="str">
        <f aca="false">IF(Model!CV32=0,"",Model!CV32)</f>
        <v/>
      </c>
      <c r="CY29" s="194" t="str">
        <f aca="false">IF(Model!CW32=0,"",Model!CW32)</f>
        <v/>
      </c>
      <c r="CZ29" s="194" t="str">
        <f aca="false">IF(Model!CX32=0,"",Model!CX32)</f>
        <v/>
      </c>
      <c r="DA29" s="194" t="str">
        <f aca="false">IF(Model!CY32=0,"",Model!CY32)</f>
        <v/>
      </c>
      <c r="DB29" s="194" t="str">
        <f aca="false">IF(Model!CZ32=0,"",Model!CZ32)</f>
        <v/>
      </c>
    </row>
    <row r="30" customFormat="false" ht="15" hidden="false" customHeight="true" outlineLevel="0" collapsed="false">
      <c r="A30" s="125" t="s">
        <v>27</v>
      </c>
      <c r="B30" s="191" t="n">
        <f aca="false">Projects!$B$24</f>
        <v>18000000</v>
      </c>
      <c r="C30" s="192" t="n">
        <f aca="false">EDATE(Model!$E$2,Projects!$C$24-1)</f>
        <v>47209</v>
      </c>
      <c r="D30" s="192" t="n">
        <f aca="false">EDATE(Model!$E$2,Projects!$C$24+Projects!$D$24-2)</f>
        <v>47757</v>
      </c>
      <c r="E30" s="193" t="n">
        <f aca="false">Projects!$D$24</f>
        <v>19</v>
      </c>
      <c r="F30" s="191" t="n">
        <f aca="false">SUM(G30:DB30)</f>
        <v>0</v>
      </c>
      <c r="G30" s="194" t="str">
        <f aca="false">IF(Model!E33=0,"",Model!E33)</f>
        <v/>
      </c>
      <c r="H30" s="194" t="str">
        <f aca="false">IF(Model!F33=0,"",Model!F33)</f>
        <v/>
      </c>
      <c r="I30" s="194" t="str">
        <f aca="false">IF(Model!G33=0,"",Model!G33)</f>
        <v/>
      </c>
      <c r="J30" s="194" t="str">
        <f aca="false">IF(Model!H33=0,"",Model!H33)</f>
        <v/>
      </c>
      <c r="K30" s="194" t="str">
        <f aca="false">IF(Model!I33=0,"",Model!I33)</f>
        <v/>
      </c>
      <c r="L30" s="194" t="str">
        <f aca="false">IF(Model!J33=0,"",Model!J33)</f>
        <v/>
      </c>
      <c r="M30" s="194" t="str">
        <f aca="false">IF(Model!K33=0,"",Model!K33)</f>
        <v/>
      </c>
      <c r="N30" s="194" t="str">
        <f aca="false">IF(Model!L33=0,"",Model!L33)</f>
        <v/>
      </c>
      <c r="O30" s="194" t="str">
        <f aca="false">IF(Model!M33=0,"",Model!M33)</f>
        <v/>
      </c>
      <c r="P30" s="194" t="str">
        <f aca="false">IF(Model!N33=0,"",Model!N33)</f>
        <v/>
      </c>
      <c r="Q30" s="194" t="str">
        <f aca="false">IF(Model!O33=0,"",Model!O33)</f>
        <v/>
      </c>
      <c r="R30" s="194" t="str">
        <f aca="false">IF(Model!P33=0,"",Model!P33)</f>
        <v/>
      </c>
      <c r="S30" s="194" t="str">
        <f aca="false">IF(Model!Q33=0,"",Model!Q33)</f>
        <v/>
      </c>
      <c r="T30" s="194" t="str">
        <f aca="false">IF(Model!R33=0,"",Model!R33)</f>
        <v/>
      </c>
      <c r="U30" s="194" t="str">
        <f aca="false">IF(Model!S33=0,"",Model!S33)</f>
        <v/>
      </c>
      <c r="V30" s="194" t="str">
        <f aca="false">IF(Model!T33=0,"",Model!T33)</f>
        <v/>
      </c>
      <c r="W30" s="194" t="str">
        <f aca="false">IF(Model!U33=0,"",Model!U33)</f>
        <v/>
      </c>
      <c r="X30" s="194" t="str">
        <f aca="false">IF(Model!V33=0,"",Model!V33)</f>
        <v/>
      </c>
      <c r="Y30" s="194" t="str">
        <f aca="false">IF(Model!W33=0,"",Model!W33)</f>
        <v/>
      </c>
      <c r="Z30" s="194" t="str">
        <f aca="false">IF(Model!X33=0,"",Model!X33)</f>
        <v/>
      </c>
      <c r="AA30" s="194" t="str">
        <f aca="false">IF(Model!Y33=0,"",Model!Y33)</f>
        <v/>
      </c>
      <c r="AB30" s="194" t="str">
        <f aca="false">IF(Model!Z33=0,"",Model!Z33)</f>
        <v/>
      </c>
      <c r="AC30" s="194" t="str">
        <f aca="false">IF(Model!AA33=0,"",Model!AA33)</f>
        <v/>
      </c>
      <c r="AD30" s="194" t="str">
        <f aca="false">IF(Model!AB33=0,"",Model!AB33)</f>
        <v/>
      </c>
      <c r="AE30" s="194" t="str">
        <f aca="false">IF(Model!AC33=0,"",Model!AC33)</f>
        <v/>
      </c>
      <c r="AF30" s="194" t="str">
        <f aca="false">IF(Model!AD33=0,"",Model!AD33)</f>
        <v/>
      </c>
      <c r="AG30" s="194" t="str">
        <f aca="false">IF(Model!AE33=0,"",Model!AE33)</f>
        <v/>
      </c>
      <c r="AH30" s="194" t="str">
        <f aca="false">IF(Model!AF33=0,"",Model!AF33)</f>
        <v/>
      </c>
      <c r="AI30" s="194" t="str">
        <f aca="false">IF(Model!AG33=0,"",Model!AG33)</f>
        <v/>
      </c>
      <c r="AJ30" s="194" t="str">
        <f aca="false">IF(Model!AH33=0,"",Model!AH33)</f>
        <v/>
      </c>
      <c r="AK30" s="194" t="str">
        <f aca="false">IF(Model!AI33=0,"",Model!AI33)</f>
        <v/>
      </c>
      <c r="AL30" s="194" t="str">
        <f aca="false">IF(Model!AJ33=0,"",Model!AJ33)</f>
        <v/>
      </c>
      <c r="AM30" s="194" t="str">
        <f aca="false">IF(Model!AK33=0,"",Model!AK33)</f>
        <v/>
      </c>
      <c r="AN30" s="194" t="str">
        <f aca="false">IF(Model!AL33=0,"",Model!AL33)</f>
        <v/>
      </c>
      <c r="AO30" s="194" t="str">
        <f aca="false">IF(Model!AM33=0,"",Model!AM33)</f>
        <v/>
      </c>
      <c r="AP30" s="194" t="str">
        <f aca="false">IF(Model!AN33=0,"",Model!AN33)</f>
        <v/>
      </c>
      <c r="AQ30" s="194" t="str">
        <f aca="false">IF(Model!AO33=0,"",Model!AO33)</f>
        <v/>
      </c>
      <c r="AR30" s="194" t="str">
        <f aca="false">IF(Model!AP33=0,"",Model!AP33)</f>
        <v/>
      </c>
      <c r="AS30" s="194" t="str">
        <f aca="false">IF(Model!AQ33=0,"",Model!AQ33)</f>
        <v/>
      </c>
      <c r="AT30" s="194" t="str">
        <f aca="false">IF(Model!AR33=0,"",Model!AR33)</f>
        <v/>
      </c>
      <c r="AU30" s="194" t="str">
        <f aca="false">IF(Model!AS33=0,"",Model!AS33)</f>
        <v/>
      </c>
      <c r="AV30" s="194" t="str">
        <f aca="false">IF(Model!AT33=0,"",Model!AT33)</f>
        <v/>
      </c>
      <c r="AW30" s="194" t="str">
        <f aca="false">IF(Model!AU33=0,"",Model!AU33)</f>
        <v/>
      </c>
      <c r="AX30" s="194" t="str">
        <f aca="false">IF(Model!AV33=0,"",Model!AV33)</f>
        <v/>
      </c>
      <c r="AY30" s="194" t="str">
        <f aca="false">IF(Model!AW33=0,"",Model!AW33)</f>
        <v/>
      </c>
      <c r="AZ30" s="194" t="str">
        <f aca="false">IF(Model!AX33=0,"",Model!AX33)</f>
        <v/>
      </c>
      <c r="BA30" s="194" t="str">
        <f aca="false">IF(Model!AY33=0,"",Model!AY33)</f>
        <v/>
      </c>
      <c r="BB30" s="194" t="str">
        <f aca="false">IF(Model!AZ33=0,"",Model!AZ33)</f>
        <v/>
      </c>
      <c r="BC30" s="194" t="str">
        <f aca="false">IF(Model!BA33=0,"",Model!BA33)</f>
        <v/>
      </c>
      <c r="BD30" s="194" t="str">
        <f aca="false">IF(Model!BB33=0,"",Model!BB33)</f>
        <v/>
      </c>
      <c r="BE30" s="194" t="str">
        <f aca="false">IF(Model!BC33=0,"",Model!BC33)</f>
        <v/>
      </c>
      <c r="BF30" s="194" t="str">
        <f aca="false">IF(Model!BD33=0,"",Model!BD33)</f>
        <v/>
      </c>
      <c r="BG30" s="194" t="str">
        <f aca="false">IF(Model!BE33=0,"",Model!BE33)</f>
        <v/>
      </c>
      <c r="BH30" s="194" t="str">
        <f aca="false">IF(Model!BF33=0,"",Model!BF33)</f>
        <v/>
      </c>
      <c r="BI30" s="194" t="str">
        <f aca="false">IF(Model!BG33=0,"",Model!BG33)</f>
        <v/>
      </c>
      <c r="BJ30" s="194" t="str">
        <f aca="false">IF(Model!BH33=0,"",Model!BH33)</f>
        <v/>
      </c>
      <c r="BK30" s="194" t="str">
        <f aca="false">IF(Model!BI33=0,"",Model!BI33)</f>
        <v/>
      </c>
      <c r="BL30" s="194" t="str">
        <f aca="false">IF(Model!BJ33=0,"",Model!BJ33)</f>
        <v/>
      </c>
      <c r="BM30" s="194" t="str">
        <f aca="false">IF(Model!BK33=0,"",Model!BK33)</f>
        <v/>
      </c>
      <c r="BN30" s="194" t="str">
        <f aca="false">IF(Model!BL33=0,"",Model!BL33)</f>
        <v/>
      </c>
      <c r="BO30" s="194" t="str">
        <f aca="false">IF(Model!BM33=0,"",Model!BM33)</f>
        <v/>
      </c>
      <c r="BP30" s="194" t="str">
        <f aca="false">IF(Model!BN33=0,"",Model!BN33)</f>
        <v/>
      </c>
      <c r="BQ30" s="194" t="str">
        <f aca="false">IF(Model!BO33=0,"",Model!BO33)</f>
        <v/>
      </c>
      <c r="BR30" s="194" t="str">
        <f aca="false">IF(Model!BP33=0,"",Model!BP33)</f>
        <v/>
      </c>
      <c r="BS30" s="194" t="str">
        <f aca="false">IF(Model!BQ33=0,"",Model!BQ33)</f>
        <v/>
      </c>
      <c r="BT30" s="194" t="str">
        <f aca="false">IF(Model!BR33=0,"",Model!BR33)</f>
        <v/>
      </c>
      <c r="BU30" s="194" t="str">
        <f aca="false">IF(Model!BS33=0,"",Model!BS33)</f>
        <v/>
      </c>
      <c r="BV30" s="194" t="str">
        <f aca="false">IF(Model!BT33=0,"",Model!BT33)</f>
        <v/>
      </c>
      <c r="BW30" s="194" t="str">
        <f aca="false">IF(Model!BU33=0,"",Model!BU33)</f>
        <v/>
      </c>
      <c r="BX30" s="194" t="str">
        <f aca="false">IF(Model!BV33=0,"",Model!BV33)</f>
        <v/>
      </c>
      <c r="BY30" s="194" t="str">
        <f aca="false">IF(Model!BW33=0,"",Model!BW33)</f>
        <v/>
      </c>
      <c r="BZ30" s="194" t="str">
        <f aca="false">IF(Model!BX33=0,"",Model!BX33)</f>
        <v/>
      </c>
      <c r="CA30" s="194" t="str">
        <f aca="false">IF(Model!BY33=0,"",Model!BY33)</f>
        <v/>
      </c>
      <c r="CB30" s="194" t="str">
        <f aca="false">IF(Model!BZ33=0,"",Model!BZ33)</f>
        <v/>
      </c>
      <c r="CC30" s="194" t="str">
        <f aca="false">IF(Model!CA33=0,"",Model!CA33)</f>
        <v/>
      </c>
      <c r="CD30" s="194" t="str">
        <f aca="false">IF(Model!CB33=0,"",Model!CB33)</f>
        <v/>
      </c>
      <c r="CE30" s="194" t="str">
        <f aca="false">IF(Model!CC33=0,"",Model!CC33)</f>
        <v/>
      </c>
      <c r="CF30" s="194" t="str">
        <f aca="false">IF(Model!CD33=0,"",Model!CD33)</f>
        <v/>
      </c>
      <c r="CG30" s="194" t="str">
        <f aca="false">IF(Model!CE33=0,"",Model!CE33)</f>
        <v/>
      </c>
      <c r="CH30" s="194" t="str">
        <f aca="false">IF(Model!CF33=0,"",Model!CF33)</f>
        <v/>
      </c>
      <c r="CI30" s="194" t="str">
        <f aca="false">IF(Model!CG33=0,"",Model!CG33)</f>
        <v/>
      </c>
      <c r="CJ30" s="194" t="str">
        <f aca="false">IF(Model!CH33=0,"",Model!CH33)</f>
        <v/>
      </c>
      <c r="CK30" s="194" t="str">
        <f aca="false">IF(Model!CI33=0,"",Model!CI33)</f>
        <v/>
      </c>
      <c r="CL30" s="194" t="str">
        <f aca="false">IF(Model!CJ33=0,"",Model!CJ33)</f>
        <v/>
      </c>
      <c r="CM30" s="194" t="str">
        <f aca="false">IF(Model!CK33=0,"",Model!CK33)</f>
        <v/>
      </c>
      <c r="CN30" s="194" t="str">
        <f aca="false">IF(Model!CL33=0,"",Model!CL33)</f>
        <v/>
      </c>
      <c r="CO30" s="194" t="str">
        <f aca="false">IF(Model!CM33=0,"",Model!CM33)</f>
        <v/>
      </c>
      <c r="CP30" s="194" t="str">
        <f aca="false">IF(Model!CN33=0,"",Model!CN33)</f>
        <v/>
      </c>
      <c r="CQ30" s="194" t="str">
        <f aca="false">IF(Model!CO33=0,"",Model!CO33)</f>
        <v/>
      </c>
      <c r="CR30" s="194" t="str">
        <f aca="false">IF(Model!CP33=0,"",Model!CP33)</f>
        <v/>
      </c>
      <c r="CS30" s="194" t="str">
        <f aca="false">IF(Model!CQ33=0,"",Model!CQ33)</f>
        <v/>
      </c>
      <c r="CT30" s="194" t="str">
        <f aca="false">IF(Model!CR33=0,"",Model!CR33)</f>
        <v/>
      </c>
      <c r="CU30" s="194" t="str">
        <f aca="false">IF(Model!CS33=0,"",Model!CS33)</f>
        <v/>
      </c>
      <c r="CV30" s="194" t="str">
        <f aca="false">IF(Model!CT33=0,"",Model!CT33)</f>
        <v/>
      </c>
      <c r="CW30" s="194" t="str">
        <f aca="false">IF(Model!CU33=0,"",Model!CU33)</f>
        <v/>
      </c>
      <c r="CX30" s="194" t="str">
        <f aca="false">IF(Model!CV33=0,"",Model!CV33)</f>
        <v/>
      </c>
      <c r="CY30" s="194" t="str">
        <f aca="false">IF(Model!CW33=0,"",Model!CW33)</f>
        <v/>
      </c>
      <c r="CZ30" s="194" t="str">
        <f aca="false">IF(Model!CX33=0,"",Model!CX33)</f>
        <v/>
      </c>
      <c r="DA30" s="194" t="str">
        <f aca="false">IF(Model!CY33=0,"",Model!CY33)</f>
        <v/>
      </c>
      <c r="DB30" s="194" t="str">
        <f aca="false">IF(Model!CZ33=0,"",Model!CZ33)</f>
        <v/>
      </c>
    </row>
    <row r="31" customFormat="false" ht="15" hidden="false" customHeight="true" outlineLevel="0" collapsed="false">
      <c r="A31" s="125" t="s">
        <v>28</v>
      </c>
      <c r="B31" s="191" t="n">
        <f aca="false">Projects!$B$25</f>
        <v>18000000</v>
      </c>
      <c r="C31" s="192" t="n">
        <f aca="false">EDATE(Model!$E$2,Projects!$C$25-1)</f>
        <v>47300</v>
      </c>
      <c r="D31" s="192" t="n">
        <f aca="false">EDATE(Model!$E$2,Projects!$C$25+Projects!$D$25-2)</f>
        <v>47849</v>
      </c>
      <c r="E31" s="193" t="n">
        <f aca="false">Projects!$D$25</f>
        <v>19</v>
      </c>
      <c r="F31" s="191" t="n">
        <f aca="false">SUM(G31:DB31)</f>
        <v>0</v>
      </c>
      <c r="G31" s="194" t="str">
        <f aca="false">IF(Model!E34=0,"",Model!E34)</f>
        <v/>
      </c>
      <c r="H31" s="194" t="str">
        <f aca="false">IF(Model!F34=0,"",Model!F34)</f>
        <v/>
      </c>
      <c r="I31" s="194" t="str">
        <f aca="false">IF(Model!G34=0,"",Model!G34)</f>
        <v/>
      </c>
      <c r="J31" s="194" t="str">
        <f aca="false">IF(Model!H34=0,"",Model!H34)</f>
        <v/>
      </c>
      <c r="K31" s="194" t="str">
        <f aca="false">IF(Model!I34=0,"",Model!I34)</f>
        <v/>
      </c>
      <c r="L31" s="194" t="str">
        <f aca="false">IF(Model!J34=0,"",Model!J34)</f>
        <v/>
      </c>
      <c r="M31" s="194" t="str">
        <f aca="false">IF(Model!K34=0,"",Model!K34)</f>
        <v/>
      </c>
      <c r="N31" s="194" t="str">
        <f aca="false">IF(Model!L34=0,"",Model!L34)</f>
        <v/>
      </c>
      <c r="O31" s="194" t="str">
        <f aca="false">IF(Model!M34=0,"",Model!M34)</f>
        <v/>
      </c>
      <c r="P31" s="194" t="str">
        <f aca="false">IF(Model!N34=0,"",Model!N34)</f>
        <v/>
      </c>
      <c r="Q31" s="194" t="str">
        <f aca="false">IF(Model!O34=0,"",Model!O34)</f>
        <v/>
      </c>
      <c r="R31" s="194" t="str">
        <f aca="false">IF(Model!P34=0,"",Model!P34)</f>
        <v/>
      </c>
      <c r="S31" s="194" t="str">
        <f aca="false">IF(Model!Q34=0,"",Model!Q34)</f>
        <v/>
      </c>
      <c r="T31" s="194" t="str">
        <f aca="false">IF(Model!R34=0,"",Model!R34)</f>
        <v/>
      </c>
      <c r="U31" s="194" t="str">
        <f aca="false">IF(Model!S34=0,"",Model!S34)</f>
        <v/>
      </c>
      <c r="V31" s="194" t="str">
        <f aca="false">IF(Model!T34=0,"",Model!T34)</f>
        <v/>
      </c>
      <c r="W31" s="194" t="str">
        <f aca="false">IF(Model!U34=0,"",Model!U34)</f>
        <v/>
      </c>
      <c r="X31" s="194" t="str">
        <f aca="false">IF(Model!V34=0,"",Model!V34)</f>
        <v/>
      </c>
      <c r="Y31" s="194" t="str">
        <f aca="false">IF(Model!W34=0,"",Model!W34)</f>
        <v/>
      </c>
      <c r="Z31" s="194" t="str">
        <f aca="false">IF(Model!X34=0,"",Model!X34)</f>
        <v/>
      </c>
      <c r="AA31" s="194" t="str">
        <f aca="false">IF(Model!Y34=0,"",Model!Y34)</f>
        <v/>
      </c>
      <c r="AB31" s="194" t="str">
        <f aca="false">IF(Model!Z34=0,"",Model!Z34)</f>
        <v/>
      </c>
      <c r="AC31" s="194" t="str">
        <f aca="false">IF(Model!AA34=0,"",Model!AA34)</f>
        <v/>
      </c>
      <c r="AD31" s="194" t="str">
        <f aca="false">IF(Model!AB34=0,"",Model!AB34)</f>
        <v/>
      </c>
      <c r="AE31" s="194" t="str">
        <f aca="false">IF(Model!AC34=0,"",Model!AC34)</f>
        <v/>
      </c>
      <c r="AF31" s="194" t="str">
        <f aca="false">IF(Model!AD34=0,"",Model!AD34)</f>
        <v/>
      </c>
      <c r="AG31" s="194" t="str">
        <f aca="false">IF(Model!AE34=0,"",Model!AE34)</f>
        <v/>
      </c>
      <c r="AH31" s="194" t="str">
        <f aca="false">IF(Model!AF34=0,"",Model!AF34)</f>
        <v/>
      </c>
      <c r="AI31" s="194" t="str">
        <f aca="false">IF(Model!AG34=0,"",Model!AG34)</f>
        <v/>
      </c>
      <c r="AJ31" s="194" t="str">
        <f aca="false">IF(Model!AH34=0,"",Model!AH34)</f>
        <v/>
      </c>
      <c r="AK31" s="194" t="str">
        <f aca="false">IF(Model!AI34=0,"",Model!AI34)</f>
        <v/>
      </c>
      <c r="AL31" s="194" t="str">
        <f aca="false">IF(Model!AJ34=0,"",Model!AJ34)</f>
        <v/>
      </c>
      <c r="AM31" s="194" t="str">
        <f aca="false">IF(Model!AK34=0,"",Model!AK34)</f>
        <v/>
      </c>
      <c r="AN31" s="194" t="str">
        <f aca="false">IF(Model!AL34=0,"",Model!AL34)</f>
        <v/>
      </c>
      <c r="AO31" s="194" t="str">
        <f aca="false">IF(Model!AM34=0,"",Model!AM34)</f>
        <v/>
      </c>
      <c r="AP31" s="194" t="str">
        <f aca="false">IF(Model!AN34=0,"",Model!AN34)</f>
        <v/>
      </c>
      <c r="AQ31" s="194" t="str">
        <f aca="false">IF(Model!AO34=0,"",Model!AO34)</f>
        <v/>
      </c>
      <c r="AR31" s="194" t="str">
        <f aca="false">IF(Model!AP34=0,"",Model!AP34)</f>
        <v/>
      </c>
      <c r="AS31" s="194" t="str">
        <f aca="false">IF(Model!AQ34=0,"",Model!AQ34)</f>
        <v/>
      </c>
      <c r="AT31" s="194" t="str">
        <f aca="false">IF(Model!AR34=0,"",Model!AR34)</f>
        <v/>
      </c>
      <c r="AU31" s="194" t="str">
        <f aca="false">IF(Model!AS34=0,"",Model!AS34)</f>
        <v/>
      </c>
      <c r="AV31" s="194" t="str">
        <f aca="false">IF(Model!AT34=0,"",Model!AT34)</f>
        <v/>
      </c>
      <c r="AW31" s="194" t="str">
        <f aca="false">IF(Model!AU34=0,"",Model!AU34)</f>
        <v/>
      </c>
      <c r="AX31" s="194" t="str">
        <f aca="false">IF(Model!AV34=0,"",Model!AV34)</f>
        <v/>
      </c>
      <c r="AY31" s="194" t="str">
        <f aca="false">IF(Model!AW34=0,"",Model!AW34)</f>
        <v/>
      </c>
      <c r="AZ31" s="194" t="str">
        <f aca="false">IF(Model!AX34=0,"",Model!AX34)</f>
        <v/>
      </c>
      <c r="BA31" s="194" t="str">
        <f aca="false">IF(Model!AY34=0,"",Model!AY34)</f>
        <v/>
      </c>
      <c r="BB31" s="194" t="str">
        <f aca="false">IF(Model!AZ34=0,"",Model!AZ34)</f>
        <v/>
      </c>
      <c r="BC31" s="194" t="str">
        <f aca="false">IF(Model!BA34=0,"",Model!BA34)</f>
        <v/>
      </c>
      <c r="BD31" s="194" t="str">
        <f aca="false">IF(Model!BB34=0,"",Model!BB34)</f>
        <v/>
      </c>
      <c r="BE31" s="194" t="str">
        <f aca="false">IF(Model!BC34=0,"",Model!BC34)</f>
        <v/>
      </c>
      <c r="BF31" s="194" t="str">
        <f aca="false">IF(Model!BD34=0,"",Model!BD34)</f>
        <v/>
      </c>
      <c r="BG31" s="194" t="str">
        <f aca="false">IF(Model!BE34=0,"",Model!BE34)</f>
        <v/>
      </c>
      <c r="BH31" s="194" t="str">
        <f aca="false">IF(Model!BF34=0,"",Model!BF34)</f>
        <v/>
      </c>
      <c r="BI31" s="194" t="str">
        <f aca="false">IF(Model!BG34=0,"",Model!BG34)</f>
        <v/>
      </c>
      <c r="BJ31" s="194" t="str">
        <f aca="false">IF(Model!BH34=0,"",Model!BH34)</f>
        <v/>
      </c>
      <c r="BK31" s="194" t="str">
        <f aca="false">IF(Model!BI34=0,"",Model!BI34)</f>
        <v/>
      </c>
      <c r="BL31" s="194" t="str">
        <f aca="false">IF(Model!BJ34=0,"",Model!BJ34)</f>
        <v/>
      </c>
      <c r="BM31" s="194" t="str">
        <f aca="false">IF(Model!BK34=0,"",Model!BK34)</f>
        <v/>
      </c>
      <c r="BN31" s="194" t="str">
        <f aca="false">IF(Model!BL34=0,"",Model!BL34)</f>
        <v/>
      </c>
      <c r="BO31" s="194" t="str">
        <f aca="false">IF(Model!BM34=0,"",Model!BM34)</f>
        <v/>
      </c>
      <c r="BP31" s="194" t="str">
        <f aca="false">IF(Model!BN34=0,"",Model!BN34)</f>
        <v/>
      </c>
      <c r="BQ31" s="194" t="str">
        <f aca="false">IF(Model!BO34=0,"",Model!BO34)</f>
        <v/>
      </c>
      <c r="BR31" s="194" t="str">
        <f aca="false">IF(Model!BP34=0,"",Model!BP34)</f>
        <v/>
      </c>
      <c r="BS31" s="194" t="str">
        <f aca="false">IF(Model!BQ34=0,"",Model!BQ34)</f>
        <v/>
      </c>
      <c r="BT31" s="194" t="str">
        <f aca="false">IF(Model!BR34=0,"",Model!BR34)</f>
        <v/>
      </c>
      <c r="BU31" s="194" t="str">
        <f aca="false">IF(Model!BS34=0,"",Model!BS34)</f>
        <v/>
      </c>
      <c r="BV31" s="194" t="str">
        <f aca="false">IF(Model!BT34=0,"",Model!BT34)</f>
        <v/>
      </c>
      <c r="BW31" s="194" t="str">
        <f aca="false">IF(Model!BU34=0,"",Model!BU34)</f>
        <v/>
      </c>
      <c r="BX31" s="194" t="str">
        <f aca="false">IF(Model!BV34=0,"",Model!BV34)</f>
        <v/>
      </c>
      <c r="BY31" s="194" t="str">
        <f aca="false">IF(Model!BW34=0,"",Model!BW34)</f>
        <v/>
      </c>
      <c r="BZ31" s="194" t="str">
        <f aca="false">IF(Model!BX34=0,"",Model!BX34)</f>
        <v/>
      </c>
      <c r="CA31" s="194" t="str">
        <f aca="false">IF(Model!BY34=0,"",Model!BY34)</f>
        <v/>
      </c>
      <c r="CB31" s="194" t="str">
        <f aca="false">IF(Model!BZ34=0,"",Model!BZ34)</f>
        <v/>
      </c>
      <c r="CC31" s="194" t="str">
        <f aca="false">IF(Model!CA34=0,"",Model!CA34)</f>
        <v/>
      </c>
      <c r="CD31" s="194" t="str">
        <f aca="false">IF(Model!CB34=0,"",Model!CB34)</f>
        <v/>
      </c>
      <c r="CE31" s="194" t="str">
        <f aca="false">IF(Model!CC34=0,"",Model!CC34)</f>
        <v/>
      </c>
      <c r="CF31" s="194" t="str">
        <f aca="false">IF(Model!CD34=0,"",Model!CD34)</f>
        <v/>
      </c>
      <c r="CG31" s="194" t="str">
        <f aca="false">IF(Model!CE34=0,"",Model!CE34)</f>
        <v/>
      </c>
      <c r="CH31" s="194" t="str">
        <f aca="false">IF(Model!CF34=0,"",Model!CF34)</f>
        <v/>
      </c>
      <c r="CI31" s="194" t="str">
        <f aca="false">IF(Model!CG34=0,"",Model!CG34)</f>
        <v/>
      </c>
      <c r="CJ31" s="194" t="str">
        <f aca="false">IF(Model!CH34=0,"",Model!CH34)</f>
        <v/>
      </c>
      <c r="CK31" s="194" t="str">
        <f aca="false">IF(Model!CI34=0,"",Model!CI34)</f>
        <v/>
      </c>
      <c r="CL31" s="194" t="str">
        <f aca="false">IF(Model!CJ34=0,"",Model!CJ34)</f>
        <v/>
      </c>
      <c r="CM31" s="194" t="str">
        <f aca="false">IF(Model!CK34=0,"",Model!CK34)</f>
        <v/>
      </c>
      <c r="CN31" s="194" t="str">
        <f aca="false">IF(Model!CL34=0,"",Model!CL34)</f>
        <v/>
      </c>
      <c r="CO31" s="194" t="str">
        <f aca="false">IF(Model!CM34=0,"",Model!CM34)</f>
        <v/>
      </c>
      <c r="CP31" s="194" t="str">
        <f aca="false">IF(Model!CN34=0,"",Model!CN34)</f>
        <v/>
      </c>
      <c r="CQ31" s="194" t="str">
        <f aca="false">IF(Model!CO34=0,"",Model!CO34)</f>
        <v/>
      </c>
      <c r="CR31" s="194" t="str">
        <f aca="false">IF(Model!CP34=0,"",Model!CP34)</f>
        <v/>
      </c>
      <c r="CS31" s="194" t="str">
        <f aca="false">IF(Model!CQ34=0,"",Model!CQ34)</f>
        <v/>
      </c>
      <c r="CT31" s="194" t="str">
        <f aca="false">IF(Model!CR34=0,"",Model!CR34)</f>
        <v/>
      </c>
      <c r="CU31" s="194" t="str">
        <f aca="false">IF(Model!CS34=0,"",Model!CS34)</f>
        <v/>
      </c>
      <c r="CV31" s="194" t="str">
        <f aca="false">IF(Model!CT34=0,"",Model!CT34)</f>
        <v/>
      </c>
      <c r="CW31" s="194" t="str">
        <f aca="false">IF(Model!CU34=0,"",Model!CU34)</f>
        <v/>
      </c>
      <c r="CX31" s="194" t="str">
        <f aca="false">IF(Model!CV34=0,"",Model!CV34)</f>
        <v/>
      </c>
      <c r="CY31" s="194" t="str">
        <f aca="false">IF(Model!CW34=0,"",Model!CW34)</f>
        <v/>
      </c>
      <c r="CZ31" s="194" t="str">
        <f aca="false">IF(Model!CX34=0,"",Model!CX34)</f>
        <v/>
      </c>
      <c r="DA31" s="194" t="str">
        <f aca="false">IF(Model!CY34=0,"",Model!CY34)</f>
        <v/>
      </c>
      <c r="DB31" s="194" t="str">
        <f aca="false">IF(Model!CZ34=0,"",Model!CZ34)</f>
        <v/>
      </c>
    </row>
    <row r="32" customFormat="false" ht="15" hidden="false" customHeight="true" outlineLevel="0" collapsed="false">
      <c r="A32" s="125" t="s">
        <v>29</v>
      </c>
      <c r="B32" s="191" t="n">
        <f aca="false">Projects!$B$26</f>
        <v>18000000</v>
      </c>
      <c r="C32" s="192" t="n">
        <f aca="false">EDATE(Model!$E$2,Projects!$C$26-1)</f>
        <v>47362</v>
      </c>
      <c r="D32" s="192" t="n">
        <f aca="false">EDATE(Model!$E$2,Projects!$C$26+Projects!$D$26-2)</f>
        <v>47908</v>
      </c>
      <c r="E32" s="193" t="n">
        <f aca="false">Projects!$D$26</f>
        <v>19</v>
      </c>
      <c r="F32" s="191" t="n">
        <f aca="false">SUM(G32:DB32)</f>
        <v>0</v>
      </c>
      <c r="G32" s="194" t="str">
        <f aca="false">IF(Model!E35=0,"",Model!E35)</f>
        <v/>
      </c>
      <c r="H32" s="194" t="str">
        <f aca="false">IF(Model!F35=0,"",Model!F35)</f>
        <v/>
      </c>
      <c r="I32" s="194" t="str">
        <f aca="false">IF(Model!G35=0,"",Model!G35)</f>
        <v/>
      </c>
      <c r="J32" s="194" t="str">
        <f aca="false">IF(Model!H35=0,"",Model!H35)</f>
        <v/>
      </c>
      <c r="K32" s="194" t="str">
        <f aca="false">IF(Model!I35=0,"",Model!I35)</f>
        <v/>
      </c>
      <c r="L32" s="194" t="str">
        <f aca="false">IF(Model!J35=0,"",Model!J35)</f>
        <v/>
      </c>
      <c r="M32" s="194" t="str">
        <f aca="false">IF(Model!K35=0,"",Model!K35)</f>
        <v/>
      </c>
      <c r="N32" s="194" t="str">
        <f aca="false">IF(Model!L35=0,"",Model!L35)</f>
        <v/>
      </c>
      <c r="O32" s="194" t="str">
        <f aca="false">IF(Model!M35=0,"",Model!M35)</f>
        <v/>
      </c>
      <c r="P32" s="194" t="str">
        <f aca="false">IF(Model!N35=0,"",Model!N35)</f>
        <v/>
      </c>
      <c r="Q32" s="194" t="str">
        <f aca="false">IF(Model!O35=0,"",Model!O35)</f>
        <v/>
      </c>
      <c r="R32" s="194" t="str">
        <f aca="false">IF(Model!P35=0,"",Model!P35)</f>
        <v/>
      </c>
      <c r="S32" s="194" t="str">
        <f aca="false">IF(Model!Q35=0,"",Model!Q35)</f>
        <v/>
      </c>
      <c r="T32" s="194" t="str">
        <f aca="false">IF(Model!R35=0,"",Model!R35)</f>
        <v/>
      </c>
      <c r="U32" s="194" t="str">
        <f aca="false">IF(Model!S35=0,"",Model!S35)</f>
        <v/>
      </c>
      <c r="V32" s="194" t="str">
        <f aca="false">IF(Model!T35=0,"",Model!T35)</f>
        <v/>
      </c>
      <c r="W32" s="194" t="str">
        <f aca="false">IF(Model!U35=0,"",Model!U35)</f>
        <v/>
      </c>
      <c r="X32" s="194" t="str">
        <f aca="false">IF(Model!V35=0,"",Model!V35)</f>
        <v/>
      </c>
      <c r="Y32" s="194" t="str">
        <f aca="false">IF(Model!W35=0,"",Model!W35)</f>
        <v/>
      </c>
      <c r="Z32" s="194" t="str">
        <f aca="false">IF(Model!X35=0,"",Model!X35)</f>
        <v/>
      </c>
      <c r="AA32" s="194" t="str">
        <f aca="false">IF(Model!Y35=0,"",Model!Y35)</f>
        <v/>
      </c>
      <c r="AB32" s="194" t="str">
        <f aca="false">IF(Model!Z35=0,"",Model!Z35)</f>
        <v/>
      </c>
      <c r="AC32" s="194" t="str">
        <f aca="false">IF(Model!AA35=0,"",Model!AA35)</f>
        <v/>
      </c>
      <c r="AD32" s="194" t="str">
        <f aca="false">IF(Model!AB35=0,"",Model!AB35)</f>
        <v/>
      </c>
      <c r="AE32" s="194" t="str">
        <f aca="false">IF(Model!AC35=0,"",Model!AC35)</f>
        <v/>
      </c>
      <c r="AF32" s="194" t="str">
        <f aca="false">IF(Model!AD35=0,"",Model!AD35)</f>
        <v/>
      </c>
      <c r="AG32" s="194" t="str">
        <f aca="false">IF(Model!AE35=0,"",Model!AE35)</f>
        <v/>
      </c>
      <c r="AH32" s="194" t="str">
        <f aca="false">IF(Model!AF35=0,"",Model!AF35)</f>
        <v/>
      </c>
      <c r="AI32" s="194" t="str">
        <f aca="false">IF(Model!AG35=0,"",Model!AG35)</f>
        <v/>
      </c>
      <c r="AJ32" s="194" t="str">
        <f aca="false">IF(Model!AH35=0,"",Model!AH35)</f>
        <v/>
      </c>
      <c r="AK32" s="194" t="str">
        <f aca="false">IF(Model!AI35=0,"",Model!AI35)</f>
        <v/>
      </c>
      <c r="AL32" s="194" t="str">
        <f aca="false">IF(Model!AJ35=0,"",Model!AJ35)</f>
        <v/>
      </c>
      <c r="AM32" s="194" t="str">
        <f aca="false">IF(Model!AK35=0,"",Model!AK35)</f>
        <v/>
      </c>
      <c r="AN32" s="194" t="str">
        <f aca="false">IF(Model!AL35=0,"",Model!AL35)</f>
        <v/>
      </c>
      <c r="AO32" s="194" t="str">
        <f aca="false">IF(Model!AM35=0,"",Model!AM35)</f>
        <v/>
      </c>
      <c r="AP32" s="194" t="str">
        <f aca="false">IF(Model!AN35=0,"",Model!AN35)</f>
        <v/>
      </c>
      <c r="AQ32" s="194" t="str">
        <f aca="false">IF(Model!AO35=0,"",Model!AO35)</f>
        <v/>
      </c>
      <c r="AR32" s="194" t="str">
        <f aca="false">IF(Model!AP35=0,"",Model!AP35)</f>
        <v/>
      </c>
      <c r="AS32" s="194" t="str">
        <f aca="false">IF(Model!AQ35=0,"",Model!AQ35)</f>
        <v/>
      </c>
      <c r="AT32" s="194" t="str">
        <f aca="false">IF(Model!AR35=0,"",Model!AR35)</f>
        <v/>
      </c>
      <c r="AU32" s="194" t="str">
        <f aca="false">IF(Model!AS35=0,"",Model!AS35)</f>
        <v/>
      </c>
      <c r="AV32" s="194" t="str">
        <f aca="false">IF(Model!AT35=0,"",Model!AT35)</f>
        <v/>
      </c>
      <c r="AW32" s="194" t="str">
        <f aca="false">IF(Model!AU35=0,"",Model!AU35)</f>
        <v/>
      </c>
      <c r="AX32" s="194" t="str">
        <f aca="false">IF(Model!AV35=0,"",Model!AV35)</f>
        <v/>
      </c>
      <c r="AY32" s="194" t="str">
        <f aca="false">IF(Model!AW35=0,"",Model!AW35)</f>
        <v/>
      </c>
      <c r="AZ32" s="194" t="str">
        <f aca="false">IF(Model!AX35=0,"",Model!AX35)</f>
        <v/>
      </c>
      <c r="BA32" s="194" t="str">
        <f aca="false">IF(Model!AY35=0,"",Model!AY35)</f>
        <v/>
      </c>
      <c r="BB32" s="194" t="str">
        <f aca="false">IF(Model!AZ35=0,"",Model!AZ35)</f>
        <v/>
      </c>
      <c r="BC32" s="194" t="str">
        <f aca="false">IF(Model!BA35=0,"",Model!BA35)</f>
        <v/>
      </c>
      <c r="BD32" s="194" t="str">
        <f aca="false">IF(Model!BB35=0,"",Model!BB35)</f>
        <v/>
      </c>
      <c r="BE32" s="194" t="str">
        <f aca="false">IF(Model!BC35=0,"",Model!BC35)</f>
        <v/>
      </c>
      <c r="BF32" s="194" t="str">
        <f aca="false">IF(Model!BD35=0,"",Model!BD35)</f>
        <v/>
      </c>
      <c r="BG32" s="194" t="str">
        <f aca="false">IF(Model!BE35=0,"",Model!BE35)</f>
        <v/>
      </c>
      <c r="BH32" s="194" t="str">
        <f aca="false">IF(Model!BF35=0,"",Model!BF35)</f>
        <v/>
      </c>
      <c r="BI32" s="194" t="str">
        <f aca="false">IF(Model!BG35=0,"",Model!BG35)</f>
        <v/>
      </c>
      <c r="BJ32" s="194" t="str">
        <f aca="false">IF(Model!BH35=0,"",Model!BH35)</f>
        <v/>
      </c>
      <c r="BK32" s="194" t="str">
        <f aca="false">IF(Model!BI35=0,"",Model!BI35)</f>
        <v/>
      </c>
      <c r="BL32" s="194" t="str">
        <f aca="false">IF(Model!BJ35=0,"",Model!BJ35)</f>
        <v/>
      </c>
      <c r="BM32" s="194" t="str">
        <f aca="false">IF(Model!BK35=0,"",Model!BK35)</f>
        <v/>
      </c>
      <c r="BN32" s="194" t="str">
        <f aca="false">IF(Model!BL35=0,"",Model!BL35)</f>
        <v/>
      </c>
      <c r="BO32" s="194" t="str">
        <f aca="false">IF(Model!BM35=0,"",Model!BM35)</f>
        <v/>
      </c>
      <c r="BP32" s="194" t="str">
        <f aca="false">IF(Model!BN35=0,"",Model!BN35)</f>
        <v/>
      </c>
      <c r="BQ32" s="194" t="str">
        <f aca="false">IF(Model!BO35=0,"",Model!BO35)</f>
        <v/>
      </c>
      <c r="BR32" s="194" t="str">
        <f aca="false">IF(Model!BP35=0,"",Model!BP35)</f>
        <v/>
      </c>
      <c r="BS32" s="194" t="str">
        <f aca="false">IF(Model!BQ35=0,"",Model!BQ35)</f>
        <v/>
      </c>
      <c r="BT32" s="194" t="str">
        <f aca="false">IF(Model!BR35=0,"",Model!BR35)</f>
        <v/>
      </c>
      <c r="BU32" s="194" t="str">
        <f aca="false">IF(Model!BS35=0,"",Model!BS35)</f>
        <v/>
      </c>
      <c r="BV32" s="194" t="str">
        <f aca="false">IF(Model!BT35=0,"",Model!BT35)</f>
        <v/>
      </c>
      <c r="BW32" s="194" t="str">
        <f aca="false">IF(Model!BU35=0,"",Model!BU35)</f>
        <v/>
      </c>
      <c r="BX32" s="194" t="str">
        <f aca="false">IF(Model!BV35=0,"",Model!BV35)</f>
        <v/>
      </c>
      <c r="BY32" s="194" t="str">
        <f aca="false">IF(Model!BW35=0,"",Model!BW35)</f>
        <v/>
      </c>
      <c r="BZ32" s="194" t="str">
        <f aca="false">IF(Model!BX35=0,"",Model!BX35)</f>
        <v/>
      </c>
      <c r="CA32" s="194" t="str">
        <f aca="false">IF(Model!BY35=0,"",Model!BY35)</f>
        <v/>
      </c>
      <c r="CB32" s="194" t="str">
        <f aca="false">IF(Model!BZ35=0,"",Model!BZ35)</f>
        <v/>
      </c>
      <c r="CC32" s="194" t="str">
        <f aca="false">IF(Model!CA35=0,"",Model!CA35)</f>
        <v/>
      </c>
      <c r="CD32" s="194" t="str">
        <f aca="false">IF(Model!CB35=0,"",Model!CB35)</f>
        <v/>
      </c>
      <c r="CE32" s="194" t="str">
        <f aca="false">IF(Model!CC35=0,"",Model!CC35)</f>
        <v/>
      </c>
      <c r="CF32" s="194" t="str">
        <f aca="false">IF(Model!CD35=0,"",Model!CD35)</f>
        <v/>
      </c>
      <c r="CG32" s="194" t="str">
        <f aca="false">IF(Model!CE35=0,"",Model!CE35)</f>
        <v/>
      </c>
      <c r="CH32" s="194" t="str">
        <f aca="false">IF(Model!CF35=0,"",Model!CF35)</f>
        <v/>
      </c>
      <c r="CI32" s="194" t="str">
        <f aca="false">IF(Model!CG35=0,"",Model!CG35)</f>
        <v/>
      </c>
      <c r="CJ32" s="194" t="str">
        <f aca="false">IF(Model!CH35=0,"",Model!CH35)</f>
        <v/>
      </c>
      <c r="CK32" s="194" t="str">
        <f aca="false">IF(Model!CI35=0,"",Model!CI35)</f>
        <v/>
      </c>
      <c r="CL32" s="194" t="str">
        <f aca="false">IF(Model!CJ35=0,"",Model!CJ35)</f>
        <v/>
      </c>
      <c r="CM32" s="194" t="str">
        <f aca="false">IF(Model!CK35=0,"",Model!CK35)</f>
        <v/>
      </c>
      <c r="CN32" s="194" t="str">
        <f aca="false">IF(Model!CL35=0,"",Model!CL35)</f>
        <v/>
      </c>
      <c r="CO32" s="194" t="str">
        <f aca="false">IF(Model!CM35=0,"",Model!CM35)</f>
        <v/>
      </c>
      <c r="CP32" s="194" t="str">
        <f aca="false">IF(Model!CN35=0,"",Model!CN35)</f>
        <v/>
      </c>
      <c r="CQ32" s="194" t="str">
        <f aca="false">IF(Model!CO35=0,"",Model!CO35)</f>
        <v/>
      </c>
      <c r="CR32" s="194" t="str">
        <f aca="false">IF(Model!CP35=0,"",Model!CP35)</f>
        <v/>
      </c>
      <c r="CS32" s="194" t="str">
        <f aca="false">IF(Model!CQ35=0,"",Model!CQ35)</f>
        <v/>
      </c>
      <c r="CT32" s="194" t="str">
        <f aca="false">IF(Model!CR35=0,"",Model!CR35)</f>
        <v/>
      </c>
      <c r="CU32" s="194" t="str">
        <f aca="false">IF(Model!CS35=0,"",Model!CS35)</f>
        <v/>
      </c>
      <c r="CV32" s="194" t="str">
        <f aca="false">IF(Model!CT35=0,"",Model!CT35)</f>
        <v/>
      </c>
      <c r="CW32" s="194" t="str">
        <f aca="false">IF(Model!CU35=0,"",Model!CU35)</f>
        <v/>
      </c>
      <c r="CX32" s="194" t="str">
        <f aca="false">IF(Model!CV35=0,"",Model!CV35)</f>
        <v/>
      </c>
      <c r="CY32" s="194" t="str">
        <f aca="false">IF(Model!CW35=0,"",Model!CW35)</f>
        <v/>
      </c>
      <c r="CZ32" s="194" t="str">
        <f aca="false">IF(Model!CX35=0,"",Model!CX35)</f>
        <v/>
      </c>
      <c r="DA32" s="194" t="str">
        <f aca="false">IF(Model!CY35=0,"",Model!CY35)</f>
        <v/>
      </c>
      <c r="DB32" s="194" t="str">
        <f aca="false">IF(Model!CZ35=0,"",Model!CZ35)</f>
        <v/>
      </c>
    </row>
    <row r="33" customFormat="false" ht="15" hidden="false" customHeight="true" outlineLevel="0" collapsed="false">
      <c r="A33" s="125" t="s">
        <v>30</v>
      </c>
      <c r="B33" s="191" t="n">
        <f aca="false">Projects!$B$27</f>
        <v>15000000</v>
      </c>
      <c r="C33" s="192" t="n">
        <f aca="false">EDATE(Model!$E$2,Projects!$C$27-1)</f>
        <v>47423</v>
      </c>
      <c r="D33" s="192" t="n">
        <f aca="false">EDATE(Model!$E$2,Projects!$C$27+Projects!$D$27-2)</f>
        <v>47969</v>
      </c>
      <c r="E33" s="193" t="n">
        <f aca="false">Projects!$D$27</f>
        <v>19</v>
      </c>
      <c r="F33" s="191" t="n">
        <f aca="false">SUM(G33:DB33)</f>
        <v>0</v>
      </c>
      <c r="G33" s="194" t="str">
        <f aca="false">IF(Model!E36=0,"",Model!E36)</f>
        <v/>
      </c>
      <c r="H33" s="194" t="str">
        <f aca="false">IF(Model!F36=0,"",Model!F36)</f>
        <v/>
      </c>
      <c r="I33" s="194" t="str">
        <f aca="false">IF(Model!G36=0,"",Model!G36)</f>
        <v/>
      </c>
      <c r="J33" s="194" t="str">
        <f aca="false">IF(Model!H36=0,"",Model!H36)</f>
        <v/>
      </c>
      <c r="K33" s="194" t="str">
        <f aca="false">IF(Model!I36=0,"",Model!I36)</f>
        <v/>
      </c>
      <c r="L33" s="194" t="str">
        <f aca="false">IF(Model!J36=0,"",Model!J36)</f>
        <v/>
      </c>
      <c r="M33" s="194" t="str">
        <f aca="false">IF(Model!K36=0,"",Model!K36)</f>
        <v/>
      </c>
      <c r="N33" s="194" t="str">
        <f aca="false">IF(Model!L36=0,"",Model!L36)</f>
        <v/>
      </c>
      <c r="O33" s="194" t="str">
        <f aca="false">IF(Model!M36=0,"",Model!M36)</f>
        <v/>
      </c>
      <c r="P33" s="194" t="str">
        <f aca="false">IF(Model!N36=0,"",Model!N36)</f>
        <v/>
      </c>
      <c r="Q33" s="194" t="str">
        <f aca="false">IF(Model!O36=0,"",Model!O36)</f>
        <v/>
      </c>
      <c r="R33" s="194" t="str">
        <f aca="false">IF(Model!P36=0,"",Model!P36)</f>
        <v/>
      </c>
      <c r="S33" s="194" t="str">
        <f aca="false">IF(Model!Q36=0,"",Model!Q36)</f>
        <v/>
      </c>
      <c r="T33" s="194" t="str">
        <f aca="false">IF(Model!R36=0,"",Model!R36)</f>
        <v/>
      </c>
      <c r="U33" s="194" t="str">
        <f aca="false">IF(Model!S36=0,"",Model!S36)</f>
        <v/>
      </c>
      <c r="V33" s="194" t="str">
        <f aca="false">IF(Model!T36=0,"",Model!T36)</f>
        <v/>
      </c>
      <c r="W33" s="194" t="str">
        <f aca="false">IF(Model!U36=0,"",Model!U36)</f>
        <v/>
      </c>
      <c r="X33" s="194" t="str">
        <f aca="false">IF(Model!V36=0,"",Model!V36)</f>
        <v/>
      </c>
      <c r="Y33" s="194" t="str">
        <f aca="false">IF(Model!W36=0,"",Model!W36)</f>
        <v/>
      </c>
      <c r="Z33" s="194" t="str">
        <f aca="false">IF(Model!X36=0,"",Model!X36)</f>
        <v/>
      </c>
      <c r="AA33" s="194" t="str">
        <f aca="false">IF(Model!Y36=0,"",Model!Y36)</f>
        <v/>
      </c>
      <c r="AB33" s="194" t="str">
        <f aca="false">IF(Model!Z36=0,"",Model!Z36)</f>
        <v/>
      </c>
      <c r="AC33" s="194" t="str">
        <f aca="false">IF(Model!AA36=0,"",Model!AA36)</f>
        <v/>
      </c>
      <c r="AD33" s="194" t="str">
        <f aca="false">IF(Model!AB36=0,"",Model!AB36)</f>
        <v/>
      </c>
      <c r="AE33" s="194" t="str">
        <f aca="false">IF(Model!AC36=0,"",Model!AC36)</f>
        <v/>
      </c>
      <c r="AF33" s="194" t="str">
        <f aca="false">IF(Model!AD36=0,"",Model!AD36)</f>
        <v/>
      </c>
      <c r="AG33" s="194" t="str">
        <f aca="false">IF(Model!AE36=0,"",Model!AE36)</f>
        <v/>
      </c>
      <c r="AH33" s="194" t="str">
        <f aca="false">IF(Model!AF36=0,"",Model!AF36)</f>
        <v/>
      </c>
      <c r="AI33" s="194" t="str">
        <f aca="false">IF(Model!AG36=0,"",Model!AG36)</f>
        <v/>
      </c>
      <c r="AJ33" s="194" t="str">
        <f aca="false">IF(Model!AH36=0,"",Model!AH36)</f>
        <v/>
      </c>
      <c r="AK33" s="194" t="str">
        <f aca="false">IF(Model!AI36=0,"",Model!AI36)</f>
        <v/>
      </c>
      <c r="AL33" s="194" t="str">
        <f aca="false">IF(Model!AJ36=0,"",Model!AJ36)</f>
        <v/>
      </c>
      <c r="AM33" s="194" t="str">
        <f aca="false">IF(Model!AK36=0,"",Model!AK36)</f>
        <v/>
      </c>
      <c r="AN33" s="194" t="str">
        <f aca="false">IF(Model!AL36=0,"",Model!AL36)</f>
        <v/>
      </c>
      <c r="AO33" s="194" t="str">
        <f aca="false">IF(Model!AM36=0,"",Model!AM36)</f>
        <v/>
      </c>
      <c r="AP33" s="194" t="str">
        <f aca="false">IF(Model!AN36=0,"",Model!AN36)</f>
        <v/>
      </c>
      <c r="AQ33" s="194" t="str">
        <f aca="false">IF(Model!AO36=0,"",Model!AO36)</f>
        <v/>
      </c>
      <c r="AR33" s="194" t="str">
        <f aca="false">IF(Model!AP36=0,"",Model!AP36)</f>
        <v/>
      </c>
      <c r="AS33" s="194" t="str">
        <f aca="false">IF(Model!AQ36=0,"",Model!AQ36)</f>
        <v/>
      </c>
      <c r="AT33" s="194" t="str">
        <f aca="false">IF(Model!AR36=0,"",Model!AR36)</f>
        <v/>
      </c>
      <c r="AU33" s="194" t="str">
        <f aca="false">IF(Model!AS36=0,"",Model!AS36)</f>
        <v/>
      </c>
      <c r="AV33" s="194" t="str">
        <f aca="false">IF(Model!AT36=0,"",Model!AT36)</f>
        <v/>
      </c>
      <c r="AW33" s="194" t="str">
        <f aca="false">IF(Model!AU36=0,"",Model!AU36)</f>
        <v/>
      </c>
      <c r="AX33" s="194" t="str">
        <f aca="false">IF(Model!AV36=0,"",Model!AV36)</f>
        <v/>
      </c>
      <c r="AY33" s="194" t="str">
        <f aca="false">IF(Model!AW36=0,"",Model!AW36)</f>
        <v/>
      </c>
      <c r="AZ33" s="194" t="str">
        <f aca="false">IF(Model!AX36=0,"",Model!AX36)</f>
        <v/>
      </c>
      <c r="BA33" s="194" t="str">
        <f aca="false">IF(Model!AY36=0,"",Model!AY36)</f>
        <v/>
      </c>
      <c r="BB33" s="194" t="str">
        <f aca="false">IF(Model!AZ36=0,"",Model!AZ36)</f>
        <v/>
      </c>
      <c r="BC33" s="194" t="str">
        <f aca="false">IF(Model!BA36=0,"",Model!BA36)</f>
        <v/>
      </c>
      <c r="BD33" s="194" t="str">
        <f aca="false">IF(Model!BB36=0,"",Model!BB36)</f>
        <v/>
      </c>
      <c r="BE33" s="194" t="str">
        <f aca="false">IF(Model!BC36=0,"",Model!BC36)</f>
        <v/>
      </c>
      <c r="BF33" s="194" t="str">
        <f aca="false">IF(Model!BD36=0,"",Model!BD36)</f>
        <v/>
      </c>
      <c r="BG33" s="194" t="str">
        <f aca="false">IF(Model!BE36=0,"",Model!BE36)</f>
        <v/>
      </c>
      <c r="BH33" s="194" t="str">
        <f aca="false">IF(Model!BF36=0,"",Model!BF36)</f>
        <v/>
      </c>
      <c r="BI33" s="194" t="str">
        <f aca="false">IF(Model!BG36=0,"",Model!BG36)</f>
        <v/>
      </c>
      <c r="BJ33" s="194" t="str">
        <f aca="false">IF(Model!BH36=0,"",Model!BH36)</f>
        <v/>
      </c>
      <c r="BK33" s="194" t="str">
        <f aca="false">IF(Model!BI36=0,"",Model!BI36)</f>
        <v/>
      </c>
      <c r="BL33" s="194" t="str">
        <f aca="false">IF(Model!BJ36=0,"",Model!BJ36)</f>
        <v/>
      </c>
      <c r="BM33" s="194" t="str">
        <f aca="false">IF(Model!BK36=0,"",Model!BK36)</f>
        <v/>
      </c>
      <c r="BN33" s="194" t="str">
        <f aca="false">IF(Model!BL36=0,"",Model!BL36)</f>
        <v/>
      </c>
      <c r="BO33" s="194" t="str">
        <f aca="false">IF(Model!BM36=0,"",Model!BM36)</f>
        <v/>
      </c>
      <c r="BP33" s="194" t="str">
        <f aca="false">IF(Model!BN36=0,"",Model!BN36)</f>
        <v/>
      </c>
      <c r="BQ33" s="194" t="str">
        <f aca="false">IF(Model!BO36=0,"",Model!BO36)</f>
        <v/>
      </c>
      <c r="BR33" s="194" t="str">
        <f aca="false">IF(Model!BP36=0,"",Model!BP36)</f>
        <v/>
      </c>
      <c r="BS33" s="194" t="str">
        <f aca="false">IF(Model!BQ36=0,"",Model!BQ36)</f>
        <v/>
      </c>
      <c r="BT33" s="194" t="str">
        <f aca="false">IF(Model!BR36=0,"",Model!BR36)</f>
        <v/>
      </c>
      <c r="BU33" s="194" t="str">
        <f aca="false">IF(Model!BS36=0,"",Model!BS36)</f>
        <v/>
      </c>
      <c r="BV33" s="194" t="str">
        <f aca="false">IF(Model!BT36=0,"",Model!BT36)</f>
        <v/>
      </c>
      <c r="BW33" s="194" t="str">
        <f aca="false">IF(Model!BU36=0,"",Model!BU36)</f>
        <v/>
      </c>
      <c r="BX33" s="194" t="str">
        <f aca="false">IF(Model!BV36=0,"",Model!BV36)</f>
        <v/>
      </c>
      <c r="BY33" s="194" t="str">
        <f aca="false">IF(Model!BW36=0,"",Model!BW36)</f>
        <v/>
      </c>
      <c r="BZ33" s="194" t="str">
        <f aca="false">IF(Model!BX36=0,"",Model!BX36)</f>
        <v/>
      </c>
      <c r="CA33" s="194" t="str">
        <f aca="false">IF(Model!BY36=0,"",Model!BY36)</f>
        <v/>
      </c>
      <c r="CB33" s="194" t="str">
        <f aca="false">IF(Model!BZ36=0,"",Model!BZ36)</f>
        <v/>
      </c>
      <c r="CC33" s="194" t="str">
        <f aca="false">IF(Model!CA36=0,"",Model!CA36)</f>
        <v/>
      </c>
      <c r="CD33" s="194" t="str">
        <f aca="false">IF(Model!CB36=0,"",Model!CB36)</f>
        <v/>
      </c>
      <c r="CE33" s="194" t="str">
        <f aca="false">IF(Model!CC36=0,"",Model!CC36)</f>
        <v/>
      </c>
      <c r="CF33" s="194" t="str">
        <f aca="false">IF(Model!CD36=0,"",Model!CD36)</f>
        <v/>
      </c>
      <c r="CG33" s="194" t="str">
        <f aca="false">IF(Model!CE36=0,"",Model!CE36)</f>
        <v/>
      </c>
      <c r="CH33" s="194" t="str">
        <f aca="false">IF(Model!CF36=0,"",Model!CF36)</f>
        <v/>
      </c>
      <c r="CI33" s="194" t="str">
        <f aca="false">IF(Model!CG36=0,"",Model!CG36)</f>
        <v/>
      </c>
      <c r="CJ33" s="194" t="str">
        <f aca="false">IF(Model!CH36=0,"",Model!CH36)</f>
        <v/>
      </c>
      <c r="CK33" s="194" t="str">
        <f aca="false">IF(Model!CI36=0,"",Model!CI36)</f>
        <v/>
      </c>
      <c r="CL33" s="194" t="str">
        <f aca="false">IF(Model!CJ36=0,"",Model!CJ36)</f>
        <v/>
      </c>
      <c r="CM33" s="194" t="str">
        <f aca="false">IF(Model!CK36=0,"",Model!CK36)</f>
        <v/>
      </c>
      <c r="CN33" s="194" t="str">
        <f aca="false">IF(Model!CL36=0,"",Model!CL36)</f>
        <v/>
      </c>
      <c r="CO33" s="194" t="str">
        <f aca="false">IF(Model!CM36=0,"",Model!CM36)</f>
        <v/>
      </c>
      <c r="CP33" s="194" t="str">
        <f aca="false">IF(Model!CN36=0,"",Model!CN36)</f>
        <v/>
      </c>
      <c r="CQ33" s="194" t="str">
        <f aca="false">IF(Model!CO36=0,"",Model!CO36)</f>
        <v/>
      </c>
      <c r="CR33" s="194" t="str">
        <f aca="false">IF(Model!CP36=0,"",Model!CP36)</f>
        <v/>
      </c>
      <c r="CS33" s="194" t="str">
        <f aca="false">IF(Model!CQ36=0,"",Model!CQ36)</f>
        <v/>
      </c>
      <c r="CT33" s="194" t="str">
        <f aca="false">IF(Model!CR36=0,"",Model!CR36)</f>
        <v/>
      </c>
      <c r="CU33" s="194" t="str">
        <f aca="false">IF(Model!CS36=0,"",Model!CS36)</f>
        <v/>
      </c>
      <c r="CV33" s="194" t="str">
        <f aca="false">IF(Model!CT36=0,"",Model!CT36)</f>
        <v/>
      </c>
      <c r="CW33" s="194" t="str">
        <f aca="false">IF(Model!CU36=0,"",Model!CU36)</f>
        <v/>
      </c>
      <c r="CX33" s="194" t="str">
        <f aca="false">IF(Model!CV36=0,"",Model!CV36)</f>
        <v/>
      </c>
      <c r="CY33" s="194" t="str">
        <f aca="false">IF(Model!CW36=0,"",Model!CW36)</f>
        <v/>
      </c>
      <c r="CZ33" s="194" t="str">
        <f aca="false">IF(Model!CX36=0,"",Model!CX36)</f>
        <v/>
      </c>
      <c r="DA33" s="194" t="str">
        <f aca="false">IF(Model!CY36=0,"",Model!CY36)</f>
        <v/>
      </c>
      <c r="DB33" s="194" t="str">
        <f aca="false">IF(Model!CZ36=0,"",Model!CZ36)</f>
        <v/>
      </c>
    </row>
    <row r="34" customFormat="false" ht="15" hidden="false" customHeight="true" outlineLevel="0" collapsed="false">
      <c r="A34" s="125" t="s">
        <v>31</v>
      </c>
      <c r="B34" s="191" t="n">
        <f aca="false">Projects!$B$28</f>
        <v>15000000</v>
      </c>
      <c r="C34" s="192" t="n">
        <f aca="false">EDATE(Model!$E$2,Projects!$C$28-1)</f>
        <v>47484</v>
      </c>
      <c r="D34" s="192" t="n">
        <f aca="false">EDATE(Model!$E$2,Projects!$C$28+Projects!$D$28-2)</f>
        <v>48030</v>
      </c>
      <c r="E34" s="193" t="n">
        <f aca="false">Projects!$D$28</f>
        <v>19</v>
      </c>
      <c r="F34" s="191" t="n">
        <f aca="false">SUM(G34:DB34)</f>
        <v>0</v>
      </c>
      <c r="G34" s="194" t="str">
        <f aca="false">IF(Model!E37=0,"",Model!E37)</f>
        <v/>
      </c>
      <c r="H34" s="194" t="str">
        <f aca="false">IF(Model!F37=0,"",Model!F37)</f>
        <v/>
      </c>
      <c r="I34" s="194" t="str">
        <f aca="false">IF(Model!G37=0,"",Model!G37)</f>
        <v/>
      </c>
      <c r="J34" s="194" t="str">
        <f aca="false">IF(Model!H37=0,"",Model!H37)</f>
        <v/>
      </c>
      <c r="K34" s="194" t="str">
        <f aca="false">IF(Model!I37=0,"",Model!I37)</f>
        <v/>
      </c>
      <c r="L34" s="194" t="str">
        <f aca="false">IF(Model!J37=0,"",Model!J37)</f>
        <v/>
      </c>
      <c r="M34" s="194" t="str">
        <f aca="false">IF(Model!K37=0,"",Model!K37)</f>
        <v/>
      </c>
      <c r="N34" s="194" t="str">
        <f aca="false">IF(Model!L37=0,"",Model!L37)</f>
        <v/>
      </c>
      <c r="O34" s="194" t="str">
        <f aca="false">IF(Model!M37=0,"",Model!M37)</f>
        <v/>
      </c>
      <c r="P34" s="194" t="str">
        <f aca="false">IF(Model!N37=0,"",Model!N37)</f>
        <v/>
      </c>
      <c r="Q34" s="194" t="str">
        <f aca="false">IF(Model!O37=0,"",Model!O37)</f>
        <v/>
      </c>
      <c r="R34" s="194" t="str">
        <f aca="false">IF(Model!P37=0,"",Model!P37)</f>
        <v/>
      </c>
      <c r="S34" s="194" t="str">
        <f aca="false">IF(Model!Q37=0,"",Model!Q37)</f>
        <v/>
      </c>
      <c r="T34" s="194" t="str">
        <f aca="false">IF(Model!R37=0,"",Model!R37)</f>
        <v/>
      </c>
      <c r="U34" s="194" t="str">
        <f aca="false">IF(Model!S37=0,"",Model!S37)</f>
        <v/>
      </c>
      <c r="V34" s="194" t="str">
        <f aca="false">IF(Model!T37=0,"",Model!T37)</f>
        <v/>
      </c>
      <c r="W34" s="194" t="str">
        <f aca="false">IF(Model!U37=0,"",Model!U37)</f>
        <v/>
      </c>
      <c r="X34" s="194" t="str">
        <f aca="false">IF(Model!V37=0,"",Model!V37)</f>
        <v/>
      </c>
      <c r="Y34" s="194" t="str">
        <f aca="false">IF(Model!W37=0,"",Model!W37)</f>
        <v/>
      </c>
      <c r="Z34" s="194" t="str">
        <f aca="false">IF(Model!X37=0,"",Model!X37)</f>
        <v/>
      </c>
      <c r="AA34" s="194" t="str">
        <f aca="false">IF(Model!Y37=0,"",Model!Y37)</f>
        <v/>
      </c>
      <c r="AB34" s="194" t="str">
        <f aca="false">IF(Model!Z37=0,"",Model!Z37)</f>
        <v/>
      </c>
      <c r="AC34" s="194" t="str">
        <f aca="false">IF(Model!AA37=0,"",Model!AA37)</f>
        <v/>
      </c>
      <c r="AD34" s="194" t="str">
        <f aca="false">IF(Model!AB37=0,"",Model!AB37)</f>
        <v/>
      </c>
      <c r="AE34" s="194" t="str">
        <f aca="false">IF(Model!AC37=0,"",Model!AC37)</f>
        <v/>
      </c>
      <c r="AF34" s="194" t="str">
        <f aca="false">IF(Model!AD37=0,"",Model!AD37)</f>
        <v/>
      </c>
      <c r="AG34" s="194" t="str">
        <f aca="false">IF(Model!AE37=0,"",Model!AE37)</f>
        <v/>
      </c>
      <c r="AH34" s="194" t="str">
        <f aca="false">IF(Model!AF37=0,"",Model!AF37)</f>
        <v/>
      </c>
      <c r="AI34" s="194" t="str">
        <f aca="false">IF(Model!AG37=0,"",Model!AG37)</f>
        <v/>
      </c>
      <c r="AJ34" s="194" t="str">
        <f aca="false">IF(Model!AH37=0,"",Model!AH37)</f>
        <v/>
      </c>
      <c r="AK34" s="194" t="str">
        <f aca="false">IF(Model!AI37=0,"",Model!AI37)</f>
        <v/>
      </c>
      <c r="AL34" s="194" t="str">
        <f aca="false">IF(Model!AJ37=0,"",Model!AJ37)</f>
        <v/>
      </c>
      <c r="AM34" s="194" t="str">
        <f aca="false">IF(Model!AK37=0,"",Model!AK37)</f>
        <v/>
      </c>
      <c r="AN34" s="194" t="str">
        <f aca="false">IF(Model!AL37=0,"",Model!AL37)</f>
        <v/>
      </c>
      <c r="AO34" s="194" t="str">
        <f aca="false">IF(Model!AM37=0,"",Model!AM37)</f>
        <v/>
      </c>
      <c r="AP34" s="194" t="str">
        <f aca="false">IF(Model!AN37=0,"",Model!AN37)</f>
        <v/>
      </c>
      <c r="AQ34" s="194" t="str">
        <f aca="false">IF(Model!AO37=0,"",Model!AO37)</f>
        <v/>
      </c>
      <c r="AR34" s="194" t="str">
        <f aca="false">IF(Model!AP37=0,"",Model!AP37)</f>
        <v/>
      </c>
      <c r="AS34" s="194" t="str">
        <f aca="false">IF(Model!AQ37=0,"",Model!AQ37)</f>
        <v/>
      </c>
      <c r="AT34" s="194" t="str">
        <f aca="false">IF(Model!AR37=0,"",Model!AR37)</f>
        <v/>
      </c>
      <c r="AU34" s="194" t="str">
        <f aca="false">IF(Model!AS37=0,"",Model!AS37)</f>
        <v/>
      </c>
      <c r="AV34" s="194" t="str">
        <f aca="false">IF(Model!AT37=0,"",Model!AT37)</f>
        <v/>
      </c>
      <c r="AW34" s="194" t="str">
        <f aca="false">IF(Model!AU37=0,"",Model!AU37)</f>
        <v/>
      </c>
      <c r="AX34" s="194" t="str">
        <f aca="false">IF(Model!AV37=0,"",Model!AV37)</f>
        <v/>
      </c>
      <c r="AY34" s="194" t="str">
        <f aca="false">IF(Model!AW37=0,"",Model!AW37)</f>
        <v/>
      </c>
      <c r="AZ34" s="194" t="str">
        <f aca="false">IF(Model!AX37=0,"",Model!AX37)</f>
        <v/>
      </c>
      <c r="BA34" s="194" t="str">
        <f aca="false">IF(Model!AY37=0,"",Model!AY37)</f>
        <v/>
      </c>
      <c r="BB34" s="194" t="str">
        <f aca="false">IF(Model!AZ37=0,"",Model!AZ37)</f>
        <v/>
      </c>
      <c r="BC34" s="194" t="str">
        <f aca="false">IF(Model!BA37=0,"",Model!BA37)</f>
        <v/>
      </c>
      <c r="BD34" s="194" t="str">
        <f aca="false">IF(Model!BB37=0,"",Model!BB37)</f>
        <v/>
      </c>
      <c r="BE34" s="194" t="str">
        <f aca="false">IF(Model!BC37=0,"",Model!BC37)</f>
        <v/>
      </c>
      <c r="BF34" s="194" t="str">
        <f aca="false">IF(Model!BD37=0,"",Model!BD37)</f>
        <v/>
      </c>
      <c r="BG34" s="194" t="str">
        <f aca="false">IF(Model!BE37=0,"",Model!BE37)</f>
        <v/>
      </c>
      <c r="BH34" s="194" t="str">
        <f aca="false">IF(Model!BF37=0,"",Model!BF37)</f>
        <v/>
      </c>
      <c r="BI34" s="194" t="str">
        <f aca="false">IF(Model!BG37=0,"",Model!BG37)</f>
        <v/>
      </c>
      <c r="BJ34" s="194" t="str">
        <f aca="false">IF(Model!BH37=0,"",Model!BH37)</f>
        <v/>
      </c>
      <c r="BK34" s="194" t="str">
        <f aca="false">IF(Model!BI37=0,"",Model!BI37)</f>
        <v/>
      </c>
      <c r="BL34" s="194" t="str">
        <f aca="false">IF(Model!BJ37=0,"",Model!BJ37)</f>
        <v/>
      </c>
      <c r="BM34" s="194" t="str">
        <f aca="false">IF(Model!BK37=0,"",Model!BK37)</f>
        <v/>
      </c>
      <c r="BN34" s="194" t="str">
        <f aca="false">IF(Model!BL37=0,"",Model!BL37)</f>
        <v/>
      </c>
      <c r="BO34" s="194" t="str">
        <f aca="false">IF(Model!BM37=0,"",Model!BM37)</f>
        <v/>
      </c>
      <c r="BP34" s="194" t="str">
        <f aca="false">IF(Model!BN37=0,"",Model!BN37)</f>
        <v/>
      </c>
      <c r="BQ34" s="194" t="str">
        <f aca="false">IF(Model!BO37=0,"",Model!BO37)</f>
        <v/>
      </c>
      <c r="BR34" s="194" t="str">
        <f aca="false">IF(Model!BP37=0,"",Model!BP37)</f>
        <v/>
      </c>
      <c r="BS34" s="194" t="str">
        <f aca="false">IF(Model!BQ37=0,"",Model!BQ37)</f>
        <v/>
      </c>
      <c r="BT34" s="194" t="str">
        <f aca="false">IF(Model!BR37=0,"",Model!BR37)</f>
        <v/>
      </c>
      <c r="BU34" s="194" t="str">
        <f aca="false">IF(Model!BS37=0,"",Model!BS37)</f>
        <v/>
      </c>
      <c r="BV34" s="194" t="str">
        <f aca="false">IF(Model!BT37=0,"",Model!BT37)</f>
        <v/>
      </c>
      <c r="BW34" s="194" t="str">
        <f aca="false">IF(Model!BU37=0,"",Model!BU37)</f>
        <v/>
      </c>
      <c r="BX34" s="194" t="str">
        <f aca="false">IF(Model!BV37=0,"",Model!BV37)</f>
        <v/>
      </c>
      <c r="BY34" s="194" t="str">
        <f aca="false">IF(Model!BW37=0,"",Model!BW37)</f>
        <v/>
      </c>
      <c r="BZ34" s="194" t="str">
        <f aca="false">IF(Model!BX37=0,"",Model!BX37)</f>
        <v/>
      </c>
      <c r="CA34" s="194" t="str">
        <f aca="false">IF(Model!BY37=0,"",Model!BY37)</f>
        <v/>
      </c>
      <c r="CB34" s="194" t="str">
        <f aca="false">IF(Model!BZ37=0,"",Model!BZ37)</f>
        <v/>
      </c>
      <c r="CC34" s="194" t="str">
        <f aca="false">IF(Model!CA37=0,"",Model!CA37)</f>
        <v/>
      </c>
      <c r="CD34" s="194" t="str">
        <f aca="false">IF(Model!CB37=0,"",Model!CB37)</f>
        <v/>
      </c>
      <c r="CE34" s="194" t="str">
        <f aca="false">IF(Model!CC37=0,"",Model!CC37)</f>
        <v/>
      </c>
      <c r="CF34" s="194" t="str">
        <f aca="false">IF(Model!CD37=0,"",Model!CD37)</f>
        <v/>
      </c>
      <c r="CG34" s="194" t="str">
        <f aca="false">IF(Model!CE37=0,"",Model!CE37)</f>
        <v/>
      </c>
      <c r="CH34" s="194" t="str">
        <f aca="false">IF(Model!CF37=0,"",Model!CF37)</f>
        <v/>
      </c>
      <c r="CI34" s="194" t="str">
        <f aca="false">IF(Model!CG37=0,"",Model!CG37)</f>
        <v/>
      </c>
      <c r="CJ34" s="194" t="str">
        <f aca="false">IF(Model!CH37=0,"",Model!CH37)</f>
        <v/>
      </c>
      <c r="CK34" s="194" t="str">
        <f aca="false">IF(Model!CI37=0,"",Model!CI37)</f>
        <v/>
      </c>
      <c r="CL34" s="194" t="str">
        <f aca="false">IF(Model!CJ37=0,"",Model!CJ37)</f>
        <v/>
      </c>
      <c r="CM34" s="194" t="str">
        <f aca="false">IF(Model!CK37=0,"",Model!CK37)</f>
        <v/>
      </c>
      <c r="CN34" s="194" t="str">
        <f aca="false">IF(Model!CL37=0,"",Model!CL37)</f>
        <v/>
      </c>
      <c r="CO34" s="194" t="str">
        <f aca="false">IF(Model!CM37=0,"",Model!CM37)</f>
        <v/>
      </c>
      <c r="CP34" s="194" t="str">
        <f aca="false">IF(Model!CN37=0,"",Model!CN37)</f>
        <v/>
      </c>
      <c r="CQ34" s="194" t="str">
        <f aca="false">IF(Model!CO37=0,"",Model!CO37)</f>
        <v/>
      </c>
      <c r="CR34" s="194" t="str">
        <f aca="false">IF(Model!CP37=0,"",Model!CP37)</f>
        <v/>
      </c>
      <c r="CS34" s="194" t="str">
        <f aca="false">IF(Model!CQ37=0,"",Model!CQ37)</f>
        <v/>
      </c>
      <c r="CT34" s="194" t="str">
        <f aca="false">IF(Model!CR37=0,"",Model!CR37)</f>
        <v/>
      </c>
      <c r="CU34" s="194" t="str">
        <f aca="false">IF(Model!CS37=0,"",Model!CS37)</f>
        <v/>
      </c>
      <c r="CV34" s="194" t="str">
        <f aca="false">IF(Model!CT37=0,"",Model!CT37)</f>
        <v/>
      </c>
      <c r="CW34" s="194" t="str">
        <f aca="false">IF(Model!CU37=0,"",Model!CU37)</f>
        <v/>
      </c>
      <c r="CX34" s="194" t="str">
        <f aca="false">IF(Model!CV37=0,"",Model!CV37)</f>
        <v/>
      </c>
      <c r="CY34" s="194" t="str">
        <f aca="false">IF(Model!CW37=0,"",Model!CW37)</f>
        <v/>
      </c>
      <c r="CZ34" s="194" t="str">
        <f aca="false">IF(Model!CX37=0,"",Model!CX37)</f>
        <v/>
      </c>
      <c r="DA34" s="194" t="str">
        <f aca="false">IF(Model!CY37=0,"",Model!CY37)</f>
        <v/>
      </c>
      <c r="DB34" s="194" t="str">
        <f aca="false">IF(Model!CZ37=0,"",Model!CZ37)</f>
        <v/>
      </c>
    </row>
    <row r="35" customFormat="false" ht="15" hidden="false" customHeight="true" outlineLevel="0" collapsed="false">
      <c r="A35" s="125" t="s">
        <v>32</v>
      </c>
      <c r="B35" s="191" t="n">
        <f aca="false">Projects!$B$29</f>
        <v>15000000</v>
      </c>
      <c r="C35" s="192" t="n">
        <f aca="false">EDATE(Model!$E$2,Projects!$C$29-1)</f>
        <v>47543</v>
      </c>
      <c r="D35" s="192" t="n">
        <f aca="false">EDATE(Model!$E$2,Projects!$C$29+Projects!$D$29-2)</f>
        <v>48092</v>
      </c>
      <c r="E35" s="193" t="n">
        <f aca="false">Projects!$D$29</f>
        <v>19</v>
      </c>
      <c r="F35" s="191" t="n">
        <f aca="false">SUM(G35:DB35)</f>
        <v>0</v>
      </c>
      <c r="G35" s="194" t="str">
        <f aca="false">IF(Model!E38=0,"",Model!E38)</f>
        <v/>
      </c>
      <c r="H35" s="194" t="str">
        <f aca="false">IF(Model!F38=0,"",Model!F38)</f>
        <v/>
      </c>
      <c r="I35" s="194" t="str">
        <f aca="false">IF(Model!G38=0,"",Model!G38)</f>
        <v/>
      </c>
      <c r="J35" s="194" t="str">
        <f aca="false">IF(Model!H38=0,"",Model!H38)</f>
        <v/>
      </c>
      <c r="K35" s="194" t="str">
        <f aca="false">IF(Model!I38=0,"",Model!I38)</f>
        <v/>
      </c>
      <c r="L35" s="194" t="str">
        <f aca="false">IF(Model!J38=0,"",Model!J38)</f>
        <v/>
      </c>
      <c r="M35" s="194" t="str">
        <f aca="false">IF(Model!K38=0,"",Model!K38)</f>
        <v/>
      </c>
      <c r="N35" s="194" t="str">
        <f aca="false">IF(Model!L38=0,"",Model!L38)</f>
        <v/>
      </c>
      <c r="O35" s="194" t="str">
        <f aca="false">IF(Model!M38=0,"",Model!M38)</f>
        <v/>
      </c>
      <c r="P35" s="194" t="str">
        <f aca="false">IF(Model!N38=0,"",Model!N38)</f>
        <v/>
      </c>
      <c r="Q35" s="194" t="str">
        <f aca="false">IF(Model!O38=0,"",Model!O38)</f>
        <v/>
      </c>
      <c r="R35" s="194" t="str">
        <f aca="false">IF(Model!P38=0,"",Model!P38)</f>
        <v/>
      </c>
      <c r="S35" s="194" t="str">
        <f aca="false">IF(Model!Q38=0,"",Model!Q38)</f>
        <v/>
      </c>
      <c r="T35" s="194" t="str">
        <f aca="false">IF(Model!R38=0,"",Model!R38)</f>
        <v/>
      </c>
      <c r="U35" s="194" t="str">
        <f aca="false">IF(Model!S38=0,"",Model!S38)</f>
        <v/>
      </c>
      <c r="V35" s="194" t="str">
        <f aca="false">IF(Model!T38=0,"",Model!T38)</f>
        <v/>
      </c>
      <c r="W35" s="194" t="str">
        <f aca="false">IF(Model!U38=0,"",Model!U38)</f>
        <v/>
      </c>
      <c r="X35" s="194" t="str">
        <f aca="false">IF(Model!V38=0,"",Model!V38)</f>
        <v/>
      </c>
      <c r="Y35" s="194" t="str">
        <f aca="false">IF(Model!W38=0,"",Model!W38)</f>
        <v/>
      </c>
      <c r="Z35" s="194" t="str">
        <f aca="false">IF(Model!X38=0,"",Model!X38)</f>
        <v/>
      </c>
      <c r="AA35" s="194" t="str">
        <f aca="false">IF(Model!Y38=0,"",Model!Y38)</f>
        <v/>
      </c>
      <c r="AB35" s="194" t="str">
        <f aca="false">IF(Model!Z38=0,"",Model!Z38)</f>
        <v/>
      </c>
      <c r="AC35" s="194" t="str">
        <f aca="false">IF(Model!AA38=0,"",Model!AA38)</f>
        <v/>
      </c>
      <c r="AD35" s="194" t="str">
        <f aca="false">IF(Model!AB38=0,"",Model!AB38)</f>
        <v/>
      </c>
      <c r="AE35" s="194" t="str">
        <f aca="false">IF(Model!AC38=0,"",Model!AC38)</f>
        <v/>
      </c>
      <c r="AF35" s="194" t="str">
        <f aca="false">IF(Model!AD38=0,"",Model!AD38)</f>
        <v/>
      </c>
      <c r="AG35" s="194" t="str">
        <f aca="false">IF(Model!AE38=0,"",Model!AE38)</f>
        <v/>
      </c>
      <c r="AH35" s="194" t="str">
        <f aca="false">IF(Model!AF38=0,"",Model!AF38)</f>
        <v/>
      </c>
      <c r="AI35" s="194" t="str">
        <f aca="false">IF(Model!AG38=0,"",Model!AG38)</f>
        <v/>
      </c>
      <c r="AJ35" s="194" t="str">
        <f aca="false">IF(Model!AH38=0,"",Model!AH38)</f>
        <v/>
      </c>
      <c r="AK35" s="194" t="str">
        <f aca="false">IF(Model!AI38=0,"",Model!AI38)</f>
        <v/>
      </c>
      <c r="AL35" s="194" t="str">
        <f aca="false">IF(Model!AJ38=0,"",Model!AJ38)</f>
        <v/>
      </c>
      <c r="AM35" s="194" t="str">
        <f aca="false">IF(Model!AK38=0,"",Model!AK38)</f>
        <v/>
      </c>
      <c r="AN35" s="194" t="str">
        <f aca="false">IF(Model!AL38=0,"",Model!AL38)</f>
        <v/>
      </c>
      <c r="AO35" s="194" t="str">
        <f aca="false">IF(Model!AM38=0,"",Model!AM38)</f>
        <v/>
      </c>
      <c r="AP35" s="194" t="str">
        <f aca="false">IF(Model!AN38=0,"",Model!AN38)</f>
        <v/>
      </c>
      <c r="AQ35" s="194" t="str">
        <f aca="false">IF(Model!AO38=0,"",Model!AO38)</f>
        <v/>
      </c>
      <c r="AR35" s="194" t="str">
        <f aca="false">IF(Model!AP38=0,"",Model!AP38)</f>
        <v/>
      </c>
      <c r="AS35" s="194" t="str">
        <f aca="false">IF(Model!AQ38=0,"",Model!AQ38)</f>
        <v/>
      </c>
      <c r="AT35" s="194" t="str">
        <f aca="false">IF(Model!AR38=0,"",Model!AR38)</f>
        <v/>
      </c>
      <c r="AU35" s="194" t="str">
        <f aca="false">IF(Model!AS38=0,"",Model!AS38)</f>
        <v/>
      </c>
      <c r="AV35" s="194" t="str">
        <f aca="false">IF(Model!AT38=0,"",Model!AT38)</f>
        <v/>
      </c>
      <c r="AW35" s="194" t="str">
        <f aca="false">IF(Model!AU38=0,"",Model!AU38)</f>
        <v/>
      </c>
      <c r="AX35" s="194" t="str">
        <f aca="false">IF(Model!AV38=0,"",Model!AV38)</f>
        <v/>
      </c>
      <c r="AY35" s="194" t="str">
        <f aca="false">IF(Model!AW38=0,"",Model!AW38)</f>
        <v/>
      </c>
      <c r="AZ35" s="194" t="str">
        <f aca="false">IF(Model!AX38=0,"",Model!AX38)</f>
        <v/>
      </c>
      <c r="BA35" s="194" t="str">
        <f aca="false">IF(Model!AY38=0,"",Model!AY38)</f>
        <v/>
      </c>
      <c r="BB35" s="194" t="str">
        <f aca="false">IF(Model!AZ38=0,"",Model!AZ38)</f>
        <v/>
      </c>
      <c r="BC35" s="194" t="str">
        <f aca="false">IF(Model!BA38=0,"",Model!BA38)</f>
        <v/>
      </c>
      <c r="BD35" s="194" t="str">
        <f aca="false">IF(Model!BB38=0,"",Model!BB38)</f>
        <v/>
      </c>
      <c r="BE35" s="194" t="str">
        <f aca="false">IF(Model!BC38=0,"",Model!BC38)</f>
        <v/>
      </c>
      <c r="BF35" s="194" t="str">
        <f aca="false">IF(Model!BD38=0,"",Model!BD38)</f>
        <v/>
      </c>
      <c r="BG35" s="194" t="str">
        <f aca="false">IF(Model!BE38=0,"",Model!BE38)</f>
        <v/>
      </c>
      <c r="BH35" s="194" t="str">
        <f aca="false">IF(Model!BF38=0,"",Model!BF38)</f>
        <v/>
      </c>
      <c r="BI35" s="194" t="str">
        <f aca="false">IF(Model!BG38=0,"",Model!BG38)</f>
        <v/>
      </c>
      <c r="BJ35" s="194" t="str">
        <f aca="false">IF(Model!BH38=0,"",Model!BH38)</f>
        <v/>
      </c>
      <c r="BK35" s="194" t="str">
        <f aca="false">IF(Model!BI38=0,"",Model!BI38)</f>
        <v/>
      </c>
      <c r="BL35" s="194" t="str">
        <f aca="false">IF(Model!BJ38=0,"",Model!BJ38)</f>
        <v/>
      </c>
      <c r="BM35" s="194" t="str">
        <f aca="false">IF(Model!BK38=0,"",Model!BK38)</f>
        <v/>
      </c>
      <c r="BN35" s="194" t="str">
        <f aca="false">IF(Model!BL38=0,"",Model!BL38)</f>
        <v/>
      </c>
      <c r="BO35" s="194" t="str">
        <f aca="false">IF(Model!BM38=0,"",Model!BM38)</f>
        <v/>
      </c>
      <c r="BP35" s="194" t="str">
        <f aca="false">IF(Model!BN38=0,"",Model!BN38)</f>
        <v/>
      </c>
      <c r="BQ35" s="194" t="str">
        <f aca="false">IF(Model!BO38=0,"",Model!BO38)</f>
        <v/>
      </c>
      <c r="BR35" s="194" t="str">
        <f aca="false">IF(Model!BP38=0,"",Model!BP38)</f>
        <v/>
      </c>
      <c r="BS35" s="194" t="str">
        <f aca="false">IF(Model!BQ38=0,"",Model!BQ38)</f>
        <v/>
      </c>
      <c r="BT35" s="194" t="str">
        <f aca="false">IF(Model!BR38=0,"",Model!BR38)</f>
        <v/>
      </c>
      <c r="BU35" s="194" t="str">
        <f aca="false">IF(Model!BS38=0,"",Model!BS38)</f>
        <v/>
      </c>
      <c r="BV35" s="194" t="str">
        <f aca="false">IF(Model!BT38=0,"",Model!BT38)</f>
        <v/>
      </c>
      <c r="BW35" s="194" t="str">
        <f aca="false">IF(Model!BU38=0,"",Model!BU38)</f>
        <v/>
      </c>
      <c r="BX35" s="194" t="str">
        <f aca="false">IF(Model!BV38=0,"",Model!BV38)</f>
        <v/>
      </c>
      <c r="BY35" s="194" t="str">
        <f aca="false">IF(Model!BW38=0,"",Model!BW38)</f>
        <v/>
      </c>
      <c r="BZ35" s="194" t="str">
        <f aca="false">IF(Model!BX38=0,"",Model!BX38)</f>
        <v/>
      </c>
      <c r="CA35" s="194" t="str">
        <f aca="false">IF(Model!BY38=0,"",Model!BY38)</f>
        <v/>
      </c>
      <c r="CB35" s="194" t="str">
        <f aca="false">IF(Model!BZ38=0,"",Model!BZ38)</f>
        <v/>
      </c>
      <c r="CC35" s="194" t="str">
        <f aca="false">IF(Model!CA38=0,"",Model!CA38)</f>
        <v/>
      </c>
      <c r="CD35" s="194" t="str">
        <f aca="false">IF(Model!CB38=0,"",Model!CB38)</f>
        <v/>
      </c>
      <c r="CE35" s="194" t="str">
        <f aca="false">IF(Model!CC38=0,"",Model!CC38)</f>
        <v/>
      </c>
      <c r="CF35" s="194" t="str">
        <f aca="false">IF(Model!CD38=0,"",Model!CD38)</f>
        <v/>
      </c>
      <c r="CG35" s="194" t="str">
        <f aca="false">IF(Model!CE38=0,"",Model!CE38)</f>
        <v/>
      </c>
      <c r="CH35" s="194" t="str">
        <f aca="false">IF(Model!CF38=0,"",Model!CF38)</f>
        <v/>
      </c>
      <c r="CI35" s="194" t="str">
        <f aca="false">IF(Model!CG38=0,"",Model!CG38)</f>
        <v/>
      </c>
      <c r="CJ35" s="194" t="str">
        <f aca="false">IF(Model!CH38=0,"",Model!CH38)</f>
        <v/>
      </c>
      <c r="CK35" s="194" t="str">
        <f aca="false">IF(Model!CI38=0,"",Model!CI38)</f>
        <v/>
      </c>
      <c r="CL35" s="194" t="str">
        <f aca="false">IF(Model!CJ38=0,"",Model!CJ38)</f>
        <v/>
      </c>
      <c r="CM35" s="194" t="str">
        <f aca="false">IF(Model!CK38=0,"",Model!CK38)</f>
        <v/>
      </c>
      <c r="CN35" s="194" t="str">
        <f aca="false">IF(Model!CL38=0,"",Model!CL38)</f>
        <v/>
      </c>
      <c r="CO35" s="194" t="str">
        <f aca="false">IF(Model!CM38=0,"",Model!CM38)</f>
        <v/>
      </c>
      <c r="CP35" s="194" t="str">
        <f aca="false">IF(Model!CN38=0,"",Model!CN38)</f>
        <v/>
      </c>
      <c r="CQ35" s="194" t="str">
        <f aca="false">IF(Model!CO38=0,"",Model!CO38)</f>
        <v/>
      </c>
      <c r="CR35" s="194" t="str">
        <f aca="false">IF(Model!CP38=0,"",Model!CP38)</f>
        <v/>
      </c>
      <c r="CS35" s="194" t="str">
        <f aca="false">IF(Model!CQ38=0,"",Model!CQ38)</f>
        <v/>
      </c>
      <c r="CT35" s="194" t="str">
        <f aca="false">IF(Model!CR38=0,"",Model!CR38)</f>
        <v/>
      </c>
      <c r="CU35" s="194" t="str">
        <f aca="false">IF(Model!CS38=0,"",Model!CS38)</f>
        <v/>
      </c>
      <c r="CV35" s="194" t="str">
        <f aca="false">IF(Model!CT38=0,"",Model!CT38)</f>
        <v/>
      </c>
      <c r="CW35" s="194" t="str">
        <f aca="false">IF(Model!CU38=0,"",Model!CU38)</f>
        <v/>
      </c>
      <c r="CX35" s="194" t="str">
        <f aca="false">IF(Model!CV38=0,"",Model!CV38)</f>
        <v/>
      </c>
      <c r="CY35" s="194" t="str">
        <f aca="false">IF(Model!CW38=0,"",Model!CW38)</f>
        <v/>
      </c>
      <c r="CZ35" s="194" t="str">
        <f aca="false">IF(Model!CX38=0,"",Model!CX38)</f>
        <v/>
      </c>
      <c r="DA35" s="194" t="str">
        <f aca="false">IF(Model!CY38=0,"",Model!CY38)</f>
        <v/>
      </c>
      <c r="DB35" s="194" t="str">
        <f aca="false">IF(Model!CZ38=0,"",Model!CZ38)</f>
        <v/>
      </c>
    </row>
    <row r="36" customFormat="false" ht="15" hidden="false" customHeight="true" outlineLevel="0" collapsed="false">
      <c r="A36" s="125" t="s">
        <v>33</v>
      </c>
      <c r="B36" s="191" t="n">
        <f aca="false">Projects!$B$30</f>
        <v>15000000</v>
      </c>
      <c r="C36" s="192" t="n">
        <f aca="false">EDATE(Model!$E$2,Projects!$C$30-1)</f>
        <v>47604</v>
      </c>
      <c r="D36" s="192" t="n">
        <f aca="false">EDATE(Model!$E$2,Projects!$C$30+Projects!$D$30-2)</f>
        <v>48153</v>
      </c>
      <c r="E36" s="193" t="n">
        <f aca="false">Projects!$D$30</f>
        <v>19</v>
      </c>
      <c r="F36" s="191" t="n">
        <f aca="false">SUM(G36:DB36)</f>
        <v>0</v>
      </c>
      <c r="G36" s="194" t="str">
        <f aca="false">IF(Model!E39=0,"",Model!E39)</f>
        <v/>
      </c>
      <c r="H36" s="194" t="str">
        <f aca="false">IF(Model!F39=0,"",Model!F39)</f>
        <v/>
      </c>
      <c r="I36" s="194" t="str">
        <f aca="false">IF(Model!G39=0,"",Model!G39)</f>
        <v/>
      </c>
      <c r="J36" s="194" t="str">
        <f aca="false">IF(Model!H39=0,"",Model!H39)</f>
        <v/>
      </c>
      <c r="K36" s="194" t="str">
        <f aca="false">IF(Model!I39=0,"",Model!I39)</f>
        <v/>
      </c>
      <c r="L36" s="194" t="str">
        <f aca="false">IF(Model!J39=0,"",Model!J39)</f>
        <v/>
      </c>
      <c r="M36" s="194" t="str">
        <f aca="false">IF(Model!K39=0,"",Model!K39)</f>
        <v/>
      </c>
      <c r="N36" s="194" t="str">
        <f aca="false">IF(Model!L39=0,"",Model!L39)</f>
        <v/>
      </c>
      <c r="O36" s="194" t="str">
        <f aca="false">IF(Model!M39=0,"",Model!M39)</f>
        <v/>
      </c>
      <c r="P36" s="194" t="str">
        <f aca="false">IF(Model!N39=0,"",Model!N39)</f>
        <v/>
      </c>
      <c r="Q36" s="194" t="str">
        <f aca="false">IF(Model!O39=0,"",Model!O39)</f>
        <v/>
      </c>
      <c r="R36" s="194" t="str">
        <f aca="false">IF(Model!P39=0,"",Model!P39)</f>
        <v/>
      </c>
      <c r="S36" s="194" t="str">
        <f aca="false">IF(Model!Q39=0,"",Model!Q39)</f>
        <v/>
      </c>
      <c r="T36" s="194" t="str">
        <f aca="false">IF(Model!R39=0,"",Model!R39)</f>
        <v/>
      </c>
      <c r="U36" s="194" t="str">
        <f aca="false">IF(Model!S39=0,"",Model!S39)</f>
        <v/>
      </c>
      <c r="V36" s="194" t="str">
        <f aca="false">IF(Model!T39=0,"",Model!T39)</f>
        <v/>
      </c>
      <c r="W36" s="194" t="str">
        <f aca="false">IF(Model!U39=0,"",Model!U39)</f>
        <v/>
      </c>
      <c r="X36" s="194" t="str">
        <f aca="false">IF(Model!V39=0,"",Model!V39)</f>
        <v/>
      </c>
      <c r="Y36" s="194" t="str">
        <f aca="false">IF(Model!W39=0,"",Model!W39)</f>
        <v/>
      </c>
      <c r="Z36" s="194" t="str">
        <f aca="false">IF(Model!X39=0,"",Model!X39)</f>
        <v/>
      </c>
      <c r="AA36" s="194" t="str">
        <f aca="false">IF(Model!Y39=0,"",Model!Y39)</f>
        <v/>
      </c>
      <c r="AB36" s="194" t="str">
        <f aca="false">IF(Model!Z39=0,"",Model!Z39)</f>
        <v/>
      </c>
      <c r="AC36" s="194" t="str">
        <f aca="false">IF(Model!AA39=0,"",Model!AA39)</f>
        <v/>
      </c>
      <c r="AD36" s="194" t="str">
        <f aca="false">IF(Model!AB39=0,"",Model!AB39)</f>
        <v/>
      </c>
      <c r="AE36" s="194" t="str">
        <f aca="false">IF(Model!AC39=0,"",Model!AC39)</f>
        <v/>
      </c>
      <c r="AF36" s="194" t="str">
        <f aca="false">IF(Model!AD39=0,"",Model!AD39)</f>
        <v/>
      </c>
      <c r="AG36" s="194" t="str">
        <f aca="false">IF(Model!AE39=0,"",Model!AE39)</f>
        <v/>
      </c>
      <c r="AH36" s="194" t="str">
        <f aca="false">IF(Model!AF39=0,"",Model!AF39)</f>
        <v/>
      </c>
      <c r="AI36" s="194" t="str">
        <f aca="false">IF(Model!AG39=0,"",Model!AG39)</f>
        <v/>
      </c>
      <c r="AJ36" s="194" t="str">
        <f aca="false">IF(Model!AH39=0,"",Model!AH39)</f>
        <v/>
      </c>
      <c r="AK36" s="194" t="str">
        <f aca="false">IF(Model!AI39=0,"",Model!AI39)</f>
        <v/>
      </c>
      <c r="AL36" s="194" t="str">
        <f aca="false">IF(Model!AJ39=0,"",Model!AJ39)</f>
        <v/>
      </c>
      <c r="AM36" s="194" t="str">
        <f aca="false">IF(Model!AK39=0,"",Model!AK39)</f>
        <v/>
      </c>
      <c r="AN36" s="194" t="str">
        <f aca="false">IF(Model!AL39=0,"",Model!AL39)</f>
        <v/>
      </c>
      <c r="AO36" s="194" t="str">
        <f aca="false">IF(Model!AM39=0,"",Model!AM39)</f>
        <v/>
      </c>
      <c r="AP36" s="194" t="str">
        <f aca="false">IF(Model!AN39=0,"",Model!AN39)</f>
        <v/>
      </c>
      <c r="AQ36" s="194" t="str">
        <f aca="false">IF(Model!AO39=0,"",Model!AO39)</f>
        <v/>
      </c>
      <c r="AR36" s="194" t="str">
        <f aca="false">IF(Model!AP39=0,"",Model!AP39)</f>
        <v/>
      </c>
      <c r="AS36" s="194" t="str">
        <f aca="false">IF(Model!AQ39=0,"",Model!AQ39)</f>
        <v/>
      </c>
      <c r="AT36" s="194" t="str">
        <f aca="false">IF(Model!AR39=0,"",Model!AR39)</f>
        <v/>
      </c>
      <c r="AU36" s="194" t="str">
        <f aca="false">IF(Model!AS39=0,"",Model!AS39)</f>
        <v/>
      </c>
      <c r="AV36" s="194" t="str">
        <f aca="false">IF(Model!AT39=0,"",Model!AT39)</f>
        <v/>
      </c>
      <c r="AW36" s="194" t="str">
        <f aca="false">IF(Model!AU39=0,"",Model!AU39)</f>
        <v/>
      </c>
      <c r="AX36" s="194" t="str">
        <f aca="false">IF(Model!AV39=0,"",Model!AV39)</f>
        <v/>
      </c>
      <c r="AY36" s="194" t="str">
        <f aca="false">IF(Model!AW39=0,"",Model!AW39)</f>
        <v/>
      </c>
      <c r="AZ36" s="194" t="str">
        <f aca="false">IF(Model!AX39=0,"",Model!AX39)</f>
        <v/>
      </c>
      <c r="BA36" s="194" t="str">
        <f aca="false">IF(Model!AY39=0,"",Model!AY39)</f>
        <v/>
      </c>
      <c r="BB36" s="194" t="str">
        <f aca="false">IF(Model!AZ39=0,"",Model!AZ39)</f>
        <v/>
      </c>
      <c r="BC36" s="194" t="str">
        <f aca="false">IF(Model!BA39=0,"",Model!BA39)</f>
        <v/>
      </c>
      <c r="BD36" s="194" t="str">
        <f aca="false">IF(Model!BB39=0,"",Model!BB39)</f>
        <v/>
      </c>
      <c r="BE36" s="194" t="str">
        <f aca="false">IF(Model!BC39=0,"",Model!BC39)</f>
        <v/>
      </c>
      <c r="BF36" s="194" t="str">
        <f aca="false">IF(Model!BD39=0,"",Model!BD39)</f>
        <v/>
      </c>
      <c r="BG36" s="194" t="str">
        <f aca="false">IF(Model!BE39=0,"",Model!BE39)</f>
        <v/>
      </c>
      <c r="BH36" s="194" t="str">
        <f aca="false">IF(Model!BF39=0,"",Model!BF39)</f>
        <v/>
      </c>
      <c r="BI36" s="194" t="str">
        <f aca="false">IF(Model!BG39=0,"",Model!BG39)</f>
        <v/>
      </c>
      <c r="BJ36" s="194" t="str">
        <f aca="false">IF(Model!BH39=0,"",Model!BH39)</f>
        <v/>
      </c>
      <c r="BK36" s="194" t="str">
        <f aca="false">IF(Model!BI39=0,"",Model!BI39)</f>
        <v/>
      </c>
      <c r="BL36" s="194" t="str">
        <f aca="false">IF(Model!BJ39=0,"",Model!BJ39)</f>
        <v/>
      </c>
      <c r="BM36" s="194" t="str">
        <f aca="false">IF(Model!BK39=0,"",Model!BK39)</f>
        <v/>
      </c>
      <c r="BN36" s="194" t="str">
        <f aca="false">IF(Model!BL39=0,"",Model!BL39)</f>
        <v/>
      </c>
      <c r="BO36" s="194" t="str">
        <f aca="false">IF(Model!BM39=0,"",Model!BM39)</f>
        <v/>
      </c>
      <c r="BP36" s="194" t="str">
        <f aca="false">IF(Model!BN39=0,"",Model!BN39)</f>
        <v/>
      </c>
      <c r="BQ36" s="194" t="str">
        <f aca="false">IF(Model!BO39=0,"",Model!BO39)</f>
        <v/>
      </c>
      <c r="BR36" s="194" t="str">
        <f aca="false">IF(Model!BP39=0,"",Model!BP39)</f>
        <v/>
      </c>
      <c r="BS36" s="194" t="str">
        <f aca="false">IF(Model!BQ39=0,"",Model!BQ39)</f>
        <v/>
      </c>
      <c r="BT36" s="194" t="str">
        <f aca="false">IF(Model!BR39=0,"",Model!BR39)</f>
        <v/>
      </c>
      <c r="BU36" s="194" t="str">
        <f aca="false">IF(Model!BS39=0,"",Model!BS39)</f>
        <v/>
      </c>
      <c r="BV36" s="194" t="str">
        <f aca="false">IF(Model!BT39=0,"",Model!BT39)</f>
        <v/>
      </c>
      <c r="BW36" s="194" t="str">
        <f aca="false">IF(Model!BU39=0,"",Model!BU39)</f>
        <v/>
      </c>
      <c r="BX36" s="194" t="str">
        <f aca="false">IF(Model!BV39=0,"",Model!BV39)</f>
        <v/>
      </c>
      <c r="BY36" s="194" t="str">
        <f aca="false">IF(Model!BW39=0,"",Model!BW39)</f>
        <v/>
      </c>
      <c r="BZ36" s="194" t="str">
        <f aca="false">IF(Model!BX39=0,"",Model!BX39)</f>
        <v/>
      </c>
      <c r="CA36" s="194" t="str">
        <f aca="false">IF(Model!BY39=0,"",Model!BY39)</f>
        <v/>
      </c>
      <c r="CB36" s="194" t="str">
        <f aca="false">IF(Model!BZ39=0,"",Model!BZ39)</f>
        <v/>
      </c>
      <c r="CC36" s="194" t="str">
        <f aca="false">IF(Model!CA39=0,"",Model!CA39)</f>
        <v/>
      </c>
      <c r="CD36" s="194" t="str">
        <f aca="false">IF(Model!CB39=0,"",Model!CB39)</f>
        <v/>
      </c>
      <c r="CE36" s="194" t="str">
        <f aca="false">IF(Model!CC39=0,"",Model!CC39)</f>
        <v/>
      </c>
      <c r="CF36" s="194" t="str">
        <f aca="false">IF(Model!CD39=0,"",Model!CD39)</f>
        <v/>
      </c>
      <c r="CG36" s="194" t="str">
        <f aca="false">IF(Model!CE39=0,"",Model!CE39)</f>
        <v/>
      </c>
      <c r="CH36" s="194" t="str">
        <f aca="false">IF(Model!CF39=0,"",Model!CF39)</f>
        <v/>
      </c>
      <c r="CI36" s="194" t="str">
        <f aca="false">IF(Model!CG39=0,"",Model!CG39)</f>
        <v/>
      </c>
      <c r="CJ36" s="194" t="str">
        <f aca="false">IF(Model!CH39=0,"",Model!CH39)</f>
        <v/>
      </c>
      <c r="CK36" s="194" t="str">
        <f aca="false">IF(Model!CI39=0,"",Model!CI39)</f>
        <v/>
      </c>
      <c r="CL36" s="194" t="str">
        <f aca="false">IF(Model!CJ39=0,"",Model!CJ39)</f>
        <v/>
      </c>
      <c r="CM36" s="194" t="str">
        <f aca="false">IF(Model!CK39=0,"",Model!CK39)</f>
        <v/>
      </c>
      <c r="CN36" s="194" t="str">
        <f aca="false">IF(Model!CL39=0,"",Model!CL39)</f>
        <v/>
      </c>
      <c r="CO36" s="194" t="str">
        <f aca="false">IF(Model!CM39=0,"",Model!CM39)</f>
        <v/>
      </c>
      <c r="CP36" s="194" t="str">
        <f aca="false">IF(Model!CN39=0,"",Model!CN39)</f>
        <v/>
      </c>
      <c r="CQ36" s="194" t="str">
        <f aca="false">IF(Model!CO39=0,"",Model!CO39)</f>
        <v/>
      </c>
      <c r="CR36" s="194" t="str">
        <f aca="false">IF(Model!CP39=0,"",Model!CP39)</f>
        <v/>
      </c>
      <c r="CS36" s="194" t="str">
        <f aca="false">IF(Model!CQ39=0,"",Model!CQ39)</f>
        <v/>
      </c>
      <c r="CT36" s="194" t="str">
        <f aca="false">IF(Model!CR39=0,"",Model!CR39)</f>
        <v/>
      </c>
      <c r="CU36" s="194" t="str">
        <f aca="false">IF(Model!CS39=0,"",Model!CS39)</f>
        <v/>
      </c>
      <c r="CV36" s="194" t="str">
        <f aca="false">IF(Model!CT39=0,"",Model!CT39)</f>
        <v/>
      </c>
      <c r="CW36" s="194" t="str">
        <f aca="false">IF(Model!CU39=0,"",Model!CU39)</f>
        <v/>
      </c>
      <c r="CX36" s="194" t="str">
        <f aca="false">IF(Model!CV39=0,"",Model!CV39)</f>
        <v/>
      </c>
      <c r="CY36" s="194" t="str">
        <f aca="false">IF(Model!CW39=0,"",Model!CW39)</f>
        <v/>
      </c>
      <c r="CZ36" s="194" t="str">
        <f aca="false">IF(Model!CX39=0,"",Model!CX39)</f>
        <v/>
      </c>
      <c r="DA36" s="194" t="str">
        <f aca="false">IF(Model!CY39=0,"",Model!CY39)</f>
        <v/>
      </c>
      <c r="DB36" s="194" t="str">
        <f aca="false">IF(Model!CZ39=0,"",Model!CZ39)</f>
        <v/>
      </c>
    </row>
    <row r="37" customFormat="false" ht="15" hidden="false" customHeight="true" outlineLevel="0" collapsed="false">
      <c r="A37" s="125" t="s">
        <v>34</v>
      </c>
      <c r="B37" s="191" t="n">
        <f aca="false">Projects!$B$31</f>
        <v>18000000</v>
      </c>
      <c r="C37" s="192" t="n">
        <f aca="false">EDATE(Model!$E$2,Projects!$C$31-1)</f>
        <v>47665</v>
      </c>
      <c r="D37" s="192" t="n">
        <f aca="false">EDATE(Model!$E$2,Projects!$C$31+Projects!$D$31-2)</f>
        <v>48214</v>
      </c>
      <c r="E37" s="193" t="n">
        <f aca="false">Projects!$D$31</f>
        <v>19</v>
      </c>
      <c r="F37" s="191" t="n">
        <f aca="false">SUM(G37:DB37)</f>
        <v>0</v>
      </c>
      <c r="G37" s="194" t="str">
        <f aca="false">IF(Model!E40=0,"",Model!E40)</f>
        <v/>
      </c>
      <c r="H37" s="194" t="str">
        <f aca="false">IF(Model!F40=0,"",Model!F40)</f>
        <v/>
      </c>
      <c r="I37" s="194" t="str">
        <f aca="false">IF(Model!G40=0,"",Model!G40)</f>
        <v/>
      </c>
      <c r="J37" s="194" t="str">
        <f aca="false">IF(Model!H40=0,"",Model!H40)</f>
        <v/>
      </c>
      <c r="K37" s="194" t="str">
        <f aca="false">IF(Model!I40=0,"",Model!I40)</f>
        <v/>
      </c>
      <c r="L37" s="194" t="str">
        <f aca="false">IF(Model!J40=0,"",Model!J40)</f>
        <v/>
      </c>
      <c r="M37" s="194" t="str">
        <f aca="false">IF(Model!K40=0,"",Model!K40)</f>
        <v/>
      </c>
      <c r="N37" s="194" t="str">
        <f aca="false">IF(Model!L40=0,"",Model!L40)</f>
        <v/>
      </c>
      <c r="O37" s="194" t="str">
        <f aca="false">IF(Model!M40=0,"",Model!M40)</f>
        <v/>
      </c>
      <c r="P37" s="194" t="str">
        <f aca="false">IF(Model!N40=0,"",Model!N40)</f>
        <v/>
      </c>
      <c r="Q37" s="194" t="str">
        <f aca="false">IF(Model!O40=0,"",Model!O40)</f>
        <v/>
      </c>
      <c r="R37" s="194" t="str">
        <f aca="false">IF(Model!P40=0,"",Model!P40)</f>
        <v/>
      </c>
      <c r="S37" s="194" t="str">
        <f aca="false">IF(Model!Q40=0,"",Model!Q40)</f>
        <v/>
      </c>
      <c r="T37" s="194" t="str">
        <f aca="false">IF(Model!R40=0,"",Model!R40)</f>
        <v/>
      </c>
      <c r="U37" s="194" t="str">
        <f aca="false">IF(Model!S40=0,"",Model!S40)</f>
        <v/>
      </c>
      <c r="V37" s="194" t="str">
        <f aca="false">IF(Model!T40=0,"",Model!T40)</f>
        <v/>
      </c>
      <c r="W37" s="194" t="str">
        <f aca="false">IF(Model!U40=0,"",Model!U40)</f>
        <v/>
      </c>
      <c r="X37" s="194" t="str">
        <f aca="false">IF(Model!V40=0,"",Model!V40)</f>
        <v/>
      </c>
      <c r="Y37" s="194" t="str">
        <f aca="false">IF(Model!W40=0,"",Model!W40)</f>
        <v/>
      </c>
      <c r="Z37" s="194" t="str">
        <f aca="false">IF(Model!X40=0,"",Model!X40)</f>
        <v/>
      </c>
      <c r="AA37" s="194" t="str">
        <f aca="false">IF(Model!Y40=0,"",Model!Y40)</f>
        <v/>
      </c>
      <c r="AB37" s="194" t="str">
        <f aca="false">IF(Model!Z40=0,"",Model!Z40)</f>
        <v/>
      </c>
      <c r="AC37" s="194" t="str">
        <f aca="false">IF(Model!AA40=0,"",Model!AA40)</f>
        <v/>
      </c>
      <c r="AD37" s="194" t="str">
        <f aca="false">IF(Model!AB40=0,"",Model!AB40)</f>
        <v/>
      </c>
      <c r="AE37" s="194" t="str">
        <f aca="false">IF(Model!AC40=0,"",Model!AC40)</f>
        <v/>
      </c>
      <c r="AF37" s="194" t="str">
        <f aca="false">IF(Model!AD40=0,"",Model!AD40)</f>
        <v/>
      </c>
      <c r="AG37" s="194" t="str">
        <f aca="false">IF(Model!AE40=0,"",Model!AE40)</f>
        <v/>
      </c>
      <c r="AH37" s="194" t="str">
        <f aca="false">IF(Model!AF40=0,"",Model!AF40)</f>
        <v/>
      </c>
      <c r="AI37" s="194" t="str">
        <f aca="false">IF(Model!AG40=0,"",Model!AG40)</f>
        <v/>
      </c>
      <c r="AJ37" s="194" t="str">
        <f aca="false">IF(Model!AH40=0,"",Model!AH40)</f>
        <v/>
      </c>
      <c r="AK37" s="194" t="str">
        <f aca="false">IF(Model!AI40=0,"",Model!AI40)</f>
        <v/>
      </c>
      <c r="AL37" s="194" t="str">
        <f aca="false">IF(Model!AJ40=0,"",Model!AJ40)</f>
        <v/>
      </c>
      <c r="AM37" s="194" t="str">
        <f aca="false">IF(Model!AK40=0,"",Model!AK40)</f>
        <v/>
      </c>
      <c r="AN37" s="194" t="str">
        <f aca="false">IF(Model!AL40=0,"",Model!AL40)</f>
        <v/>
      </c>
      <c r="AO37" s="194" t="str">
        <f aca="false">IF(Model!AM40=0,"",Model!AM40)</f>
        <v/>
      </c>
      <c r="AP37" s="194" t="str">
        <f aca="false">IF(Model!AN40=0,"",Model!AN40)</f>
        <v/>
      </c>
      <c r="AQ37" s="194" t="str">
        <f aca="false">IF(Model!AO40=0,"",Model!AO40)</f>
        <v/>
      </c>
      <c r="AR37" s="194" t="str">
        <f aca="false">IF(Model!AP40=0,"",Model!AP40)</f>
        <v/>
      </c>
      <c r="AS37" s="194" t="str">
        <f aca="false">IF(Model!AQ40=0,"",Model!AQ40)</f>
        <v/>
      </c>
      <c r="AT37" s="194" t="str">
        <f aca="false">IF(Model!AR40=0,"",Model!AR40)</f>
        <v/>
      </c>
      <c r="AU37" s="194" t="str">
        <f aca="false">IF(Model!AS40=0,"",Model!AS40)</f>
        <v/>
      </c>
      <c r="AV37" s="194" t="str">
        <f aca="false">IF(Model!AT40=0,"",Model!AT40)</f>
        <v/>
      </c>
      <c r="AW37" s="194" t="str">
        <f aca="false">IF(Model!AU40=0,"",Model!AU40)</f>
        <v/>
      </c>
      <c r="AX37" s="194" t="str">
        <f aca="false">IF(Model!AV40=0,"",Model!AV40)</f>
        <v/>
      </c>
      <c r="AY37" s="194" t="str">
        <f aca="false">IF(Model!AW40=0,"",Model!AW40)</f>
        <v/>
      </c>
      <c r="AZ37" s="194" t="str">
        <f aca="false">IF(Model!AX40=0,"",Model!AX40)</f>
        <v/>
      </c>
      <c r="BA37" s="194" t="str">
        <f aca="false">IF(Model!AY40=0,"",Model!AY40)</f>
        <v/>
      </c>
      <c r="BB37" s="194" t="str">
        <f aca="false">IF(Model!AZ40=0,"",Model!AZ40)</f>
        <v/>
      </c>
      <c r="BC37" s="194" t="str">
        <f aca="false">IF(Model!BA40=0,"",Model!BA40)</f>
        <v/>
      </c>
      <c r="BD37" s="194" t="str">
        <f aca="false">IF(Model!BB40=0,"",Model!BB40)</f>
        <v/>
      </c>
      <c r="BE37" s="194" t="str">
        <f aca="false">IF(Model!BC40=0,"",Model!BC40)</f>
        <v/>
      </c>
      <c r="BF37" s="194" t="str">
        <f aca="false">IF(Model!BD40=0,"",Model!BD40)</f>
        <v/>
      </c>
      <c r="BG37" s="194" t="str">
        <f aca="false">IF(Model!BE40=0,"",Model!BE40)</f>
        <v/>
      </c>
      <c r="BH37" s="194" t="str">
        <f aca="false">IF(Model!BF40=0,"",Model!BF40)</f>
        <v/>
      </c>
      <c r="BI37" s="194" t="str">
        <f aca="false">IF(Model!BG40=0,"",Model!BG40)</f>
        <v/>
      </c>
      <c r="BJ37" s="194" t="str">
        <f aca="false">IF(Model!BH40=0,"",Model!BH40)</f>
        <v/>
      </c>
      <c r="BK37" s="194" t="str">
        <f aca="false">IF(Model!BI40=0,"",Model!BI40)</f>
        <v/>
      </c>
      <c r="BL37" s="194" t="str">
        <f aca="false">IF(Model!BJ40=0,"",Model!BJ40)</f>
        <v/>
      </c>
      <c r="BM37" s="194" t="str">
        <f aca="false">IF(Model!BK40=0,"",Model!BK40)</f>
        <v/>
      </c>
      <c r="BN37" s="194" t="str">
        <f aca="false">IF(Model!BL40=0,"",Model!BL40)</f>
        <v/>
      </c>
      <c r="BO37" s="194" t="str">
        <f aca="false">IF(Model!BM40=0,"",Model!BM40)</f>
        <v/>
      </c>
      <c r="BP37" s="194" t="str">
        <f aca="false">IF(Model!BN40=0,"",Model!BN40)</f>
        <v/>
      </c>
      <c r="BQ37" s="194" t="str">
        <f aca="false">IF(Model!BO40=0,"",Model!BO40)</f>
        <v/>
      </c>
      <c r="BR37" s="194" t="str">
        <f aca="false">IF(Model!BP40=0,"",Model!BP40)</f>
        <v/>
      </c>
      <c r="BS37" s="194" t="str">
        <f aca="false">IF(Model!BQ40=0,"",Model!BQ40)</f>
        <v/>
      </c>
      <c r="BT37" s="194" t="str">
        <f aca="false">IF(Model!BR40=0,"",Model!BR40)</f>
        <v/>
      </c>
      <c r="BU37" s="194" t="str">
        <f aca="false">IF(Model!BS40=0,"",Model!BS40)</f>
        <v/>
      </c>
      <c r="BV37" s="194" t="str">
        <f aca="false">IF(Model!BT40=0,"",Model!BT40)</f>
        <v/>
      </c>
      <c r="BW37" s="194" t="str">
        <f aca="false">IF(Model!BU40=0,"",Model!BU40)</f>
        <v/>
      </c>
      <c r="BX37" s="194" t="str">
        <f aca="false">IF(Model!BV40=0,"",Model!BV40)</f>
        <v/>
      </c>
      <c r="BY37" s="194" t="str">
        <f aca="false">IF(Model!BW40=0,"",Model!BW40)</f>
        <v/>
      </c>
      <c r="BZ37" s="194" t="str">
        <f aca="false">IF(Model!BX40=0,"",Model!BX40)</f>
        <v/>
      </c>
      <c r="CA37" s="194" t="str">
        <f aca="false">IF(Model!BY40=0,"",Model!BY40)</f>
        <v/>
      </c>
      <c r="CB37" s="194" t="str">
        <f aca="false">IF(Model!BZ40=0,"",Model!BZ40)</f>
        <v/>
      </c>
      <c r="CC37" s="194" t="str">
        <f aca="false">IF(Model!CA40=0,"",Model!CA40)</f>
        <v/>
      </c>
      <c r="CD37" s="194" t="str">
        <f aca="false">IF(Model!CB40=0,"",Model!CB40)</f>
        <v/>
      </c>
      <c r="CE37" s="194" t="str">
        <f aca="false">IF(Model!CC40=0,"",Model!CC40)</f>
        <v/>
      </c>
      <c r="CF37" s="194" t="str">
        <f aca="false">IF(Model!CD40=0,"",Model!CD40)</f>
        <v/>
      </c>
      <c r="CG37" s="194" t="str">
        <f aca="false">IF(Model!CE40=0,"",Model!CE40)</f>
        <v/>
      </c>
      <c r="CH37" s="194" t="str">
        <f aca="false">IF(Model!CF40=0,"",Model!CF40)</f>
        <v/>
      </c>
      <c r="CI37" s="194" t="str">
        <f aca="false">IF(Model!CG40=0,"",Model!CG40)</f>
        <v/>
      </c>
      <c r="CJ37" s="194" t="str">
        <f aca="false">IF(Model!CH40=0,"",Model!CH40)</f>
        <v/>
      </c>
      <c r="CK37" s="194" t="str">
        <f aca="false">IF(Model!CI40=0,"",Model!CI40)</f>
        <v/>
      </c>
      <c r="CL37" s="194" t="str">
        <f aca="false">IF(Model!CJ40=0,"",Model!CJ40)</f>
        <v/>
      </c>
      <c r="CM37" s="194" t="str">
        <f aca="false">IF(Model!CK40=0,"",Model!CK40)</f>
        <v/>
      </c>
      <c r="CN37" s="194" t="str">
        <f aca="false">IF(Model!CL40=0,"",Model!CL40)</f>
        <v/>
      </c>
      <c r="CO37" s="194" t="str">
        <f aca="false">IF(Model!CM40=0,"",Model!CM40)</f>
        <v/>
      </c>
      <c r="CP37" s="194" t="str">
        <f aca="false">IF(Model!CN40=0,"",Model!CN40)</f>
        <v/>
      </c>
      <c r="CQ37" s="194" t="str">
        <f aca="false">IF(Model!CO40=0,"",Model!CO40)</f>
        <v/>
      </c>
      <c r="CR37" s="194" t="str">
        <f aca="false">IF(Model!CP40=0,"",Model!CP40)</f>
        <v/>
      </c>
      <c r="CS37" s="194" t="str">
        <f aca="false">IF(Model!CQ40=0,"",Model!CQ40)</f>
        <v/>
      </c>
      <c r="CT37" s="194" t="str">
        <f aca="false">IF(Model!CR40=0,"",Model!CR40)</f>
        <v/>
      </c>
      <c r="CU37" s="194" t="str">
        <f aca="false">IF(Model!CS40=0,"",Model!CS40)</f>
        <v/>
      </c>
      <c r="CV37" s="194" t="str">
        <f aca="false">IF(Model!CT40=0,"",Model!CT40)</f>
        <v/>
      </c>
      <c r="CW37" s="194" t="str">
        <f aca="false">IF(Model!CU40=0,"",Model!CU40)</f>
        <v/>
      </c>
      <c r="CX37" s="194" t="str">
        <f aca="false">IF(Model!CV40=0,"",Model!CV40)</f>
        <v/>
      </c>
      <c r="CY37" s="194" t="str">
        <f aca="false">IF(Model!CW40=0,"",Model!CW40)</f>
        <v/>
      </c>
      <c r="CZ37" s="194" t="str">
        <f aca="false">IF(Model!CX40=0,"",Model!CX40)</f>
        <v/>
      </c>
      <c r="DA37" s="194" t="str">
        <f aca="false">IF(Model!CY40=0,"",Model!CY40)</f>
        <v/>
      </c>
      <c r="DB37" s="194" t="str">
        <f aca="false">IF(Model!CZ40=0,"",Model!CZ40)</f>
        <v/>
      </c>
    </row>
    <row r="38" customFormat="false" ht="15" hidden="false" customHeight="true" outlineLevel="0" collapsed="false">
      <c r="A38" s="125" t="s">
        <v>35</v>
      </c>
      <c r="B38" s="191" t="n">
        <f aca="false">Projects!$B$32</f>
        <v>15000000</v>
      </c>
      <c r="C38" s="192" t="n">
        <f aca="false">EDATE(Model!$E$2,Projects!$C$32-1)</f>
        <v>47727</v>
      </c>
      <c r="D38" s="192" t="n">
        <f aca="false">EDATE(Model!$E$2,Projects!$C$32+Projects!$D$32-2)</f>
        <v>48274</v>
      </c>
      <c r="E38" s="193" t="n">
        <f aca="false">Projects!$D$32</f>
        <v>19</v>
      </c>
      <c r="F38" s="191" t="n">
        <f aca="false">SUM(G38:DB38)</f>
        <v>0</v>
      </c>
      <c r="G38" s="194" t="str">
        <f aca="false">IF(Model!E41=0,"",Model!E41)</f>
        <v/>
      </c>
      <c r="H38" s="194" t="str">
        <f aca="false">IF(Model!F41=0,"",Model!F41)</f>
        <v/>
      </c>
      <c r="I38" s="194" t="str">
        <f aca="false">IF(Model!G41=0,"",Model!G41)</f>
        <v/>
      </c>
      <c r="J38" s="194" t="str">
        <f aca="false">IF(Model!H41=0,"",Model!H41)</f>
        <v/>
      </c>
      <c r="K38" s="194" t="str">
        <f aca="false">IF(Model!I41=0,"",Model!I41)</f>
        <v/>
      </c>
      <c r="L38" s="194" t="str">
        <f aca="false">IF(Model!J41=0,"",Model!J41)</f>
        <v/>
      </c>
      <c r="M38" s="194" t="str">
        <f aca="false">IF(Model!K41=0,"",Model!K41)</f>
        <v/>
      </c>
      <c r="N38" s="194" t="str">
        <f aca="false">IF(Model!L41=0,"",Model!L41)</f>
        <v/>
      </c>
      <c r="O38" s="194" t="str">
        <f aca="false">IF(Model!M41=0,"",Model!M41)</f>
        <v/>
      </c>
      <c r="P38" s="194" t="str">
        <f aca="false">IF(Model!N41=0,"",Model!N41)</f>
        <v/>
      </c>
      <c r="Q38" s="194" t="str">
        <f aca="false">IF(Model!O41=0,"",Model!O41)</f>
        <v/>
      </c>
      <c r="R38" s="194" t="str">
        <f aca="false">IF(Model!P41=0,"",Model!P41)</f>
        <v/>
      </c>
      <c r="S38" s="194" t="str">
        <f aca="false">IF(Model!Q41=0,"",Model!Q41)</f>
        <v/>
      </c>
      <c r="T38" s="194" t="str">
        <f aca="false">IF(Model!R41=0,"",Model!R41)</f>
        <v/>
      </c>
      <c r="U38" s="194" t="str">
        <f aca="false">IF(Model!S41=0,"",Model!S41)</f>
        <v/>
      </c>
      <c r="V38" s="194" t="str">
        <f aca="false">IF(Model!T41=0,"",Model!T41)</f>
        <v/>
      </c>
      <c r="W38" s="194" t="str">
        <f aca="false">IF(Model!U41=0,"",Model!U41)</f>
        <v/>
      </c>
      <c r="X38" s="194" t="str">
        <f aca="false">IF(Model!V41=0,"",Model!V41)</f>
        <v/>
      </c>
      <c r="Y38" s="194" t="str">
        <f aca="false">IF(Model!W41=0,"",Model!W41)</f>
        <v/>
      </c>
      <c r="Z38" s="194" t="str">
        <f aca="false">IF(Model!X41=0,"",Model!X41)</f>
        <v/>
      </c>
      <c r="AA38" s="194" t="str">
        <f aca="false">IF(Model!Y41=0,"",Model!Y41)</f>
        <v/>
      </c>
      <c r="AB38" s="194" t="str">
        <f aca="false">IF(Model!Z41=0,"",Model!Z41)</f>
        <v/>
      </c>
      <c r="AC38" s="194" t="str">
        <f aca="false">IF(Model!AA41=0,"",Model!AA41)</f>
        <v/>
      </c>
      <c r="AD38" s="194" t="str">
        <f aca="false">IF(Model!AB41=0,"",Model!AB41)</f>
        <v/>
      </c>
      <c r="AE38" s="194" t="str">
        <f aca="false">IF(Model!AC41=0,"",Model!AC41)</f>
        <v/>
      </c>
      <c r="AF38" s="194" t="str">
        <f aca="false">IF(Model!AD41=0,"",Model!AD41)</f>
        <v/>
      </c>
      <c r="AG38" s="194" t="str">
        <f aca="false">IF(Model!AE41=0,"",Model!AE41)</f>
        <v/>
      </c>
      <c r="AH38" s="194" t="str">
        <f aca="false">IF(Model!AF41=0,"",Model!AF41)</f>
        <v/>
      </c>
      <c r="AI38" s="194" t="str">
        <f aca="false">IF(Model!AG41=0,"",Model!AG41)</f>
        <v/>
      </c>
      <c r="AJ38" s="194" t="str">
        <f aca="false">IF(Model!AH41=0,"",Model!AH41)</f>
        <v/>
      </c>
      <c r="AK38" s="194" t="str">
        <f aca="false">IF(Model!AI41=0,"",Model!AI41)</f>
        <v/>
      </c>
      <c r="AL38" s="194" t="str">
        <f aca="false">IF(Model!AJ41=0,"",Model!AJ41)</f>
        <v/>
      </c>
      <c r="AM38" s="194" t="str">
        <f aca="false">IF(Model!AK41=0,"",Model!AK41)</f>
        <v/>
      </c>
      <c r="AN38" s="194" t="str">
        <f aca="false">IF(Model!AL41=0,"",Model!AL41)</f>
        <v/>
      </c>
      <c r="AO38" s="194" t="str">
        <f aca="false">IF(Model!AM41=0,"",Model!AM41)</f>
        <v/>
      </c>
      <c r="AP38" s="194" t="str">
        <f aca="false">IF(Model!AN41=0,"",Model!AN41)</f>
        <v/>
      </c>
      <c r="AQ38" s="194" t="str">
        <f aca="false">IF(Model!AO41=0,"",Model!AO41)</f>
        <v/>
      </c>
      <c r="AR38" s="194" t="str">
        <f aca="false">IF(Model!AP41=0,"",Model!AP41)</f>
        <v/>
      </c>
      <c r="AS38" s="194" t="str">
        <f aca="false">IF(Model!AQ41=0,"",Model!AQ41)</f>
        <v/>
      </c>
      <c r="AT38" s="194" t="str">
        <f aca="false">IF(Model!AR41=0,"",Model!AR41)</f>
        <v/>
      </c>
      <c r="AU38" s="194" t="str">
        <f aca="false">IF(Model!AS41=0,"",Model!AS41)</f>
        <v/>
      </c>
      <c r="AV38" s="194" t="str">
        <f aca="false">IF(Model!AT41=0,"",Model!AT41)</f>
        <v/>
      </c>
      <c r="AW38" s="194" t="str">
        <f aca="false">IF(Model!AU41=0,"",Model!AU41)</f>
        <v/>
      </c>
      <c r="AX38" s="194" t="str">
        <f aca="false">IF(Model!AV41=0,"",Model!AV41)</f>
        <v/>
      </c>
      <c r="AY38" s="194" t="str">
        <f aca="false">IF(Model!AW41=0,"",Model!AW41)</f>
        <v/>
      </c>
      <c r="AZ38" s="194" t="str">
        <f aca="false">IF(Model!AX41=0,"",Model!AX41)</f>
        <v/>
      </c>
      <c r="BA38" s="194" t="str">
        <f aca="false">IF(Model!AY41=0,"",Model!AY41)</f>
        <v/>
      </c>
      <c r="BB38" s="194" t="str">
        <f aca="false">IF(Model!AZ41=0,"",Model!AZ41)</f>
        <v/>
      </c>
      <c r="BC38" s="194" t="str">
        <f aca="false">IF(Model!BA41=0,"",Model!BA41)</f>
        <v/>
      </c>
      <c r="BD38" s="194" t="str">
        <f aca="false">IF(Model!BB41=0,"",Model!BB41)</f>
        <v/>
      </c>
      <c r="BE38" s="194" t="str">
        <f aca="false">IF(Model!BC41=0,"",Model!BC41)</f>
        <v/>
      </c>
      <c r="BF38" s="194" t="str">
        <f aca="false">IF(Model!BD41=0,"",Model!BD41)</f>
        <v/>
      </c>
      <c r="BG38" s="194" t="str">
        <f aca="false">IF(Model!BE41=0,"",Model!BE41)</f>
        <v/>
      </c>
      <c r="BH38" s="194" t="str">
        <f aca="false">IF(Model!BF41=0,"",Model!BF41)</f>
        <v/>
      </c>
      <c r="BI38" s="194" t="str">
        <f aca="false">IF(Model!BG41=0,"",Model!BG41)</f>
        <v/>
      </c>
      <c r="BJ38" s="194" t="str">
        <f aca="false">IF(Model!BH41=0,"",Model!BH41)</f>
        <v/>
      </c>
      <c r="BK38" s="194" t="str">
        <f aca="false">IF(Model!BI41=0,"",Model!BI41)</f>
        <v/>
      </c>
      <c r="BL38" s="194" t="str">
        <f aca="false">IF(Model!BJ41=0,"",Model!BJ41)</f>
        <v/>
      </c>
      <c r="BM38" s="194" t="str">
        <f aca="false">IF(Model!BK41=0,"",Model!BK41)</f>
        <v/>
      </c>
      <c r="BN38" s="194" t="str">
        <f aca="false">IF(Model!BL41=0,"",Model!BL41)</f>
        <v/>
      </c>
      <c r="BO38" s="194" t="str">
        <f aca="false">IF(Model!BM41=0,"",Model!BM41)</f>
        <v/>
      </c>
      <c r="BP38" s="194" t="str">
        <f aca="false">IF(Model!BN41=0,"",Model!BN41)</f>
        <v/>
      </c>
      <c r="BQ38" s="194" t="str">
        <f aca="false">IF(Model!BO41=0,"",Model!BO41)</f>
        <v/>
      </c>
      <c r="BR38" s="194" t="str">
        <f aca="false">IF(Model!BP41=0,"",Model!BP41)</f>
        <v/>
      </c>
      <c r="BS38" s="194" t="str">
        <f aca="false">IF(Model!BQ41=0,"",Model!BQ41)</f>
        <v/>
      </c>
      <c r="BT38" s="194" t="str">
        <f aca="false">IF(Model!BR41=0,"",Model!BR41)</f>
        <v/>
      </c>
      <c r="BU38" s="194" t="str">
        <f aca="false">IF(Model!BS41=0,"",Model!BS41)</f>
        <v/>
      </c>
      <c r="BV38" s="194" t="str">
        <f aca="false">IF(Model!BT41=0,"",Model!BT41)</f>
        <v/>
      </c>
      <c r="BW38" s="194" t="str">
        <f aca="false">IF(Model!BU41=0,"",Model!BU41)</f>
        <v/>
      </c>
      <c r="BX38" s="194" t="str">
        <f aca="false">IF(Model!BV41=0,"",Model!BV41)</f>
        <v/>
      </c>
      <c r="BY38" s="194" t="str">
        <f aca="false">IF(Model!BW41=0,"",Model!BW41)</f>
        <v/>
      </c>
      <c r="BZ38" s="194" t="str">
        <f aca="false">IF(Model!BX41=0,"",Model!BX41)</f>
        <v/>
      </c>
      <c r="CA38" s="194" t="str">
        <f aca="false">IF(Model!BY41=0,"",Model!BY41)</f>
        <v/>
      </c>
      <c r="CB38" s="194" t="str">
        <f aca="false">IF(Model!BZ41=0,"",Model!BZ41)</f>
        <v/>
      </c>
      <c r="CC38" s="194" t="str">
        <f aca="false">IF(Model!CA41=0,"",Model!CA41)</f>
        <v/>
      </c>
      <c r="CD38" s="194" t="str">
        <f aca="false">IF(Model!CB41=0,"",Model!CB41)</f>
        <v/>
      </c>
      <c r="CE38" s="194" t="str">
        <f aca="false">IF(Model!CC41=0,"",Model!CC41)</f>
        <v/>
      </c>
      <c r="CF38" s="194" t="str">
        <f aca="false">IF(Model!CD41=0,"",Model!CD41)</f>
        <v/>
      </c>
      <c r="CG38" s="194" t="str">
        <f aca="false">IF(Model!CE41=0,"",Model!CE41)</f>
        <v/>
      </c>
      <c r="CH38" s="194" t="str">
        <f aca="false">IF(Model!CF41=0,"",Model!CF41)</f>
        <v/>
      </c>
      <c r="CI38" s="194" t="str">
        <f aca="false">IF(Model!CG41=0,"",Model!CG41)</f>
        <v/>
      </c>
      <c r="CJ38" s="194" t="str">
        <f aca="false">IF(Model!CH41=0,"",Model!CH41)</f>
        <v/>
      </c>
      <c r="CK38" s="194" t="str">
        <f aca="false">IF(Model!CI41=0,"",Model!CI41)</f>
        <v/>
      </c>
      <c r="CL38" s="194" t="str">
        <f aca="false">IF(Model!CJ41=0,"",Model!CJ41)</f>
        <v/>
      </c>
      <c r="CM38" s="194" t="str">
        <f aca="false">IF(Model!CK41=0,"",Model!CK41)</f>
        <v/>
      </c>
      <c r="CN38" s="194" t="str">
        <f aca="false">IF(Model!CL41=0,"",Model!CL41)</f>
        <v/>
      </c>
      <c r="CO38" s="194" t="str">
        <f aca="false">IF(Model!CM41=0,"",Model!CM41)</f>
        <v/>
      </c>
      <c r="CP38" s="194" t="str">
        <f aca="false">IF(Model!CN41=0,"",Model!CN41)</f>
        <v/>
      </c>
      <c r="CQ38" s="194" t="str">
        <f aca="false">IF(Model!CO41=0,"",Model!CO41)</f>
        <v/>
      </c>
      <c r="CR38" s="194" t="str">
        <f aca="false">IF(Model!CP41=0,"",Model!CP41)</f>
        <v/>
      </c>
      <c r="CS38" s="194" t="str">
        <f aca="false">IF(Model!CQ41=0,"",Model!CQ41)</f>
        <v/>
      </c>
      <c r="CT38" s="194" t="str">
        <f aca="false">IF(Model!CR41=0,"",Model!CR41)</f>
        <v/>
      </c>
      <c r="CU38" s="194" t="str">
        <f aca="false">IF(Model!CS41=0,"",Model!CS41)</f>
        <v/>
      </c>
      <c r="CV38" s="194" t="str">
        <f aca="false">IF(Model!CT41=0,"",Model!CT41)</f>
        <v/>
      </c>
      <c r="CW38" s="194" t="str">
        <f aca="false">IF(Model!CU41=0,"",Model!CU41)</f>
        <v/>
      </c>
      <c r="CX38" s="194" t="str">
        <f aca="false">IF(Model!CV41=0,"",Model!CV41)</f>
        <v/>
      </c>
      <c r="CY38" s="194" t="str">
        <f aca="false">IF(Model!CW41=0,"",Model!CW41)</f>
        <v/>
      </c>
      <c r="CZ38" s="194" t="str">
        <f aca="false">IF(Model!CX41=0,"",Model!CX41)</f>
        <v/>
      </c>
      <c r="DA38" s="194" t="str">
        <f aca="false">IF(Model!CY41=0,"",Model!CY41)</f>
        <v/>
      </c>
      <c r="DB38" s="194" t="str">
        <f aca="false">IF(Model!CZ41=0,"",Model!CZ41)</f>
        <v/>
      </c>
    </row>
    <row r="39" customFormat="false" ht="15" hidden="false" customHeight="true" outlineLevel="0" collapsed="false">
      <c r="A39" s="125" t="s">
        <v>36</v>
      </c>
      <c r="B39" s="191" t="n">
        <f aca="false">Projects!$B$33</f>
        <v>15000000</v>
      </c>
      <c r="C39" s="192" t="n">
        <f aca="false">EDATE(Model!$E$2,Projects!$C$33-1)</f>
        <v>47788</v>
      </c>
      <c r="D39" s="192" t="n">
        <f aca="false">EDATE(Model!$E$2,Projects!$C$33+Projects!$D$33-2)</f>
        <v>48335</v>
      </c>
      <c r="E39" s="193" t="n">
        <f aca="false">Projects!$D$33</f>
        <v>19</v>
      </c>
      <c r="F39" s="191" t="n">
        <f aca="false">SUM(G39:DB39)</f>
        <v>0</v>
      </c>
      <c r="G39" s="194" t="str">
        <f aca="false">IF(Model!E42=0,"",Model!E42)</f>
        <v/>
      </c>
      <c r="H39" s="194" t="str">
        <f aca="false">IF(Model!F42=0,"",Model!F42)</f>
        <v/>
      </c>
      <c r="I39" s="194" t="str">
        <f aca="false">IF(Model!G42=0,"",Model!G42)</f>
        <v/>
      </c>
      <c r="J39" s="194" t="str">
        <f aca="false">IF(Model!H42=0,"",Model!H42)</f>
        <v/>
      </c>
      <c r="K39" s="194" t="str">
        <f aca="false">IF(Model!I42=0,"",Model!I42)</f>
        <v/>
      </c>
      <c r="L39" s="194" t="str">
        <f aca="false">IF(Model!J42=0,"",Model!J42)</f>
        <v/>
      </c>
      <c r="M39" s="194" t="str">
        <f aca="false">IF(Model!K42=0,"",Model!K42)</f>
        <v/>
      </c>
      <c r="N39" s="194" t="str">
        <f aca="false">IF(Model!L42=0,"",Model!L42)</f>
        <v/>
      </c>
      <c r="O39" s="194" t="str">
        <f aca="false">IF(Model!M42=0,"",Model!M42)</f>
        <v/>
      </c>
      <c r="P39" s="194" t="str">
        <f aca="false">IF(Model!N42=0,"",Model!N42)</f>
        <v/>
      </c>
      <c r="Q39" s="194" t="str">
        <f aca="false">IF(Model!O42=0,"",Model!O42)</f>
        <v/>
      </c>
      <c r="R39" s="194" t="str">
        <f aca="false">IF(Model!P42=0,"",Model!P42)</f>
        <v/>
      </c>
      <c r="S39" s="194" t="str">
        <f aca="false">IF(Model!Q42=0,"",Model!Q42)</f>
        <v/>
      </c>
      <c r="T39" s="194" t="str">
        <f aca="false">IF(Model!R42=0,"",Model!R42)</f>
        <v/>
      </c>
      <c r="U39" s="194" t="str">
        <f aca="false">IF(Model!S42=0,"",Model!S42)</f>
        <v/>
      </c>
      <c r="V39" s="194" t="str">
        <f aca="false">IF(Model!T42=0,"",Model!T42)</f>
        <v/>
      </c>
      <c r="W39" s="194" t="str">
        <f aca="false">IF(Model!U42=0,"",Model!U42)</f>
        <v/>
      </c>
      <c r="X39" s="194" t="str">
        <f aca="false">IF(Model!V42=0,"",Model!V42)</f>
        <v/>
      </c>
      <c r="Y39" s="194" t="str">
        <f aca="false">IF(Model!W42=0,"",Model!W42)</f>
        <v/>
      </c>
      <c r="Z39" s="194" t="str">
        <f aca="false">IF(Model!X42=0,"",Model!X42)</f>
        <v/>
      </c>
      <c r="AA39" s="194" t="str">
        <f aca="false">IF(Model!Y42=0,"",Model!Y42)</f>
        <v/>
      </c>
      <c r="AB39" s="194" t="str">
        <f aca="false">IF(Model!Z42=0,"",Model!Z42)</f>
        <v/>
      </c>
      <c r="AC39" s="194" t="str">
        <f aca="false">IF(Model!AA42=0,"",Model!AA42)</f>
        <v/>
      </c>
      <c r="AD39" s="194" t="str">
        <f aca="false">IF(Model!AB42=0,"",Model!AB42)</f>
        <v/>
      </c>
      <c r="AE39" s="194" t="str">
        <f aca="false">IF(Model!AC42=0,"",Model!AC42)</f>
        <v/>
      </c>
      <c r="AF39" s="194" t="str">
        <f aca="false">IF(Model!AD42=0,"",Model!AD42)</f>
        <v/>
      </c>
      <c r="AG39" s="194" t="str">
        <f aca="false">IF(Model!AE42=0,"",Model!AE42)</f>
        <v/>
      </c>
      <c r="AH39" s="194" t="str">
        <f aca="false">IF(Model!AF42=0,"",Model!AF42)</f>
        <v/>
      </c>
      <c r="AI39" s="194" t="str">
        <f aca="false">IF(Model!AG42=0,"",Model!AG42)</f>
        <v/>
      </c>
      <c r="AJ39" s="194" t="str">
        <f aca="false">IF(Model!AH42=0,"",Model!AH42)</f>
        <v/>
      </c>
      <c r="AK39" s="194" t="str">
        <f aca="false">IF(Model!AI42=0,"",Model!AI42)</f>
        <v/>
      </c>
      <c r="AL39" s="194" t="str">
        <f aca="false">IF(Model!AJ42=0,"",Model!AJ42)</f>
        <v/>
      </c>
      <c r="AM39" s="194" t="str">
        <f aca="false">IF(Model!AK42=0,"",Model!AK42)</f>
        <v/>
      </c>
      <c r="AN39" s="194" t="str">
        <f aca="false">IF(Model!AL42=0,"",Model!AL42)</f>
        <v/>
      </c>
      <c r="AO39" s="194" t="str">
        <f aca="false">IF(Model!AM42=0,"",Model!AM42)</f>
        <v/>
      </c>
      <c r="AP39" s="194" t="str">
        <f aca="false">IF(Model!AN42=0,"",Model!AN42)</f>
        <v/>
      </c>
      <c r="AQ39" s="194" t="str">
        <f aca="false">IF(Model!AO42=0,"",Model!AO42)</f>
        <v/>
      </c>
      <c r="AR39" s="194" t="str">
        <f aca="false">IF(Model!AP42=0,"",Model!AP42)</f>
        <v/>
      </c>
      <c r="AS39" s="194" t="str">
        <f aca="false">IF(Model!AQ42=0,"",Model!AQ42)</f>
        <v/>
      </c>
      <c r="AT39" s="194" t="str">
        <f aca="false">IF(Model!AR42=0,"",Model!AR42)</f>
        <v/>
      </c>
      <c r="AU39" s="194" t="str">
        <f aca="false">IF(Model!AS42=0,"",Model!AS42)</f>
        <v/>
      </c>
      <c r="AV39" s="194" t="str">
        <f aca="false">IF(Model!AT42=0,"",Model!AT42)</f>
        <v/>
      </c>
      <c r="AW39" s="194" t="str">
        <f aca="false">IF(Model!AU42=0,"",Model!AU42)</f>
        <v/>
      </c>
      <c r="AX39" s="194" t="str">
        <f aca="false">IF(Model!AV42=0,"",Model!AV42)</f>
        <v/>
      </c>
      <c r="AY39" s="194" t="str">
        <f aca="false">IF(Model!AW42=0,"",Model!AW42)</f>
        <v/>
      </c>
      <c r="AZ39" s="194" t="str">
        <f aca="false">IF(Model!AX42=0,"",Model!AX42)</f>
        <v/>
      </c>
      <c r="BA39" s="194" t="str">
        <f aca="false">IF(Model!AY42=0,"",Model!AY42)</f>
        <v/>
      </c>
      <c r="BB39" s="194" t="str">
        <f aca="false">IF(Model!AZ42=0,"",Model!AZ42)</f>
        <v/>
      </c>
      <c r="BC39" s="194" t="str">
        <f aca="false">IF(Model!BA42=0,"",Model!BA42)</f>
        <v/>
      </c>
      <c r="BD39" s="194" t="str">
        <f aca="false">IF(Model!BB42=0,"",Model!BB42)</f>
        <v/>
      </c>
      <c r="BE39" s="194" t="str">
        <f aca="false">IF(Model!BC42=0,"",Model!BC42)</f>
        <v/>
      </c>
      <c r="BF39" s="194" t="str">
        <f aca="false">IF(Model!BD42=0,"",Model!BD42)</f>
        <v/>
      </c>
      <c r="BG39" s="194" t="str">
        <f aca="false">IF(Model!BE42=0,"",Model!BE42)</f>
        <v/>
      </c>
      <c r="BH39" s="194" t="str">
        <f aca="false">IF(Model!BF42=0,"",Model!BF42)</f>
        <v/>
      </c>
      <c r="BI39" s="194" t="str">
        <f aca="false">IF(Model!BG42=0,"",Model!BG42)</f>
        <v/>
      </c>
      <c r="BJ39" s="194" t="str">
        <f aca="false">IF(Model!BH42=0,"",Model!BH42)</f>
        <v/>
      </c>
      <c r="BK39" s="194" t="str">
        <f aca="false">IF(Model!BI42=0,"",Model!BI42)</f>
        <v/>
      </c>
      <c r="BL39" s="194" t="str">
        <f aca="false">IF(Model!BJ42=0,"",Model!BJ42)</f>
        <v/>
      </c>
      <c r="BM39" s="194" t="str">
        <f aca="false">IF(Model!BK42=0,"",Model!BK42)</f>
        <v/>
      </c>
      <c r="BN39" s="194" t="str">
        <f aca="false">IF(Model!BL42=0,"",Model!BL42)</f>
        <v/>
      </c>
      <c r="BO39" s="194" t="str">
        <f aca="false">IF(Model!BM42=0,"",Model!BM42)</f>
        <v/>
      </c>
      <c r="BP39" s="194" t="str">
        <f aca="false">IF(Model!BN42=0,"",Model!BN42)</f>
        <v/>
      </c>
      <c r="BQ39" s="194" t="str">
        <f aca="false">IF(Model!BO42=0,"",Model!BO42)</f>
        <v/>
      </c>
      <c r="BR39" s="194" t="str">
        <f aca="false">IF(Model!BP42=0,"",Model!BP42)</f>
        <v/>
      </c>
      <c r="BS39" s="194" t="str">
        <f aca="false">IF(Model!BQ42=0,"",Model!BQ42)</f>
        <v/>
      </c>
      <c r="BT39" s="194" t="str">
        <f aca="false">IF(Model!BR42=0,"",Model!BR42)</f>
        <v/>
      </c>
      <c r="BU39" s="194" t="str">
        <f aca="false">IF(Model!BS42=0,"",Model!BS42)</f>
        <v/>
      </c>
      <c r="BV39" s="194" t="str">
        <f aca="false">IF(Model!BT42=0,"",Model!BT42)</f>
        <v/>
      </c>
      <c r="BW39" s="194" t="str">
        <f aca="false">IF(Model!BU42=0,"",Model!BU42)</f>
        <v/>
      </c>
      <c r="BX39" s="194" t="str">
        <f aca="false">IF(Model!BV42=0,"",Model!BV42)</f>
        <v/>
      </c>
      <c r="BY39" s="194" t="str">
        <f aca="false">IF(Model!BW42=0,"",Model!BW42)</f>
        <v/>
      </c>
      <c r="BZ39" s="194" t="str">
        <f aca="false">IF(Model!BX42=0,"",Model!BX42)</f>
        <v/>
      </c>
      <c r="CA39" s="194" t="str">
        <f aca="false">IF(Model!BY42=0,"",Model!BY42)</f>
        <v/>
      </c>
      <c r="CB39" s="194" t="str">
        <f aca="false">IF(Model!BZ42=0,"",Model!BZ42)</f>
        <v/>
      </c>
      <c r="CC39" s="194" t="str">
        <f aca="false">IF(Model!CA42=0,"",Model!CA42)</f>
        <v/>
      </c>
      <c r="CD39" s="194" t="str">
        <f aca="false">IF(Model!CB42=0,"",Model!CB42)</f>
        <v/>
      </c>
      <c r="CE39" s="194" t="str">
        <f aca="false">IF(Model!CC42=0,"",Model!CC42)</f>
        <v/>
      </c>
      <c r="CF39" s="194" t="str">
        <f aca="false">IF(Model!CD42=0,"",Model!CD42)</f>
        <v/>
      </c>
      <c r="CG39" s="194" t="str">
        <f aca="false">IF(Model!CE42=0,"",Model!CE42)</f>
        <v/>
      </c>
      <c r="CH39" s="194" t="str">
        <f aca="false">IF(Model!CF42=0,"",Model!CF42)</f>
        <v/>
      </c>
      <c r="CI39" s="194" t="str">
        <f aca="false">IF(Model!CG42=0,"",Model!CG42)</f>
        <v/>
      </c>
      <c r="CJ39" s="194" t="str">
        <f aca="false">IF(Model!CH42=0,"",Model!CH42)</f>
        <v/>
      </c>
      <c r="CK39" s="194" t="str">
        <f aca="false">IF(Model!CI42=0,"",Model!CI42)</f>
        <v/>
      </c>
      <c r="CL39" s="194" t="str">
        <f aca="false">IF(Model!CJ42=0,"",Model!CJ42)</f>
        <v/>
      </c>
      <c r="CM39" s="194" t="str">
        <f aca="false">IF(Model!CK42=0,"",Model!CK42)</f>
        <v/>
      </c>
      <c r="CN39" s="194" t="str">
        <f aca="false">IF(Model!CL42=0,"",Model!CL42)</f>
        <v/>
      </c>
      <c r="CO39" s="194" t="str">
        <f aca="false">IF(Model!CM42=0,"",Model!CM42)</f>
        <v/>
      </c>
      <c r="CP39" s="194" t="str">
        <f aca="false">IF(Model!CN42=0,"",Model!CN42)</f>
        <v/>
      </c>
      <c r="CQ39" s="194" t="str">
        <f aca="false">IF(Model!CO42=0,"",Model!CO42)</f>
        <v/>
      </c>
      <c r="CR39" s="194" t="str">
        <f aca="false">IF(Model!CP42=0,"",Model!CP42)</f>
        <v/>
      </c>
      <c r="CS39" s="194" t="str">
        <f aca="false">IF(Model!CQ42=0,"",Model!CQ42)</f>
        <v/>
      </c>
      <c r="CT39" s="194" t="str">
        <f aca="false">IF(Model!CR42=0,"",Model!CR42)</f>
        <v/>
      </c>
      <c r="CU39" s="194" t="str">
        <f aca="false">IF(Model!CS42=0,"",Model!CS42)</f>
        <v/>
      </c>
      <c r="CV39" s="194" t="str">
        <f aca="false">IF(Model!CT42=0,"",Model!CT42)</f>
        <v/>
      </c>
      <c r="CW39" s="194" t="str">
        <f aca="false">IF(Model!CU42=0,"",Model!CU42)</f>
        <v/>
      </c>
      <c r="CX39" s="194" t="str">
        <f aca="false">IF(Model!CV42=0,"",Model!CV42)</f>
        <v/>
      </c>
      <c r="CY39" s="194" t="str">
        <f aca="false">IF(Model!CW42=0,"",Model!CW42)</f>
        <v/>
      </c>
      <c r="CZ39" s="194" t="str">
        <f aca="false">IF(Model!CX42=0,"",Model!CX42)</f>
        <v/>
      </c>
      <c r="DA39" s="194" t="str">
        <f aca="false">IF(Model!CY42=0,"",Model!CY42)</f>
        <v/>
      </c>
      <c r="DB39" s="194" t="str">
        <f aca="false">IF(Model!CZ42=0,"",Model!CZ42)</f>
        <v/>
      </c>
    </row>
    <row r="40" customFormat="false" ht="15" hidden="false" customHeight="true" outlineLevel="0" collapsed="false">
      <c r="A40" s="125" t="s">
        <v>37</v>
      </c>
      <c r="B40" s="191" t="n">
        <f aca="false">Projects!$B$34</f>
        <v>18000000</v>
      </c>
      <c r="C40" s="192" t="n">
        <f aca="false">EDATE(Model!$E$2,Projects!$C$34-1)</f>
        <v>47849</v>
      </c>
      <c r="D40" s="192" t="n">
        <f aca="false">EDATE(Model!$E$2,Projects!$C$34+Projects!$D$34-2)</f>
        <v>48396</v>
      </c>
      <c r="E40" s="193" t="n">
        <f aca="false">Projects!$D$34</f>
        <v>19</v>
      </c>
      <c r="F40" s="191" t="n">
        <f aca="false">SUM(G40:DB40)</f>
        <v>0</v>
      </c>
      <c r="G40" s="194" t="str">
        <f aca="false">IF(Model!E43=0,"",Model!E43)</f>
        <v/>
      </c>
      <c r="H40" s="194" t="str">
        <f aca="false">IF(Model!F43=0,"",Model!F43)</f>
        <v/>
      </c>
      <c r="I40" s="194" t="str">
        <f aca="false">IF(Model!G43=0,"",Model!G43)</f>
        <v/>
      </c>
      <c r="J40" s="194" t="str">
        <f aca="false">IF(Model!H43=0,"",Model!H43)</f>
        <v/>
      </c>
      <c r="K40" s="194" t="str">
        <f aca="false">IF(Model!I43=0,"",Model!I43)</f>
        <v/>
      </c>
      <c r="L40" s="194" t="str">
        <f aca="false">IF(Model!J43=0,"",Model!J43)</f>
        <v/>
      </c>
      <c r="M40" s="194" t="str">
        <f aca="false">IF(Model!K43=0,"",Model!K43)</f>
        <v/>
      </c>
      <c r="N40" s="194" t="str">
        <f aca="false">IF(Model!L43=0,"",Model!L43)</f>
        <v/>
      </c>
      <c r="O40" s="194" t="str">
        <f aca="false">IF(Model!M43=0,"",Model!M43)</f>
        <v/>
      </c>
      <c r="P40" s="194" t="str">
        <f aca="false">IF(Model!N43=0,"",Model!N43)</f>
        <v/>
      </c>
      <c r="Q40" s="194" t="str">
        <f aca="false">IF(Model!O43=0,"",Model!O43)</f>
        <v/>
      </c>
      <c r="R40" s="194" t="str">
        <f aca="false">IF(Model!P43=0,"",Model!P43)</f>
        <v/>
      </c>
      <c r="S40" s="194" t="str">
        <f aca="false">IF(Model!Q43=0,"",Model!Q43)</f>
        <v/>
      </c>
      <c r="T40" s="194" t="str">
        <f aca="false">IF(Model!R43=0,"",Model!R43)</f>
        <v/>
      </c>
      <c r="U40" s="194" t="str">
        <f aca="false">IF(Model!S43=0,"",Model!S43)</f>
        <v/>
      </c>
      <c r="V40" s="194" t="str">
        <f aca="false">IF(Model!T43=0,"",Model!T43)</f>
        <v/>
      </c>
      <c r="W40" s="194" t="str">
        <f aca="false">IF(Model!U43=0,"",Model!U43)</f>
        <v/>
      </c>
      <c r="X40" s="194" t="str">
        <f aca="false">IF(Model!V43=0,"",Model!V43)</f>
        <v/>
      </c>
      <c r="Y40" s="194" t="str">
        <f aca="false">IF(Model!W43=0,"",Model!W43)</f>
        <v/>
      </c>
      <c r="Z40" s="194" t="str">
        <f aca="false">IF(Model!X43=0,"",Model!X43)</f>
        <v/>
      </c>
      <c r="AA40" s="194" t="str">
        <f aca="false">IF(Model!Y43=0,"",Model!Y43)</f>
        <v/>
      </c>
      <c r="AB40" s="194" t="str">
        <f aca="false">IF(Model!Z43=0,"",Model!Z43)</f>
        <v/>
      </c>
      <c r="AC40" s="194" t="str">
        <f aca="false">IF(Model!AA43=0,"",Model!AA43)</f>
        <v/>
      </c>
      <c r="AD40" s="194" t="str">
        <f aca="false">IF(Model!AB43=0,"",Model!AB43)</f>
        <v/>
      </c>
      <c r="AE40" s="194" t="str">
        <f aca="false">IF(Model!AC43=0,"",Model!AC43)</f>
        <v/>
      </c>
      <c r="AF40" s="194" t="str">
        <f aca="false">IF(Model!AD43=0,"",Model!AD43)</f>
        <v/>
      </c>
      <c r="AG40" s="194" t="str">
        <f aca="false">IF(Model!AE43=0,"",Model!AE43)</f>
        <v/>
      </c>
      <c r="AH40" s="194" t="str">
        <f aca="false">IF(Model!AF43=0,"",Model!AF43)</f>
        <v/>
      </c>
      <c r="AI40" s="194" t="str">
        <f aca="false">IF(Model!AG43=0,"",Model!AG43)</f>
        <v/>
      </c>
      <c r="AJ40" s="194" t="str">
        <f aca="false">IF(Model!AH43=0,"",Model!AH43)</f>
        <v/>
      </c>
      <c r="AK40" s="194" t="str">
        <f aca="false">IF(Model!AI43=0,"",Model!AI43)</f>
        <v/>
      </c>
      <c r="AL40" s="194" t="str">
        <f aca="false">IF(Model!AJ43=0,"",Model!AJ43)</f>
        <v/>
      </c>
      <c r="AM40" s="194" t="str">
        <f aca="false">IF(Model!AK43=0,"",Model!AK43)</f>
        <v/>
      </c>
      <c r="AN40" s="194" t="str">
        <f aca="false">IF(Model!AL43=0,"",Model!AL43)</f>
        <v/>
      </c>
      <c r="AO40" s="194" t="str">
        <f aca="false">IF(Model!AM43=0,"",Model!AM43)</f>
        <v/>
      </c>
      <c r="AP40" s="194" t="str">
        <f aca="false">IF(Model!AN43=0,"",Model!AN43)</f>
        <v/>
      </c>
      <c r="AQ40" s="194" t="str">
        <f aca="false">IF(Model!AO43=0,"",Model!AO43)</f>
        <v/>
      </c>
      <c r="AR40" s="194" t="str">
        <f aca="false">IF(Model!AP43=0,"",Model!AP43)</f>
        <v/>
      </c>
      <c r="AS40" s="194" t="str">
        <f aca="false">IF(Model!AQ43=0,"",Model!AQ43)</f>
        <v/>
      </c>
      <c r="AT40" s="194" t="str">
        <f aca="false">IF(Model!AR43=0,"",Model!AR43)</f>
        <v/>
      </c>
      <c r="AU40" s="194" t="str">
        <f aca="false">IF(Model!AS43=0,"",Model!AS43)</f>
        <v/>
      </c>
      <c r="AV40" s="194" t="str">
        <f aca="false">IF(Model!AT43=0,"",Model!AT43)</f>
        <v/>
      </c>
      <c r="AW40" s="194" t="str">
        <f aca="false">IF(Model!AU43=0,"",Model!AU43)</f>
        <v/>
      </c>
      <c r="AX40" s="194" t="str">
        <f aca="false">IF(Model!AV43=0,"",Model!AV43)</f>
        <v/>
      </c>
      <c r="AY40" s="194" t="str">
        <f aca="false">IF(Model!AW43=0,"",Model!AW43)</f>
        <v/>
      </c>
      <c r="AZ40" s="194" t="str">
        <f aca="false">IF(Model!AX43=0,"",Model!AX43)</f>
        <v/>
      </c>
      <c r="BA40" s="194" t="str">
        <f aca="false">IF(Model!AY43=0,"",Model!AY43)</f>
        <v/>
      </c>
      <c r="BB40" s="194" t="str">
        <f aca="false">IF(Model!AZ43=0,"",Model!AZ43)</f>
        <v/>
      </c>
      <c r="BC40" s="194" t="str">
        <f aca="false">IF(Model!BA43=0,"",Model!BA43)</f>
        <v/>
      </c>
      <c r="BD40" s="194" t="str">
        <f aca="false">IF(Model!BB43=0,"",Model!BB43)</f>
        <v/>
      </c>
      <c r="BE40" s="194" t="str">
        <f aca="false">IF(Model!BC43=0,"",Model!BC43)</f>
        <v/>
      </c>
      <c r="BF40" s="194" t="str">
        <f aca="false">IF(Model!BD43=0,"",Model!BD43)</f>
        <v/>
      </c>
      <c r="BG40" s="194" t="str">
        <f aca="false">IF(Model!BE43=0,"",Model!BE43)</f>
        <v/>
      </c>
      <c r="BH40" s="194" t="str">
        <f aca="false">IF(Model!BF43=0,"",Model!BF43)</f>
        <v/>
      </c>
      <c r="BI40" s="194" t="str">
        <f aca="false">IF(Model!BG43=0,"",Model!BG43)</f>
        <v/>
      </c>
      <c r="BJ40" s="194" t="str">
        <f aca="false">IF(Model!BH43=0,"",Model!BH43)</f>
        <v/>
      </c>
      <c r="BK40" s="194" t="str">
        <f aca="false">IF(Model!BI43=0,"",Model!BI43)</f>
        <v/>
      </c>
      <c r="BL40" s="194" t="str">
        <f aca="false">IF(Model!BJ43=0,"",Model!BJ43)</f>
        <v/>
      </c>
      <c r="BM40" s="194" t="str">
        <f aca="false">IF(Model!BK43=0,"",Model!BK43)</f>
        <v/>
      </c>
      <c r="BN40" s="194" t="str">
        <f aca="false">IF(Model!BL43=0,"",Model!BL43)</f>
        <v/>
      </c>
      <c r="BO40" s="194" t="str">
        <f aca="false">IF(Model!BM43=0,"",Model!BM43)</f>
        <v/>
      </c>
      <c r="BP40" s="194" t="str">
        <f aca="false">IF(Model!BN43=0,"",Model!BN43)</f>
        <v/>
      </c>
      <c r="BQ40" s="194" t="str">
        <f aca="false">IF(Model!BO43=0,"",Model!BO43)</f>
        <v/>
      </c>
      <c r="BR40" s="194" t="str">
        <f aca="false">IF(Model!BP43=0,"",Model!BP43)</f>
        <v/>
      </c>
      <c r="BS40" s="194" t="str">
        <f aca="false">IF(Model!BQ43=0,"",Model!BQ43)</f>
        <v/>
      </c>
      <c r="BT40" s="194" t="str">
        <f aca="false">IF(Model!BR43=0,"",Model!BR43)</f>
        <v/>
      </c>
      <c r="BU40" s="194" t="str">
        <f aca="false">IF(Model!BS43=0,"",Model!BS43)</f>
        <v/>
      </c>
      <c r="BV40" s="194" t="str">
        <f aca="false">IF(Model!BT43=0,"",Model!BT43)</f>
        <v/>
      </c>
      <c r="BW40" s="194" t="str">
        <f aca="false">IF(Model!BU43=0,"",Model!BU43)</f>
        <v/>
      </c>
      <c r="BX40" s="194" t="str">
        <f aca="false">IF(Model!BV43=0,"",Model!BV43)</f>
        <v/>
      </c>
      <c r="BY40" s="194" t="str">
        <f aca="false">IF(Model!BW43=0,"",Model!BW43)</f>
        <v/>
      </c>
      <c r="BZ40" s="194" t="str">
        <f aca="false">IF(Model!BX43=0,"",Model!BX43)</f>
        <v/>
      </c>
      <c r="CA40" s="194" t="str">
        <f aca="false">IF(Model!BY43=0,"",Model!BY43)</f>
        <v/>
      </c>
      <c r="CB40" s="194" t="str">
        <f aca="false">IF(Model!BZ43=0,"",Model!BZ43)</f>
        <v/>
      </c>
      <c r="CC40" s="194" t="str">
        <f aca="false">IF(Model!CA43=0,"",Model!CA43)</f>
        <v/>
      </c>
      <c r="CD40" s="194" t="str">
        <f aca="false">IF(Model!CB43=0,"",Model!CB43)</f>
        <v/>
      </c>
      <c r="CE40" s="194" t="str">
        <f aca="false">IF(Model!CC43=0,"",Model!CC43)</f>
        <v/>
      </c>
      <c r="CF40" s="194" t="str">
        <f aca="false">IF(Model!CD43=0,"",Model!CD43)</f>
        <v/>
      </c>
      <c r="CG40" s="194" t="str">
        <f aca="false">IF(Model!CE43=0,"",Model!CE43)</f>
        <v/>
      </c>
      <c r="CH40" s="194" t="str">
        <f aca="false">IF(Model!CF43=0,"",Model!CF43)</f>
        <v/>
      </c>
      <c r="CI40" s="194" t="str">
        <f aca="false">IF(Model!CG43=0,"",Model!CG43)</f>
        <v/>
      </c>
      <c r="CJ40" s="194" t="str">
        <f aca="false">IF(Model!CH43=0,"",Model!CH43)</f>
        <v/>
      </c>
      <c r="CK40" s="194" t="str">
        <f aca="false">IF(Model!CI43=0,"",Model!CI43)</f>
        <v/>
      </c>
      <c r="CL40" s="194" t="str">
        <f aca="false">IF(Model!CJ43=0,"",Model!CJ43)</f>
        <v/>
      </c>
      <c r="CM40" s="194" t="str">
        <f aca="false">IF(Model!CK43=0,"",Model!CK43)</f>
        <v/>
      </c>
      <c r="CN40" s="194" t="str">
        <f aca="false">IF(Model!CL43=0,"",Model!CL43)</f>
        <v/>
      </c>
      <c r="CO40" s="194" t="str">
        <f aca="false">IF(Model!CM43=0,"",Model!CM43)</f>
        <v/>
      </c>
      <c r="CP40" s="194" t="str">
        <f aca="false">IF(Model!CN43=0,"",Model!CN43)</f>
        <v/>
      </c>
      <c r="CQ40" s="194" t="str">
        <f aca="false">IF(Model!CO43=0,"",Model!CO43)</f>
        <v/>
      </c>
      <c r="CR40" s="194" t="str">
        <f aca="false">IF(Model!CP43=0,"",Model!CP43)</f>
        <v/>
      </c>
      <c r="CS40" s="194" t="str">
        <f aca="false">IF(Model!CQ43=0,"",Model!CQ43)</f>
        <v/>
      </c>
      <c r="CT40" s="194" t="str">
        <f aca="false">IF(Model!CR43=0,"",Model!CR43)</f>
        <v/>
      </c>
      <c r="CU40" s="194" t="str">
        <f aca="false">IF(Model!CS43=0,"",Model!CS43)</f>
        <v/>
      </c>
      <c r="CV40" s="194" t="str">
        <f aca="false">IF(Model!CT43=0,"",Model!CT43)</f>
        <v/>
      </c>
      <c r="CW40" s="194" t="str">
        <f aca="false">IF(Model!CU43=0,"",Model!CU43)</f>
        <v/>
      </c>
      <c r="CX40" s="194" t="str">
        <f aca="false">IF(Model!CV43=0,"",Model!CV43)</f>
        <v/>
      </c>
      <c r="CY40" s="194" t="str">
        <f aca="false">IF(Model!CW43=0,"",Model!CW43)</f>
        <v/>
      </c>
      <c r="CZ40" s="194" t="str">
        <f aca="false">IF(Model!CX43=0,"",Model!CX43)</f>
        <v/>
      </c>
      <c r="DA40" s="194" t="str">
        <f aca="false">IF(Model!CY43=0,"",Model!CY43)</f>
        <v/>
      </c>
      <c r="DB40" s="194" t="str">
        <f aca="false">IF(Model!CZ43=0,"",Model!CZ43)</f>
        <v/>
      </c>
    </row>
    <row r="41" customFormat="false" ht="15" hidden="false" customHeight="true" outlineLevel="0" collapsed="false">
      <c r="A41" s="125" t="s">
        <v>38</v>
      </c>
      <c r="B41" s="191" t="n">
        <f aca="false">Projects!$B$35</f>
        <v>15000000</v>
      </c>
      <c r="C41" s="192" t="n">
        <f aca="false">EDATE(Model!$E$2,Projects!$C$35-1)</f>
        <v>47908</v>
      </c>
      <c r="D41" s="192" t="n">
        <f aca="false">EDATE(Model!$E$2,Projects!$C$35+Projects!$D$35-2)</f>
        <v>48458</v>
      </c>
      <c r="E41" s="193" t="n">
        <f aca="false">Projects!$D$35</f>
        <v>19</v>
      </c>
      <c r="F41" s="191" t="n">
        <f aca="false">SUM(G41:DB41)</f>
        <v>0</v>
      </c>
      <c r="G41" s="194" t="str">
        <f aca="false">IF(Model!E44=0,"",Model!E44)</f>
        <v/>
      </c>
      <c r="H41" s="194" t="str">
        <f aca="false">IF(Model!F44=0,"",Model!F44)</f>
        <v/>
      </c>
      <c r="I41" s="194" t="str">
        <f aca="false">IF(Model!G44=0,"",Model!G44)</f>
        <v/>
      </c>
      <c r="J41" s="194" t="str">
        <f aca="false">IF(Model!H44=0,"",Model!H44)</f>
        <v/>
      </c>
      <c r="K41" s="194" t="str">
        <f aca="false">IF(Model!I44=0,"",Model!I44)</f>
        <v/>
      </c>
      <c r="L41" s="194" t="str">
        <f aca="false">IF(Model!J44=0,"",Model!J44)</f>
        <v/>
      </c>
      <c r="M41" s="194" t="str">
        <f aca="false">IF(Model!K44=0,"",Model!K44)</f>
        <v/>
      </c>
      <c r="N41" s="194" t="str">
        <f aca="false">IF(Model!L44=0,"",Model!L44)</f>
        <v/>
      </c>
      <c r="O41" s="194" t="str">
        <f aca="false">IF(Model!M44=0,"",Model!M44)</f>
        <v/>
      </c>
      <c r="P41" s="194" t="str">
        <f aca="false">IF(Model!N44=0,"",Model!N44)</f>
        <v/>
      </c>
      <c r="Q41" s="194" t="str">
        <f aca="false">IF(Model!O44=0,"",Model!O44)</f>
        <v/>
      </c>
      <c r="R41" s="194" t="str">
        <f aca="false">IF(Model!P44=0,"",Model!P44)</f>
        <v/>
      </c>
      <c r="S41" s="194" t="str">
        <f aca="false">IF(Model!Q44=0,"",Model!Q44)</f>
        <v/>
      </c>
      <c r="T41" s="194" t="str">
        <f aca="false">IF(Model!R44=0,"",Model!R44)</f>
        <v/>
      </c>
      <c r="U41" s="194" t="str">
        <f aca="false">IF(Model!S44=0,"",Model!S44)</f>
        <v/>
      </c>
      <c r="V41" s="194" t="str">
        <f aca="false">IF(Model!T44=0,"",Model!T44)</f>
        <v/>
      </c>
      <c r="W41" s="194" t="str">
        <f aca="false">IF(Model!U44=0,"",Model!U44)</f>
        <v/>
      </c>
      <c r="X41" s="194" t="str">
        <f aca="false">IF(Model!V44=0,"",Model!V44)</f>
        <v/>
      </c>
      <c r="Y41" s="194" t="str">
        <f aca="false">IF(Model!W44=0,"",Model!W44)</f>
        <v/>
      </c>
      <c r="Z41" s="194" t="str">
        <f aca="false">IF(Model!X44=0,"",Model!X44)</f>
        <v/>
      </c>
      <c r="AA41" s="194" t="str">
        <f aca="false">IF(Model!Y44=0,"",Model!Y44)</f>
        <v/>
      </c>
      <c r="AB41" s="194" t="str">
        <f aca="false">IF(Model!Z44=0,"",Model!Z44)</f>
        <v/>
      </c>
      <c r="AC41" s="194" t="str">
        <f aca="false">IF(Model!AA44=0,"",Model!AA44)</f>
        <v/>
      </c>
      <c r="AD41" s="194" t="str">
        <f aca="false">IF(Model!AB44=0,"",Model!AB44)</f>
        <v/>
      </c>
      <c r="AE41" s="194" t="str">
        <f aca="false">IF(Model!AC44=0,"",Model!AC44)</f>
        <v/>
      </c>
      <c r="AF41" s="194" t="str">
        <f aca="false">IF(Model!AD44=0,"",Model!AD44)</f>
        <v/>
      </c>
      <c r="AG41" s="194" t="str">
        <f aca="false">IF(Model!AE44=0,"",Model!AE44)</f>
        <v/>
      </c>
      <c r="AH41" s="194" t="str">
        <f aca="false">IF(Model!AF44=0,"",Model!AF44)</f>
        <v/>
      </c>
      <c r="AI41" s="194" t="str">
        <f aca="false">IF(Model!AG44=0,"",Model!AG44)</f>
        <v/>
      </c>
      <c r="AJ41" s="194" t="str">
        <f aca="false">IF(Model!AH44=0,"",Model!AH44)</f>
        <v/>
      </c>
      <c r="AK41" s="194" t="str">
        <f aca="false">IF(Model!AI44=0,"",Model!AI44)</f>
        <v/>
      </c>
      <c r="AL41" s="194" t="str">
        <f aca="false">IF(Model!AJ44=0,"",Model!AJ44)</f>
        <v/>
      </c>
      <c r="AM41" s="194" t="str">
        <f aca="false">IF(Model!AK44=0,"",Model!AK44)</f>
        <v/>
      </c>
      <c r="AN41" s="194" t="str">
        <f aca="false">IF(Model!AL44=0,"",Model!AL44)</f>
        <v/>
      </c>
      <c r="AO41" s="194" t="str">
        <f aca="false">IF(Model!AM44=0,"",Model!AM44)</f>
        <v/>
      </c>
      <c r="AP41" s="194" t="str">
        <f aca="false">IF(Model!AN44=0,"",Model!AN44)</f>
        <v/>
      </c>
      <c r="AQ41" s="194" t="str">
        <f aca="false">IF(Model!AO44=0,"",Model!AO44)</f>
        <v/>
      </c>
      <c r="AR41" s="194" t="str">
        <f aca="false">IF(Model!AP44=0,"",Model!AP44)</f>
        <v/>
      </c>
      <c r="AS41" s="194" t="str">
        <f aca="false">IF(Model!AQ44=0,"",Model!AQ44)</f>
        <v/>
      </c>
      <c r="AT41" s="194" t="str">
        <f aca="false">IF(Model!AR44=0,"",Model!AR44)</f>
        <v/>
      </c>
      <c r="AU41" s="194" t="str">
        <f aca="false">IF(Model!AS44=0,"",Model!AS44)</f>
        <v/>
      </c>
      <c r="AV41" s="194" t="str">
        <f aca="false">IF(Model!AT44=0,"",Model!AT44)</f>
        <v/>
      </c>
      <c r="AW41" s="194" t="str">
        <f aca="false">IF(Model!AU44=0,"",Model!AU44)</f>
        <v/>
      </c>
      <c r="AX41" s="194" t="str">
        <f aca="false">IF(Model!AV44=0,"",Model!AV44)</f>
        <v/>
      </c>
      <c r="AY41" s="194" t="str">
        <f aca="false">IF(Model!AW44=0,"",Model!AW44)</f>
        <v/>
      </c>
      <c r="AZ41" s="194" t="str">
        <f aca="false">IF(Model!AX44=0,"",Model!AX44)</f>
        <v/>
      </c>
      <c r="BA41" s="194" t="str">
        <f aca="false">IF(Model!AY44=0,"",Model!AY44)</f>
        <v/>
      </c>
      <c r="BB41" s="194" t="str">
        <f aca="false">IF(Model!AZ44=0,"",Model!AZ44)</f>
        <v/>
      </c>
      <c r="BC41" s="194" t="str">
        <f aca="false">IF(Model!BA44=0,"",Model!BA44)</f>
        <v/>
      </c>
      <c r="BD41" s="194" t="str">
        <f aca="false">IF(Model!BB44=0,"",Model!BB44)</f>
        <v/>
      </c>
      <c r="BE41" s="194" t="str">
        <f aca="false">IF(Model!BC44=0,"",Model!BC44)</f>
        <v/>
      </c>
      <c r="BF41" s="194" t="str">
        <f aca="false">IF(Model!BD44=0,"",Model!BD44)</f>
        <v/>
      </c>
      <c r="BG41" s="194" t="str">
        <f aca="false">IF(Model!BE44=0,"",Model!BE44)</f>
        <v/>
      </c>
      <c r="BH41" s="194" t="str">
        <f aca="false">IF(Model!BF44=0,"",Model!BF44)</f>
        <v/>
      </c>
      <c r="BI41" s="194" t="str">
        <f aca="false">IF(Model!BG44=0,"",Model!BG44)</f>
        <v/>
      </c>
      <c r="BJ41" s="194" t="str">
        <f aca="false">IF(Model!BH44=0,"",Model!BH44)</f>
        <v/>
      </c>
      <c r="BK41" s="194" t="str">
        <f aca="false">IF(Model!BI44=0,"",Model!BI44)</f>
        <v/>
      </c>
      <c r="BL41" s="194" t="str">
        <f aca="false">IF(Model!BJ44=0,"",Model!BJ44)</f>
        <v/>
      </c>
      <c r="BM41" s="194" t="str">
        <f aca="false">IF(Model!BK44=0,"",Model!BK44)</f>
        <v/>
      </c>
      <c r="BN41" s="194" t="str">
        <f aca="false">IF(Model!BL44=0,"",Model!BL44)</f>
        <v/>
      </c>
      <c r="BO41" s="194" t="str">
        <f aca="false">IF(Model!BM44=0,"",Model!BM44)</f>
        <v/>
      </c>
      <c r="BP41" s="194" t="str">
        <f aca="false">IF(Model!BN44=0,"",Model!BN44)</f>
        <v/>
      </c>
      <c r="BQ41" s="194" t="str">
        <f aca="false">IF(Model!BO44=0,"",Model!BO44)</f>
        <v/>
      </c>
      <c r="BR41" s="194" t="str">
        <f aca="false">IF(Model!BP44=0,"",Model!BP44)</f>
        <v/>
      </c>
      <c r="BS41" s="194" t="str">
        <f aca="false">IF(Model!BQ44=0,"",Model!BQ44)</f>
        <v/>
      </c>
      <c r="BT41" s="194" t="str">
        <f aca="false">IF(Model!BR44=0,"",Model!BR44)</f>
        <v/>
      </c>
      <c r="BU41" s="194" t="str">
        <f aca="false">IF(Model!BS44=0,"",Model!BS44)</f>
        <v/>
      </c>
      <c r="BV41" s="194" t="str">
        <f aca="false">IF(Model!BT44=0,"",Model!BT44)</f>
        <v/>
      </c>
      <c r="BW41" s="194" t="str">
        <f aca="false">IF(Model!BU44=0,"",Model!BU44)</f>
        <v/>
      </c>
      <c r="BX41" s="194" t="str">
        <f aca="false">IF(Model!BV44=0,"",Model!BV44)</f>
        <v/>
      </c>
      <c r="BY41" s="194" t="str">
        <f aca="false">IF(Model!BW44=0,"",Model!BW44)</f>
        <v/>
      </c>
      <c r="BZ41" s="194" t="str">
        <f aca="false">IF(Model!BX44=0,"",Model!BX44)</f>
        <v/>
      </c>
      <c r="CA41" s="194" t="str">
        <f aca="false">IF(Model!BY44=0,"",Model!BY44)</f>
        <v/>
      </c>
      <c r="CB41" s="194" t="str">
        <f aca="false">IF(Model!BZ44=0,"",Model!BZ44)</f>
        <v/>
      </c>
      <c r="CC41" s="194" t="str">
        <f aca="false">IF(Model!CA44=0,"",Model!CA44)</f>
        <v/>
      </c>
      <c r="CD41" s="194" t="str">
        <f aca="false">IF(Model!CB44=0,"",Model!CB44)</f>
        <v/>
      </c>
      <c r="CE41" s="194" t="str">
        <f aca="false">IF(Model!CC44=0,"",Model!CC44)</f>
        <v/>
      </c>
      <c r="CF41" s="194" t="str">
        <f aca="false">IF(Model!CD44=0,"",Model!CD44)</f>
        <v/>
      </c>
      <c r="CG41" s="194" t="str">
        <f aca="false">IF(Model!CE44=0,"",Model!CE44)</f>
        <v/>
      </c>
      <c r="CH41" s="194" t="str">
        <f aca="false">IF(Model!CF44=0,"",Model!CF44)</f>
        <v/>
      </c>
      <c r="CI41" s="194" t="str">
        <f aca="false">IF(Model!CG44=0,"",Model!CG44)</f>
        <v/>
      </c>
      <c r="CJ41" s="194" t="str">
        <f aca="false">IF(Model!CH44=0,"",Model!CH44)</f>
        <v/>
      </c>
      <c r="CK41" s="194" t="str">
        <f aca="false">IF(Model!CI44=0,"",Model!CI44)</f>
        <v/>
      </c>
      <c r="CL41" s="194" t="str">
        <f aca="false">IF(Model!CJ44=0,"",Model!CJ44)</f>
        <v/>
      </c>
      <c r="CM41" s="194" t="str">
        <f aca="false">IF(Model!CK44=0,"",Model!CK44)</f>
        <v/>
      </c>
      <c r="CN41" s="194" t="str">
        <f aca="false">IF(Model!CL44=0,"",Model!CL44)</f>
        <v/>
      </c>
      <c r="CO41" s="194" t="str">
        <f aca="false">IF(Model!CM44=0,"",Model!CM44)</f>
        <v/>
      </c>
      <c r="CP41" s="194" t="str">
        <f aca="false">IF(Model!CN44=0,"",Model!CN44)</f>
        <v/>
      </c>
      <c r="CQ41" s="194" t="str">
        <f aca="false">IF(Model!CO44=0,"",Model!CO44)</f>
        <v/>
      </c>
      <c r="CR41" s="194" t="str">
        <f aca="false">IF(Model!CP44=0,"",Model!CP44)</f>
        <v/>
      </c>
      <c r="CS41" s="194" t="str">
        <f aca="false">IF(Model!CQ44=0,"",Model!CQ44)</f>
        <v/>
      </c>
      <c r="CT41" s="194" t="str">
        <f aca="false">IF(Model!CR44=0,"",Model!CR44)</f>
        <v/>
      </c>
      <c r="CU41" s="194" t="str">
        <f aca="false">IF(Model!CS44=0,"",Model!CS44)</f>
        <v/>
      </c>
      <c r="CV41" s="194" t="str">
        <f aca="false">IF(Model!CT44=0,"",Model!CT44)</f>
        <v/>
      </c>
      <c r="CW41" s="194" t="str">
        <f aca="false">IF(Model!CU44=0,"",Model!CU44)</f>
        <v/>
      </c>
      <c r="CX41" s="194" t="str">
        <f aca="false">IF(Model!CV44=0,"",Model!CV44)</f>
        <v/>
      </c>
      <c r="CY41" s="194" t="str">
        <f aca="false">IF(Model!CW44=0,"",Model!CW44)</f>
        <v/>
      </c>
      <c r="CZ41" s="194" t="str">
        <f aca="false">IF(Model!CX44=0,"",Model!CX44)</f>
        <v/>
      </c>
      <c r="DA41" s="194" t="str">
        <f aca="false">IF(Model!CY44=0,"",Model!CY44)</f>
        <v/>
      </c>
      <c r="DB41" s="194" t="str">
        <f aca="false">IF(Model!CZ44=0,"",Model!CZ44)</f>
        <v/>
      </c>
    </row>
    <row r="42" customFormat="false" ht="15" hidden="false" customHeight="true" outlineLevel="0" collapsed="false">
      <c r="A42" s="125" t="s">
        <v>39</v>
      </c>
      <c r="B42" s="191" t="n">
        <f aca="false">Projects!$B$36</f>
        <v>18000000</v>
      </c>
      <c r="C42" s="192" t="n">
        <f aca="false">EDATE(Model!$E$2,Projects!$C$36-1)</f>
        <v>47969</v>
      </c>
      <c r="D42" s="192" t="n">
        <f aca="false">EDATE(Model!$E$2,Projects!$C$36+Projects!$D$36-2)</f>
        <v>48519</v>
      </c>
      <c r="E42" s="193" t="n">
        <f aca="false">Projects!$D$36</f>
        <v>19</v>
      </c>
      <c r="F42" s="191" t="n">
        <f aca="false">SUM(G42:DB42)</f>
        <v>0</v>
      </c>
      <c r="G42" s="194" t="str">
        <f aca="false">IF(Model!E45=0,"",Model!E45)</f>
        <v/>
      </c>
      <c r="H42" s="194" t="str">
        <f aca="false">IF(Model!F45=0,"",Model!F45)</f>
        <v/>
      </c>
      <c r="I42" s="194" t="str">
        <f aca="false">IF(Model!G45=0,"",Model!G45)</f>
        <v/>
      </c>
      <c r="J42" s="194" t="str">
        <f aca="false">IF(Model!H45=0,"",Model!H45)</f>
        <v/>
      </c>
      <c r="K42" s="194" t="str">
        <f aca="false">IF(Model!I45=0,"",Model!I45)</f>
        <v/>
      </c>
      <c r="L42" s="194" t="str">
        <f aca="false">IF(Model!J45=0,"",Model!J45)</f>
        <v/>
      </c>
      <c r="M42" s="194" t="str">
        <f aca="false">IF(Model!K45=0,"",Model!K45)</f>
        <v/>
      </c>
      <c r="N42" s="194" t="str">
        <f aca="false">IF(Model!L45=0,"",Model!L45)</f>
        <v/>
      </c>
      <c r="O42" s="194" t="str">
        <f aca="false">IF(Model!M45=0,"",Model!M45)</f>
        <v/>
      </c>
      <c r="P42" s="194" t="str">
        <f aca="false">IF(Model!N45=0,"",Model!N45)</f>
        <v/>
      </c>
      <c r="Q42" s="194" t="str">
        <f aca="false">IF(Model!O45=0,"",Model!O45)</f>
        <v/>
      </c>
      <c r="R42" s="194" t="str">
        <f aca="false">IF(Model!P45=0,"",Model!P45)</f>
        <v/>
      </c>
      <c r="S42" s="194" t="str">
        <f aca="false">IF(Model!Q45=0,"",Model!Q45)</f>
        <v/>
      </c>
      <c r="T42" s="194" t="str">
        <f aca="false">IF(Model!R45=0,"",Model!R45)</f>
        <v/>
      </c>
      <c r="U42" s="194" t="str">
        <f aca="false">IF(Model!S45=0,"",Model!S45)</f>
        <v/>
      </c>
      <c r="V42" s="194" t="str">
        <f aca="false">IF(Model!T45=0,"",Model!T45)</f>
        <v/>
      </c>
      <c r="W42" s="194" t="str">
        <f aca="false">IF(Model!U45=0,"",Model!U45)</f>
        <v/>
      </c>
      <c r="X42" s="194" t="str">
        <f aca="false">IF(Model!V45=0,"",Model!V45)</f>
        <v/>
      </c>
      <c r="Y42" s="194" t="str">
        <f aca="false">IF(Model!W45=0,"",Model!W45)</f>
        <v/>
      </c>
      <c r="Z42" s="194" t="str">
        <f aca="false">IF(Model!X45=0,"",Model!X45)</f>
        <v/>
      </c>
      <c r="AA42" s="194" t="str">
        <f aca="false">IF(Model!Y45=0,"",Model!Y45)</f>
        <v/>
      </c>
      <c r="AB42" s="194" t="str">
        <f aca="false">IF(Model!Z45=0,"",Model!Z45)</f>
        <v/>
      </c>
      <c r="AC42" s="194" t="str">
        <f aca="false">IF(Model!AA45=0,"",Model!AA45)</f>
        <v/>
      </c>
      <c r="AD42" s="194" t="str">
        <f aca="false">IF(Model!AB45=0,"",Model!AB45)</f>
        <v/>
      </c>
      <c r="AE42" s="194" t="str">
        <f aca="false">IF(Model!AC45=0,"",Model!AC45)</f>
        <v/>
      </c>
      <c r="AF42" s="194" t="str">
        <f aca="false">IF(Model!AD45=0,"",Model!AD45)</f>
        <v/>
      </c>
      <c r="AG42" s="194" t="str">
        <f aca="false">IF(Model!AE45=0,"",Model!AE45)</f>
        <v/>
      </c>
      <c r="AH42" s="194" t="str">
        <f aca="false">IF(Model!AF45=0,"",Model!AF45)</f>
        <v/>
      </c>
      <c r="AI42" s="194" t="str">
        <f aca="false">IF(Model!AG45=0,"",Model!AG45)</f>
        <v/>
      </c>
      <c r="AJ42" s="194" t="str">
        <f aca="false">IF(Model!AH45=0,"",Model!AH45)</f>
        <v/>
      </c>
      <c r="AK42" s="194" t="str">
        <f aca="false">IF(Model!AI45=0,"",Model!AI45)</f>
        <v/>
      </c>
      <c r="AL42" s="194" t="str">
        <f aca="false">IF(Model!AJ45=0,"",Model!AJ45)</f>
        <v/>
      </c>
      <c r="AM42" s="194" t="str">
        <f aca="false">IF(Model!AK45=0,"",Model!AK45)</f>
        <v/>
      </c>
      <c r="AN42" s="194" t="str">
        <f aca="false">IF(Model!AL45=0,"",Model!AL45)</f>
        <v/>
      </c>
      <c r="AO42" s="194" t="str">
        <f aca="false">IF(Model!AM45=0,"",Model!AM45)</f>
        <v/>
      </c>
      <c r="AP42" s="194" t="str">
        <f aca="false">IF(Model!AN45=0,"",Model!AN45)</f>
        <v/>
      </c>
      <c r="AQ42" s="194" t="str">
        <f aca="false">IF(Model!AO45=0,"",Model!AO45)</f>
        <v/>
      </c>
      <c r="AR42" s="194" t="str">
        <f aca="false">IF(Model!AP45=0,"",Model!AP45)</f>
        <v/>
      </c>
      <c r="AS42" s="194" t="str">
        <f aca="false">IF(Model!AQ45=0,"",Model!AQ45)</f>
        <v/>
      </c>
      <c r="AT42" s="194" t="str">
        <f aca="false">IF(Model!AR45=0,"",Model!AR45)</f>
        <v/>
      </c>
      <c r="AU42" s="194" t="str">
        <f aca="false">IF(Model!AS45=0,"",Model!AS45)</f>
        <v/>
      </c>
      <c r="AV42" s="194" t="str">
        <f aca="false">IF(Model!AT45=0,"",Model!AT45)</f>
        <v/>
      </c>
      <c r="AW42" s="194" t="str">
        <f aca="false">IF(Model!AU45=0,"",Model!AU45)</f>
        <v/>
      </c>
      <c r="AX42" s="194" t="str">
        <f aca="false">IF(Model!AV45=0,"",Model!AV45)</f>
        <v/>
      </c>
      <c r="AY42" s="194" t="str">
        <f aca="false">IF(Model!AW45=0,"",Model!AW45)</f>
        <v/>
      </c>
      <c r="AZ42" s="194" t="str">
        <f aca="false">IF(Model!AX45=0,"",Model!AX45)</f>
        <v/>
      </c>
      <c r="BA42" s="194" t="str">
        <f aca="false">IF(Model!AY45=0,"",Model!AY45)</f>
        <v/>
      </c>
      <c r="BB42" s="194" t="str">
        <f aca="false">IF(Model!AZ45=0,"",Model!AZ45)</f>
        <v/>
      </c>
      <c r="BC42" s="194" t="str">
        <f aca="false">IF(Model!BA45=0,"",Model!BA45)</f>
        <v/>
      </c>
      <c r="BD42" s="194" t="str">
        <f aca="false">IF(Model!BB45=0,"",Model!BB45)</f>
        <v/>
      </c>
      <c r="BE42" s="194" t="str">
        <f aca="false">IF(Model!BC45=0,"",Model!BC45)</f>
        <v/>
      </c>
      <c r="BF42" s="194" t="str">
        <f aca="false">IF(Model!BD45=0,"",Model!BD45)</f>
        <v/>
      </c>
      <c r="BG42" s="194" t="str">
        <f aca="false">IF(Model!BE45=0,"",Model!BE45)</f>
        <v/>
      </c>
      <c r="BH42" s="194" t="str">
        <f aca="false">IF(Model!BF45=0,"",Model!BF45)</f>
        <v/>
      </c>
      <c r="BI42" s="194" t="str">
        <f aca="false">IF(Model!BG45=0,"",Model!BG45)</f>
        <v/>
      </c>
      <c r="BJ42" s="194" t="str">
        <f aca="false">IF(Model!BH45=0,"",Model!BH45)</f>
        <v/>
      </c>
      <c r="BK42" s="194" t="str">
        <f aca="false">IF(Model!BI45=0,"",Model!BI45)</f>
        <v/>
      </c>
      <c r="BL42" s="194" t="str">
        <f aca="false">IF(Model!BJ45=0,"",Model!BJ45)</f>
        <v/>
      </c>
      <c r="BM42" s="194" t="str">
        <f aca="false">IF(Model!BK45=0,"",Model!BK45)</f>
        <v/>
      </c>
      <c r="BN42" s="194" t="str">
        <f aca="false">IF(Model!BL45=0,"",Model!BL45)</f>
        <v/>
      </c>
      <c r="BO42" s="194" t="str">
        <f aca="false">IF(Model!BM45=0,"",Model!BM45)</f>
        <v/>
      </c>
      <c r="BP42" s="194" t="str">
        <f aca="false">IF(Model!BN45=0,"",Model!BN45)</f>
        <v/>
      </c>
      <c r="BQ42" s="194" t="str">
        <f aca="false">IF(Model!BO45=0,"",Model!BO45)</f>
        <v/>
      </c>
      <c r="BR42" s="194" t="str">
        <f aca="false">IF(Model!BP45=0,"",Model!BP45)</f>
        <v/>
      </c>
      <c r="BS42" s="194" t="str">
        <f aca="false">IF(Model!BQ45=0,"",Model!BQ45)</f>
        <v/>
      </c>
      <c r="BT42" s="194" t="str">
        <f aca="false">IF(Model!BR45=0,"",Model!BR45)</f>
        <v/>
      </c>
      <c r="BU42" s="194" t="str">
        <f aca="false">IF(Model!BS45=0,"",Model!BS45)</f>
        <v/>
      </c>
      <c r="BV42" s="194" t="str">
        <f aca="false">IF(Model!BT45=0,"",Model!BT45)</f>
        <v/>
      </c>
      <c r="BW42" s="194" t="str">
        <f aca="false">IF(Model!BU45=0,"",Model!BU45)</f>
        <v/>
      </c>
      <c r="BX42" s="194" t="str">
        <f aca="false">IF(Model!BV45=0,"",Model!BV45)</f>
        <v/>
      </c>
      <c r="BY42" s="194" t="str">
        <f aca="false">IF(Model!BW45=0,"",Model!BW45)</f>
        <v/>
      </c>
      <c r="BZ42" s="194" t="str">
        <f aca="false">IF(Model!BX45=0,"",Model!BX45)</f>
        <v/>
      </c>
      <c r="CA42" s="194" t="str">
        <f aca="false">IF(Model!BY45=0,"",Model!BY45)</f>
        <v/>
      </c>
      <c r="CB42" s="194" t="str">
        <f aca="false">IF(Model!BZ45=0,"",Model!BZ45)</f>
        <v/>
      </c>
      <c r="CC42" s="194" t="str">
        <f aca="false">IF(Model!CA45=0,"",Model!CA45)</f>
        <v/>
      </c>
      <c r="CD42" s="194" t="str">
        <f aca="false">IF(Model!CB45=0,"",Model!CB45)</f>
        <v/>
      </c>
      <c r="CE42" s="194" t="str">
        <f aca="false">IF(Model!CC45=0,"",Model!CC45)</f>
        <v/>
      </c>
      <c r="CF42" s="194" t="str">
        <f aca="false">IF(Model!CD45=0,"",Model!CD45)</f>
        <v/>
      </c>
      <c r="CG42" s="194" t="str">
        <f aca="false">IF(Model!CE45=0,"",Model!CE45)</f>
        <v/>
      </c>
      <c r="CH42" s="194" t="str">
        <f aca="false">IF(Model!CF45=0,"",Model!CF45)</f>
        <v/>
      </c>
      <c r="CI42" s="194" t="str">
        <f aca="false">IF(Model!CG45=0,"",Model!CG45)</f>
        <v/>
      </c>
      <c r="CJ42" s="194" t="str">
        <f aca="false">IF(Model!CH45=0,"",Model!CH45)</f>
        <v/>
      </c>
      <c r="CK42" s="194" t="str">
        <f aca="false">IF(Model!CI45=0,"",Model!CI45)</f>
        <v/>
      </c>
      <c r="CL42" s="194" t="str">
        <f aca="false">IF(Model!CJ45=0,"",Model!CJ45)</f>
        <v/>
      </c>
      <c r="CM42" s="194" t="str">
        <f aca="false">IF(Model!CK45=0,"",Model!CK45)</f>
        <v/>
      </c>
      <c r="CN42" s="194" t="str">
        <f aca="false">IF(Model!CL45=0,"",Model!CL45)</f>
        <v/>
      </c>
      <c r="CO42" s="194" t="str">
        <f aca="false">IF(Model!CM45=0,"",Model!CM45)</f>
        <v/>
      </c>
      <c r="CP42" s="194" t="str">
        <f aca="false">IF(Model!CN45=0,"",Model!CN45)</f>
        <v/>
      </c>
      <c r="CQ42" s="194" t="str">
        <f aca="false">IF(Model!CO45=0,"",Model!CO45)</f>
        <v/>
      </c>
      <c r="CR42" s="194" t="str">
        <f aca="false">IF(Model!CP45=0,"",Model!CP45)</f>
        <v/>
      </c>
      <c r="CS42" s="194" t="str">
        <f aca="false">IF(Model!CQ45=0,"",Model!CQ45)</f>
        <v/>
      </c>
      <c r="CT42" s="194" t="str">
        <f aca="false">IF(Model!CR45=0,"",Model!CR45)</f>
        <v/>
      </c>
      <c r="CU42" s="194" t="str">
        <f aca="false">IF(Model!CS45=0,"",Model!CS45)</f>
        <v/>
      </c>
      <c r="CV42" s="194" t="str">
        <f aca="false">IF(Model!CT45=0,"",Model!CT45)</f>
        <v/>
      </c>
      <c r="CW42" s="194" t="str">
        <f aca="false">IF(Model!CU45=0,"",Model!CU45)</f>
        <v/>
      </c>
      <c r="CX42" s="194" t="str">
        <f aca="false">IF(Model!CV45=0,"",Model!CV45)</f>
        <v/>
      </c>
      <c r="CY42" s="194" t="str">
        <f aca="false">IF(Model!CW45=0,"",Model!CW45)</f>
        <v/>
      </c>
      <c r="CZ42" s="194" t="str">
        <f aca="false">IF(Model!CX45=0,"",Model!CX45)</f>
        <v/>
      </c>
      <c r="DA42" s="194" t="str">
        <f aca="false">IF(Model!CY45=0,"",Model!CY45)</f>
        <v/>
      </c>
      <c r="DB42" s="194" t="str">
        <f aca="false">IF(Model!CZ45=0,"",Model!CZ45)</f>
        <v/>
      </c>
    </row>
    <row r="43" customFormat="false" ht="15" hidden="false" customHeight="true" outlineLevel="0" collapsed="false">
      <c r="A43" s="125" t="s">
        <v>40</v>
      </c>
      <c r="B43" s="191" t="n">
        <f aca="false">Projects!$B$37</f>
        <v>15000000</v>
      </c>
      <c r="C43" s="192" t="n">
        <f aca="false">EDATE(Model!$E$2,Projects!$C$37-1)</f>
        <v>48030</v>
      </c>
      <c r="D43" s="192" t="n">
        <f aca="false">EDATE(Model!$E$2,Projects!$C$37+Projects!$D$37-2)</f>
        <v>48580</v>
      </c>
      <c r="E43" s="193" t="n">
        <f aca="false">Projects!$D$37</f>
        <v>19</v>
      </c>
      <c r="F43" s="191" t="n">
        <f aca="false">SUM(G43:DB43)</f>
        <v>0</v>
      </c>
      <c r="G43" s="194" t="str">
        <f aca="false">IF(Model!E46=0,"",Model!E46)</f>
        <v/>
      </c>
      <c r="H43" s="194" t="str">
        <f aca="false">IF(Model!F46=0,"",Model!F46)</f>
        <v/>
      </c>
      <c r="I43" s="194" t="str">
        <f aca="false">IF(Model!G46=0,"",Model!G46)</f>
        <v/>
      </c>
      <c r="J43" s="194" t="str">
        <f aca="false">IF(Model!H46=0,"",Model!H46)</f>
        <v/>
      </c>
      <c r="K43" s="194" t="str">
        <f aca="false">IF(Model!I46=0,"",Model!I46)</f>
        <v/>
      </c>
      <c r="L43" s="194" t="str">
        <f aca="false">IF(Model!J46=0,"",Model!J46)</f>
        <v/>
      </c>
      <c r="M43" s="194" t="str">
        <f aca="false">IF(Model!K46=0,"",Model!K46)</f>
        <v/>
      </c>
      <c r="N43" s="194" t="str">
        <f aca="false">IF(Model!L46=0,"",Model!L46)</f>
        <v/>
      </c>
      <c r="O43" s="194" t="str">
        <f aca="false">IF(Model!M46=0,"",Model!M46)</f>
        <v/>
      </c>
      <c r="P43" s="194" t="str">
        <f aca="false">IF(Model!N46=0,"",Model!N46)</f>
        <v/>
      </c>
      <c r="Q43" s="194" t="str">
        <f aca="false">IF(Model!O46=0,"",Model!O46)</f>
        <v/>
      </c>
      <c r="R43" s="194" t="str">
        <f aca="false">IF(Model!P46=0,"",Model!P46)</f>
        <v/>
      </c>
      <c r="S43" s="194" t="str">
        <f aca="false">IF(Model!Q46=0,"",Model!Q46)</f>
        <v/>
      </c>
      <c r="T43" s="194" t="str">
        <f aca="false">IF(Model!R46=0,"",Model!R46)</f>
        <v/>
      </c>
      <c r="U43" s="194" t="str">
        <f aca="false">IF(Model!S46=0,"",Model!S46)</f>
        <v/>
      </c>
      <c r="V43" s="194" t="str">
        <f aca="false">IF(Model!T46=0,"",Model!T46)</f>
        <v/>
      </c>
      <c r="W43" s="194" t="str">
        <f aca="false">IF(Model!U46=0,"",Model!U46)</f>
        <v/>
      </c>
      <c r="X43" s="194" t="str">
        <f aca="false">IF(Model!V46=0,"",Model!V46)</f>
        <v/>
      </c>
      <c r="Y43" s="194" t="str">
        <f aca="false">IF(Model!W46=0,"",Model!W46)</f>
        <v/>
      </c>
      <c r="Z43" s="194" t="str">
        <f aca="false">IF(Model!X46=0,"",Model!X46)</f>
        <v/>
      </c>
      <c r="AA43" s="194" t="str">
        <f aca="false">IF(Model!Y46=0,"",Model!Y46)</f>
        <v/>
      </c>
      <c r="AB43" s="194" t="str">
        <f aca="false">IF(Model!Z46=0,"",Model!Z46)</f>
        <v/>
      </c>
      <c r="AC43" s="194" t="str">
        <f aca="false">IF(Model!AA46=0,"",Model!AA46)</f>
        <v/>
      </c>
      <c r="AD43" s="194" t="str">
        <f aca="false">IF(Model!AB46=0,"",Model!AB46)</f>
        <v/>
      </c>
      <c r="AE43" s="194" t="str">
        <f aca="false">IF(Model!AC46=0,"",Model!AC46)</f>
        <v/>
      </c>
      <c r="AF43" s="194" t="str">
        <f aca="false">IF(Model!AD46=0,"",Model!AD46)</f>
        <v/>
      </c>
      <c r="AG43" s="194" t="str">
        <f aca="false">IF(Model!AE46=0,"",Model!AE46)</f>
        <v/>
      </c>
      <c r="AH43" s="194" t="str">
        <f aca="false">IF(Model!AF46=0,"",Model!AF46)</f>
        <v/>
      </c>
      <c r="AI43" s="194" t="str">
        <f aca="false">IF(Model!AG46=0,"",Model!AG46)</f>
        <v/>
      </c>
      <c r="AJ43" s="194" t="str">
        <f aca="false">IF(Model!AH46=0,"",Model!AH46)</f>
        <v/>
      </c>
      <c r="AK43" s="194" t="str">
        <f aca="false">IF(Model!AI46=0,"",Model!AI46)</f>
        <v/>
      </c>
      <c r="AL43" s="194" t="str">
        <f aca="false">IF(Model!AJ46=0,"",Model!AJ46)</f>
        <v/>
      </c>
      <c r="AM43" s="194" t="str">
        <f aca="false">IF(Model!AK46=0,"",Model!AK46)</f>
        <v/>
      </c>
      <c r="AN43" s="194" t="str">
        <f aca="false">IF(Model!AL46=0,"",Model!AL46)</f>
        <v/>
      </c>
      <c r="AO43" s="194" t="str">
        <f aca="false">IF(Model!AM46=0,"",Model!AM46)</f>
        <v/>
      </c>
      <c r="AP43" s="194" t="str">
        <f aca="false">IF(Model!AN46=0,"",Model!AN46)</f>
        <v/>
      </c>
      <c r="AQ43" s="194" t="str">
        <f aca="false">IF(Model!AO46=0,"",Model!AO46)</f>
        <v/>
      </c>
      <c r="AR43" s="194" t="str">
        <f aca="false">IF(Model!AP46=0,"",Model!AP46)</f>
        <v/>
      </c>
      <c r="AS43" s="194" t="str">
        <f aca="false">IF(Model!AQ46=0,"",Model!AQ46)</f>
        <v/>
      </c>
      <c r="AT43" s="194" t="str">
        <f aca="false">IF(Model!AR46=0,"",Model!AR46)</f>
        <v/>
      </c>
      <c r="AU43" s="194" t="str">
        <f aca="false">IF(Model!AS46=0,"",Model!AS46)</f>
        <v/>
      </c>
      <c r="AV43" s="194" t="str">
        <f aca="false">IF(Model!AT46=0,"",Model!AT46)</f>
        <v/>
      </c>
      <c r="AW43" s="194" t="str">
        <f aca="false">IF(Model!AU46=0,"",Model!AU46)</f>
        <v/>
      </c>
      <c r="AX43" s="194" t="str">
        <f aca="false">IF(Model!AV46=0,"",Model!AV46)</f>
        <v/>
      </c>
      <c r="AY43" s="194" t="str">
        <f aca="false">IF(Model!AW46=0,"",Model!AW46)</f>
        <v/>
      </c>
      <c r="AZ43" s="194" t="str">
        <f aca="false">IF(Model!AX46=0,"",Model!AX46)</f>
        <v/>
      </c>
      <c r="BA43" s="194" t="str">
        <f aca="false">IF(Model!AY46=0,"",Model!AY46)</f>
        <v/>
      </c>
      <c r="BB43" s="194" t="str">
        <f aca="false">IF(Model!AZ46=0,"",Model!AZ46)</f>
        <v/>
      </c>
      <c r="BC43" s="194" t="str">
        <f aca="false">IF(Model!BA46=0,"",Model!BA46)</f>
        <v/>
      </c>
      <c r="BD43" s="194" t="str">
        <f aca="false">IF(Model!BB46=0,"",Model!BB46)</f>
        <v/>
      </c>
      <c r="BE43" s="194" t="str">
        <f aca="false">IF(Model!BC46=0,"",Model!BC46)</f>
        <v/>
      </c>
      <c r="BF43" s="194" t="str">
        <f aca="false">IF(Model!BD46=0,"",Model!BD46)</f>
        <v/>
      </c>
      <c r="BG43" s="194" t="str">
        <f aca="false">IF(Model!BE46=0,"",Model!BE46)</f>
        <v/>
      </c>
      <c r="BH43" s="194" t="str">
        <f aca="false">IF(Model!BF46=0,"",Model!BF46)</f>
        <v/>
      </c>
      <c r="BI43" s="194" t="str">
        <f aca="false">IF(Model!BG46=0,"",Model!BG46)</f>
        <v/>
      </c>
      <c r="BJ43" s="194" t="str">
        <f aca="false">IF(Model!BH46=0,"",Model!BH46)</f>
        <v/>
      </c>
      <c r="BK43" s="194" t="str">
        <f aca="false">IF(Model!BI46=0,"",Model!BI46)</f>
        <v/>
      </c>
      <c r="BL43" s="194" t="str">
        <f aca="false">IF(Model!BJ46=0,"",Model!BJ46)</f>
        <v/>
      </c>
      <c r="BM43" s="194" t="str">
        <f aca="false">IF(Model!BK46=0,"",Model!BK46)</f>
        <v/>
      </c>
      <c r="BN43" s="194" t="str">
        <f aca="false">IF(Model!BL46=0,"",Model!BL46)</f>
        <v/>
      </c>
      <c r="BO43" s="194" t="str">
        <f aca="false">IF(Model!BM46=0,"",Model!BM46)</f>
        <v/>
      </c>
      <c r="BP43" s="194" t="str">
        <f aca="false">IF(Model!BN46=0,"",Model!BN46)</f>
        <v/>
      </c>
      <c r="BQ43" s="194" t="str">
        <f aca="false">IF(Model!BO46=0,"",Model!BO46)</f>
        <v/>
      </c>
      <c r="BR43" s="194" t="str">
        <f aca="false">IF(Model!BP46=0,"",Model!BP46)</f>
        <v/>
      </c>
      <c r="BS43" s="194" t="str">
        <f aca="false">IF(Model!BQ46=0,"",Model!BQ46)</f>
        <v/>
      </c>
      <c r="BT43" s="194" t="str">
        <f aca="false">IF(Model!BR46=0,"",Model!BR46)</f>
        <v/>
      </c>
      <c r="BU43" s="194" t="str">
        <f aca="false">IF(Model!BS46=0,"",Model!BS46)</f>
        <v/>
      </c>
      <c r="BV43" s="194" t="str">
        <f aca="false">IF(Model!BT46=0,"",Model!BT46)</f>
        <v/>
      </c>
      <c r="BW43" s="194" t="str">
        <f aca="false">IF(Model!BU46=0,"",Model!BU46)</f>
        <v/>
      </c>
      <c r="BX43" s="194" t="str">
        <f aca="false">IF(Model!BV46=0,"",Model!BV46)</f>
        <v/>
      </c>
      <c r="BY43" s="194" t="str">
        <f aca="false">IF(Model!BW46=0,"",Model!BW46)</f>
        <v/>
      </c>
      <c r="BZ43" s="194" t="str">
        <f aca="false">IF(Model!BX46=0,"",Model!BX46)</f>
        <v/>
      </c>
      <c r="CA43" s="194" t="str">
        <f aca="false">IF(Model!BY46=0,"",Model!BY46)</f>
        <v/>
      </c>
      <c r="CB43" s="194" t="str">
        <f aca="false">IF(Model!BZ46=0,"",Model!BZ46)</f>
        <v/>
      </c>
      <c r="CC43" s="194" t="str">
        <f aca="false">IF(Model!CA46=0,"",Model!CA46)</f>
        <v/>
      </c>
      <c r="CD43" s="194" t="str">
        <f aca="false">IF(Model!CB46=0,"",Model!CB46)</f>
        <v/>
      </c>
      <c r="CE43" s="194" t="str">
        <f aca="false">IF(Model!CC46=0,"",Model!CC46)</f>
        <v/>
      </c>
      <c r="CF43" s="194" t="str">
        <f aca="false">IF(Model!CD46=0,"",Model!CD46)</f>
        <v/>
      </c>
      <c r="CG43" s="194" t="str">
        <f aca="false">IF(Model!CE46=0,"",Model!CE46)</f>
        <v/>
      </c>
      <c r="CH43" s="194" t="str">
        <f aca="false">IF(Model!CF46=0,"",Model!CF46)</f>
        <v/>
      </c>
      <c r="CI43" s="194" t="str">
        <f aca="false">IF(Model!CG46=0,"",Model!CG46)</f>
        <v/>
      </c>
      <c r="CJ43" s="194" t="str">
        <f aca="false">IF(Model!CH46=0,"",Model!CH46)</f>
        <v/>
      </c>
      <c r="CK43" s="194" t="str">
        <f aca="false">IF(Model!CI46=0,"",Model!CI46)</f>
        <v/>
      </c>
      <c r="CL43" s="194" t="str">
        <f aca="false">IF(Model!CJ46=0,"",Model!CJ46)</f>
        <v/>
      </c>
      <c r="CM43" s="194" t="str">
        <f aca="false">IF(Model!CK46=0,"",Model!CK46)</f>
        <v/>
      </c>
      <c r="CN43" s="194" t="str">
        <f aca="false">IF(Model!CL46=0,"",Model!CL46)</f>
        <v/>
      </c>
      <c r="CO43" s="194" t="str">
        <f aca="false">IF(Model!CM46=0,"",Model!CM46)</f>
        <v/>
      </c>
      <c r="CP43" s="194" t="str">
        <f aca="false">IF(Model!CN46=0,"",Model!CN46)</f>
        <v/>
      </c>
      <c r="CQ43" s="194" t="str">
        <f aca="false">IF(Model!CO46=0,"",Model!CO46)</f>
        <v/>
      </c>
      <c r="CR43" s="194" t="str">
        <f aca="false">IF(Model!CP46=0,"",Model!CP46)</f>
        <v/>
      </c>
      <c r="CS43" s="194" t="str">
        <f aca="false">IF(Model!CQ46=0,"",Model!CQ46)</f>
        <v/>
      </c>
      <c r="CT43" s="194" t="str">
        <f aca="false">IF(Model!CR46=0,"",Model!CR46)</f>
        <v/>
      </c>
      <c r="CU43" s="194" t="str">
        <f aca="false">IF(Model!CS46=0,"",Model!CS46)</f>
        <v/>
      </c>
      <c r="CV43" s="194" t="str">
        <f aca="false">IF(Model!CT46=0,"",Model!CT46)</f>
        <v/>
      </c>
      <c r="CW43" s="194" t="str">
        <f aca="false">IF(Model!CU46=0,"",Model!CU46)</f>
        <v/>
      </c>
      <c r="CX43" s="194" t="str">
        <f aca="false">IF(Model!CV46=0,"",Model!CV46)</f>
        <v/>
      </c>
      <c r="CY43" s="194" t="str">
        <f aca="false">IF(Model!CW46=0,"",Model!CW46)</f>
        <v/>
      </c>
      <c r="CZ43" s="194" t="str">
        <f aca="false">IF(Model!CX46=0,"",Model!CX46)</f>
        <v/>
      </c>
      <c r="DA43" s="194" t="str">
        <f aca="false">IF(Model!CY46=0,"",Model!CY46)</f>
        <v/>
      </c>
      <c r="DB43" s="194" t="str">
        <f aca="false">IF(Model!CZ46=0,"",Model!CZ46)</f>
        <v/>
      </c>
    </row>
    <row r="44" customFormat="false" ht="15" hidden="false" customHeight="true" outlineLevel="0" collapsed="false">
      <c r="A44" s="125" t="s">
        <v>41</v>
      </c>
      <c r="B44" s="191" t="n">
        <f aca="false">Projects!$B$38</f>
        <v>15000000</v>
      </c>
      <c r="C44" s="192" t="n">
        <f aca="false">EDATE(Model!$E$2,Projects!$C$38-1)</f>
        <v>48092</v>
      </c>
      <c r="D44" s="192" t="n">
        <f aca="false">EDATE(Model!$E$2,Projects!$C$38+Projects!$D$38-2)</f>
        <v>48639</v>
      </c>
      <c r="E44" s="193" t="n">
        <f aca="false">Projects!$D$38</f>
        <v>19</v>
      </c>
      <c r="F44" s="191" t="n">
        <f aca="false">SUM(G44:DB44)</f>
        <v>0</v>
      </c>
      <c r="G44" s="194" t="str">
        <f aca="false">IF(Model!E47=0,"",Model!E47)</f>
        <v/>
      </c>
      <c r="H44" s="194" t="str">
        <f aca="false">IF(Model!F47=0,"",Model!F47)</f>
        <v/>
      </c>
      <c r="I44" s="194" t="str">
        <f aca="false">IF(Model!G47=0,"",Model!G47)</f>
        <v/>
      </c>
      <c r="J44" s="194" t="str">
        <f aca="false">IF(Model!H47=0,"",Model!H47)</f>
        <v/>
      </c>
      <c r="K44" s="194" t="str">
        <f aca="false">IF(Model!I47=0,"",Model!I47)</f>
        <v/>
      </c>
      <c r="L44" s="194" t="str">
        <f aca="false">IF(Model!J47=0,"",Model!J47)</f>
        <v/>
      </c>
      <c r="M44" s="194" t="str">
        <f aca="false">IF(Model!K47=0,"",Model!K47)</f>
        <v/>
      </c>
      <c r="N44" s="194" t="str">
        <f aca="false">IF(Model!L47=0,"",Model!L47)</f>
        <v/>
      </c>
      <c r="O44" s="194" t="str">
        <f aca="false">IF(Model!M47=0,"",Model!M47)</f>
        <v/>
      </c>
      <c r="P44" s="194" t="str">
        <f aca="false">IF(Model!N47=0,"",Model!N47)</f>
        <v/>
      </c>
      <c r="Q44" s="194" t="str">
        <f aca="false">IF(Model!O47=0,"",Model!O47)</f>
        <v/>
      </c>
      <c r="R44" s="194" t="str">
        <f aca="false">IF(Model!P47=0,"",Model!P47)</f>
        <v/>
      </c>
      <c r="S44" s="194" t="str">
        <f aca="false">IF(Model!Q47=0,"",Model!Q47)</f>
        <v/>
      </c>
      <c r="T44" s="194" t="str">
        <f aca="false">IF(Model!R47=0,"",Model!R47)</f>
        <v/>
      </c>
      <c r="U44" s="194" t="str">
        <f aca="false">IF(Model!S47=0,"",Model!S47)</f>
        <v/>
      </c>
      <c r="V44" s="194" t="str">
        <f aca="false">IF(Model!T47=0,"",Model!T47)</f>
        <v/>
      </c>
      <c r="W44" s="194" t="str">
        <f aca="false">IF(Model!U47=0,"",Model!U47)</f>
        <v/>
      </c>
      <c r="X44" s="194" t="str">
        <f aca="false">IF(Model!V47=0,"",Model!V47)</f>
        <v/>
      </c>
      <c r="Y44" s="194" t="str">
        <f aca="false">IF(Model!W47=0,"",Model!W47)</f>
        <v/>
      </c>
      <c r="Z44" s="194" t="str">
        <f aca="false">IF(Model!X47=0,"",Model!X47)</f>
        <v/>
      </c>
      <c r="AA44" s="194" t="str">
        <f aca="false">IF(Model!Y47=0,"",Model!Y47)</f>
        <v/>
      </c>
      <c r="AB44" s="194" t="str">
        <f aca="false">IF(Model!Z47=0,"",Model!Z47)</f>
        <v/>
      </c>
      <c r="AC44" s="194" t="str">
        <f aca="false">IF(Model!AA47=0,"",Model!AA47)</f>
        <v/>
      </c>
      <c r="AD44" s="194" t="str">
        <f aca="false">IF(Model!AB47=0,"",Model!AB47)</f>
        <v/>
      </c>
      <c r="AE44" s="194" t="str">
        <f aca="false">IF(Model!AC47=0,"",Model!AC47)</f>
        <v/>
      </c>
      <c r="AF44" s="194" t="str">
        <f aca="false">IF(Model!AD47=0,"",Model!AD47)</f>
        <v/>
      </c>
      <c r="AG44" s="194" t="str">
        <f aca="false">IF(Model!AE47=0,"",Model!AE47)</f>
        <v/>
      </c>
      <c r="AH44" s="194" t="str">
        <f aca="false">IF(Model!AF47=0,"",Model!AF47)</f>
        <v/>
      </c>
      <c r="AI44" s="194" t="str">
        <f aca="false">IF(Model!AG47=0,"",Model!AG47)</f>
        <v/>
      </c>
      <c r="AJ44" s="194" t="str">
        <f aca="false">IF(Model!AH47=0,"",Model!AH47)</f>
        <v/>
      </c>
      <c r="AK44" s="194" t="str">
        <f aca="false">IF(Model!AI47=0,"",Model!AI47)</f>
        <v/>
      </c>
      <c r="AL44" s="194" t="str">
        <f aca="false">IF(Model!AJ47=0,"",Model!AJ47)</f>
        <v/>
      </c>
      <c r="AM44" s="194" t="str">
        <f aca="false">IF(Model!AK47=0,"",Model!AK47)</f>
        <v/>
      </c>
      <c r="AN44" s="194" t="str">
        <f aca="false">IF(Model!AL47=0,"",Model!AL47)</f>
        <v/>
      </c>
      <c r="AO44" s="194" t="str">
        <f aca="false">IF(Model!AM47=0,"",Model!AM47)</f>
        <v/>
      </c>
      <c r="AP44" s="194" t="str">
        <f aca="false">IF(Model!AN47=0,"",Model!AN47)</f>
        <v/>
      </c>
      <c r="AQ44" s="194" t="str">
        <f aca="false">IF(Model!AO47=0,"",Model!AO47)</f>
        <v/>
      </c>
      <c r="AR44" s="194" t="str">
        <f aca="false">IF(Model!AP47=0,"",Model!AP47)</f>
        <v/>
      </c>
      <c r="AS44" s="194" t="str">
        <f aca="false">IF(Model!AQ47=0,"",Model!AQ47)</f>
        <v/>
      </c>
      <c r="AT44" s="194" t="str">
        <f aca="false">IF(Model!AR47=0,"",Model!AR47)</f>
        <v/>
      </c>
      <c r="AU44" s="194" t="str">
        <f aca="false">IF(Model!AS47=0,"",Model!AS47)</f>
        <v/>
      </c>
      <c r="AV44" s="194" t="str">
        <f aca="false">IF(Model!AT47=0,"",Model!AT47)</f>
        <v/>
      </c>
      <c r="AW44" s="194" t="str">
        <f aca="false">IF(Model!AU47=0,"",Model!AU47)</f>
        <v/>
      </c>
      <c r="AX44" s="194" t="str">
        <f aca="false">IF(Model!AV47=0,"",Model!AV47)</f>
        <v/>
      </c>
      <c r="AY44" s="194" t="str">
        <f aca="false">IF(Model!AW47=0,"",Model!AW47)</f>
        <v/>
      </c>
      <c r="AZ44" s="194" t="str">
        <f aca="false">IF(Model!AX47=0,"",Model!AX47)</f>
        <v/>
      </c>
      <c r="BA44" s="194" t="str">
        <f aca="false">IF(Model!AY47=0,"",Model!AY47)</f>
        <v/>
      </c>
      <c r="BB44" s="194" t="str">
        <f aca="false">IF(Model!AZ47=0,"",Model!AZ47)</f>
        <v/>
      </c>
      <c r="BC44" s="194" t="str">
        <f aca="false">IF(Model!BA47=0,"",Model!BA47)</f>
        <v/>
      </c>
      <c r="BD44" s="194" t="str">
        <f aca="false">IF(Model!BB47=0,"",Model!BB47)</f>
        <v/>
      </c>
      <c r="BE44" s="194" t="str">
        <f aca="false">IF(Model!BC47=0,"",Model!BC47)</f>
        <v/>
      </c>
      <c r="BF44" s="194" t="str">
        <f aca="false">IF(Model!BD47=0,"",Model!BD47)</f>
        <v/>
      </c>
      <c r="BG44" s="194" t="str">
        <f aca="false">IF(Model!BE47=0,"",Model!BE47)</f>
        <v/>
      </c>
      <c r="BH44" s="194" t="str">
        <f aca="false">IF(Model!BF47=0,"",Model!BF47)</f>
        <v/>
      </c>
      <c r="BI44" s="194" t="str">
        <f aca="false">IF(Model!BG47=0,"",Model!BG47)</f>
        <v/>
      </c>
      <c r="BJ44" s="194" t="str">
        <f aca="false">IF(Model!BH47=0,"",Model!BH47)</f>
        <v/>
      </c>
      <c r="BK44" s="194" t="str">
        <f aca="false">IF(Model!BI47=0,"",Model!BI47)</f>
        <v/>
      </c>
      <c r="BL44" s="194" t="str">
        <f aca="false">IF(Model!BJ47=0,"",Model!BJ47)</f>
        <v/>
      </c>
      <c r="BM44" s="194" t="str">
        <f aca="false">IF(Model!BK47=0,"",Model!BK47)</f>
        <v/>
      </c>
      <c r="BN44" s="194" t="str">
        <f aca="false">IF(Model!BL47=0,"",Model!BL47)</f>
        <v/>
      </c>
      <c r="BO44" s="194" t="str">
        <f aca="false">IF(Model!BM47=0,"",Model!BM47)</f>
        <v/>
      </c>
      <c r="BP44" s="194" t="str">
        <f aca="false">IF(Model!BN47=0,"",Model!BN47)</f>
        <v/>
      </c>
      <c r="BQ44" s="194" t="str">
        <f aca="false">IF(Model!BO47=0,"",Model!BO47)</f>
        <v/>
      </c>
      <c r="BR44" s="194" t="str">
        <f aca="false">IF(Model!BP47=0,"",Model!BP47)</f>
        <v/>
      </c>
      <c r="BS44" s="194" t="str">
        <f aca="false">IF(Model!BQ47=0,"",Model!BQ47)</f>
        <v/>
      </c>
      <c r="BT44" s="194" t="str">
        <f aca="false">IF(Model!BR47=0,"",Model!BR47)</f>
        <v/>
      </c>
      <c r="BU44" s="194" t="str">
        <f aca="false">IF(Model!BS47=0,"",Model!BS47)</f>
        <v/>
      </c>
      <c r="BV44" s="194" t="str">
        <f aca="false">IF(Model!BT47=0,"",Model!BT47)</f>
        <v/>
      </c>
      <c r="BW44" s="194" t="str">
        <f aca="false">IF(Model!BU47=0,"",Model!BU47)</f>
        <v/>
      </c>
      <c r="BX44" s="194" t="str">
        <f aca="false">IF(Model!BV47=0,"",Model!BV47)</f>
        <v/>
      </c>
      <c r="BY44" s="194" t="str">
        <f aca="false">IF(Model!BW47=0,"",Model!BW47)</f>
        <v/>
      </c>
      <c r="BZ44" s="194" t="str">
        <f aca="false">IF(Model!BX47=0,"",Model!BX47)</f>
        <v/>
      </c>
      <c r="CA44" s="194" t="str">
        <f aca="false">IF(Model!BY47=0,"",Model!BY47)</f>
        <v/>
      </c>
      <c r="CB44" s="194" t="str">
        <f aca="false">IF(Model!BZ47=0,"",Model!BZ47)</f>
        <v/>
      </c>
      <c r="CC44" s="194" t="str">
        <f aca="false">IF(Model!CA47=0,"",Model!CA47)</f>
        <v/>
      </c>
      <c r="CD44" s="194" t="str">
        <f aca="false">IF(Model!CB47=0,"",Model!CB47)</f>
        <v/>
      </c>
      <c r="CE44" s="194" t="str">
        <f aca="false">IF(Model!CC47=0,"",Model!CC47)</f>
        <v/>
      </c>
      <c r="CF44" s="194" t="str">
        <f aca="false">IF(Model!CD47=0,"",Model!CD47)</f>
        <v/>
      </c>
      <c r="CG44" s="194" t="str">
        <f aca="false">IF(Model!CE47=0,"",Model!CE47)</f>
        <v/>
      </c>
      <c r="CH44" s="194" t="str">
        <f aca="false">IF(Model!CF47=0,"",Model!CF47)</f>
        <v/>
      </c>
      <c r="CI44" s="194" t="str">
        <f aca="false">IF(Model!CG47=0,"",Model!CG47)</f>
        <v/>
      </c>
      <c r="CJ44" s="194" t="str">
        <f aca="false">IF(Model!CH47=0,"",Model!CH47)</f>
        <v/>
      </c>
      <c r="CK44" s="194" t="str">
        <f aca="false">IF(Model!CI47=0,"",Model!CI47)</f>
        <v/>
      </c>
      <c r="CL44" s="194" t="str">
        <f aca="false">IF(Model!CJ47=0,"",Model!CJ47)</f>
        <v/>
      </c>
      <c r="CM44" s="194" t="str">
        <f aca="false">IF(Model!CK47=0,"",Model!CK47)</f>
        <v/>
      </c>
      <c r="CN44" s="194" t="str">
        <f aca="false">IF(Model!CL47=0,"",Model!CL47)</f>
        <v/>
      </c>
      <c r="CO44" s="194" t="str">
        <f aca="false">IF(Model!CM47=0,"",Model!CM47)</f>
        <v/>
      </c>
      <c r="CP44" s="194" t="str">
        <f aca="false">IF(Model!CN47=0,"",Model!CN47)</f>
        <v/>
      </c>
      <c r="CQ44" s="194" t="str">
        <f aca="false">IF(Model!CO47=0,"",Model!CO47)</f>
        <v/>
      </c>
      <c r="CR44" s="194" t="str">
        <f aca="false">IF(Model!CP47=0,"",Model!CP47)</f>
        <v/>
      </c>
      <c r="CS44" s="194" t="str">
        <f aca="false">IF(Model!CQ47=0,"",Model!CQ47)</f>
        <v/>
      </c>
      <c r="CT44" s="194" t="str">
        <f aca="false">IF(Model!CR47=0,"",Model!CR47)</f>
        <v/>
      </c>
      <c r="CU44" s="194" t="str">
        <f aca="false">IF(Model!CS47=0,"",Model!CS47)</f>
        <v/>
      </c>
      <c r="CV44" s="194" t="str">
        <f aca="false">IF(Model!CT47=0,"",Model!CT47)</f>
        <v/>
      </c>
      <c r="CW44" s="194" t="str">
        <f aca="false">IF(Model!CU47=0,"",Model!CU47)</f>
        <v/>
      </c>
      <c r="CX44" s="194" t="str">
        <f aca="false">IF(Model!CV47=0,"",Model!CV47)</f>
        <v/>
      </c>
      <c r="CY44" s="194" t="str">
        <f aca="false">IF(Model!CW47=0,"",Model!CW47)</f>
        <v/>
      </c>
      <c r="CZ44" s="194" t="str">
        <f aca="false">IF(Model!CX47=0,"",Model!CX47)</f>
        <v/>
      </c>
      <c r="DA44" s="194" t="str">
        <f aca="false">IF(Model!CY47=0,"",Model!CY47)</f>
        <v/>
      </c>
      <c r="DB44" s="194" t="str">
        <f aca="false">IF(Model!CZ47=0,"",Model!CZ47)</f>
        <v/>
      </c>
    </row>
    <row r="45" customFormat="false" ht="15" hidden="false" customHeight="true" outlineLevel="0" collapsed="false">
      <c r="A45" s="125" t="s">
        <v>42</v>
      </c>
      <c r="B45" s="191" t="n">
        <f aca="false">Projects!$B$39</f>
        <v>18000000</v>
      </c>
      <c r="C45" s="192" t="n">
        <f aca="false">EDATE(Model!$E$2,Projects!$C$39-1)</f>
        <v>48153</v>
      </c>
      <c r="D45" s="192" t="n">
        <f aca="false">EDATE(Model!$E$2,Projects!$C$39+Projects!$D$39-2)</f>
        <v>48700</v>
      </c>
      <c r="E45" s="193" t="n">
        <f aca="false">Projects!$D$39</f>
        <v>19</v>
      </c>
      <c r="F45" s="191" t="n">
        <f aca="false">SUM(G45:DB45)</f>
        <v>0</v>
      </c>
      <c r="G45" s="194" t="str">
        <f aca="false">IF(Model!E48=0,"",Model!E48)</f>
        <v/>
      </c>
      <c r="H45" s="194" t="str">
        <f aca="false">IF(Model!F48=0,"",Model!F48)</f>
        <v/>
      </c>
      <c r="I45" s="194" t="str">
        <f aca="false">IF(Model!G48=0,"",Model!G48)</f>
        <v/>
      </c>
      <c r="J45" s="194" t="str">
        <f aca="false">IF(Model!H48=0,"",Model!H48)</f>
        <v/>
      </c>
      <c r="K45" s="194" t="str">
        <f aca="false">IF(Model!I48=0,"",Model!I48)</f>
        <v/>
      </c>
      <c r="L45" s="194" t="str">
        <f aca="false">IF(Model!J48=0,"",Model!J48)</f>
        <v/>
      </c>
      <c r="M45" s="194" t="str">
        <f aca="false">IF(Model!K48=0,"",Model!K48)</f>
        <v/>
      </c>
      <c r="N45" s="194" t="str">
        <f aca="false">IF(Model!L48=0,"",Model!L48)</f>
        <v/>
      </c>
      <c r="O45" s="194" t="str">
        <f aca="false">IF(Model!M48=0,"",Model!M48)</f>
        <v/>
      </c>
      <c r="P45" s="194" t="str">
        <f aca="false">IF(Model!N48=0,"",Model!N48)</f>
        <v/>
      </c>
      <c r="Q45" s="194" t="str">
        <f aca="false">IF(Model!O48=0,"",Model!O48)</f>
        <v/>
      </c>
      <c r="R45" s="194" t="str">
        <f aca="false">IF(Model!P48=0,"",Model!P48)</f>
        <v/>
      </c>
      <c r="S45" s="194" t="str">
        <f aca="false">IF(Model!Q48=0,"",Model!Q48)</f>
        <v/>
      </c>
      <c r="T45" s="194" t="str">
        <f aca="false">IF(Model!R48=0,"",Model!R48)</f>
        <v/>
      </c>
      <c r="U45" s="194" t="str">
        <f aca="false">IF(Model!S48=0,"",Model!S48)</f>
        <v/>
      </c>
      <c r="V45" s="194" t="str">
        <f aca="false">IF(Model!T48=0,"",Model!T48)</f>
        <v/>
      </c>
      <c r="W45" s="194" t="str">
        <f aca="false">IF(Model!U48=0,"",Model!U48)</f>
        <v/>
      </c>
      <c r="X45" s="194" t="str">
        <f aca="false">IF(Model!V48=0,"",Model!V48)</f>
        <v/>
      </c>
      <c r="Y45" s="194" t="str">
        <f aca="false">IF(Model!W48=0,"",Model!W48)</f>
        <v/>
      </c>
      <c r="Z45" s="194" t="str">
        <f aca="false">IF(Model!X48=0,"",Model!X48)</f>
        <v/>
      </c>
      <c r="AA45" s="194" t="str">
        <f aca="false">IF(Model!Y48=0,"",Model!Y48)</f>
        <v/>
      </c>
      <c r="AB45" s="194" t="str">
        <f aca="false">IF(Model!Z48=0,"",Model!Z48)</f>
        <v/>
      </c>
      <c r="AC45" s="194" t="str">
        <f aca="false">IF(Model!AA48=0,"",Model!AA48)</f>
        <v/>
      </c>
      <c r="AD45" s="194" t="str">
        <f aca="false">IF(Model!AB48=0,"",Model!AB48)</f>
        <v/>
      </c>
      <c r="AE45" s="194" t="str">
        <f aca="false">IF(Model!AC48=0,"",Model!AC48)</f>
        <v/>
      </c>
      <c r="AF45" s="194" t="str">
        <f aca="false">IF(Model!AD48=0,"",Model!AD48)</f>
        <v/>
      </c>
      <c r="AG45" s="194" t="str">
        <f aca="false">IF(Model!AE48=0,"",Model!AE48)</f>
        <v/>
      </c>
      <c r="AH45" s="194" t="str">
        <f aca="false">IF(Model!AF48=0,"",Model!AF48)</f>
        <v/>
      </c>
      <c r="AI45" s="194" t="str">
        <f aca="false">IF(Model!AG48=0,"",Model!AG48)</f>
        <v/>
      </c>
      <c r="AJ45" s="194" t="str">
        <f aca="false">IF(Model!AH48=0,"",Model!AH48)</f>
        <v/>
      </c>
      <c r="AK45" s="194" t="str">
        <f aca="false">IF(Model!AI48=0,"",Model!AI48)</f>
        <v/>
      </c>
      <c r="AL45" s="194" t="str">
        <f aca="false">IF(Model!AJ48=0,"",Model!AJ48)</f>
        <v/>
      </c>
      <c r="AM45" s="194" t="str">
        <f aca="false">IF(Model!AK48=0,"",Model!AK48)</f>
        <v/>
      </c>
      <c r="AN45" s="194" t="str">
        <f aca="false">IF(Model!AL48=0,"",Model!AL48)</f>
        <v/>
      </c>
      <c r="AO45" s="194" t="str">
        <f aca="false">IF(Model!AM48=0,"",Model!AM48)</f>
        <v/>
      </c>
      <c r="AP45" s="194" t="str">
        <f aca="false">IF(Model!AN48=0,"",Model!AN48)</f>
        <v/>
      </c>
      <c r="AQ45" s="194" t="str">
        <f aca="false">IF(Model!AO48=0,"",Model!AO48)</f>
        <v/>
      </c>
      <c r="AR45" s="194" t="str">
        <f aca="false">IF(Model!AP48=0,"",Model!AP48)</f>
        <v/>
      </c>
      <c r="AS45" s="194" t="str">
        <f aca="false">IF(Model!AQ48=0,"",Model!AQ48)</f>
        <v/>
      </c>
      <c r="AT45" s="194" t="str">
        <f aca="false">IF(Model!AR48=0,"",Model!AR48)</f>
        <v/>
      </c>
      <c r="AU45" s="194" t="str">
        <f aca="false">IF(Model!AS48=0,"",Model!AS48)</f>
        <v/>
      </c>
      <c r="AV45" s="194" t="str">
        <f aca="false">IF(Model!AT48=0,"",Model!AT48)</f>
        <v/>
      </c>
      <c r="AW45" s="194" t="str">
        <f aca="false">IF(Model!AU48=0,"",Model!AU48)</f>
        <v/>
      </c>
      <c r="AX45" s="194" t="str">
        <f aca="false">IF(Model!AV48=0,"",Model!AV48)</f>
        <v/>
      </c>
      <c r="AY45" s="194" t="str">
        <f aca="false">IF(Model!AW48=0,"",Model!AW48)</f>
        <v/>
      </c>
      <c r="AZ45" s="194" t="str">
        <f aca="false">IF(Model!AX48=0,"",Model!AX48)</f>
        <v/>
      </c>
      <c r="BA45" s="194" t="str">
        <f aca="false">IF(Model!AY48=0,"",Model!AY48)</f>
        <v/>
      </c>
      <c r="BB45" s="194" t="str">
        <f aca="false">IF(Model!AZ48=0,"",Model!AZ48)</f>
        <v/>
      </c>
      <c r="BC45" s="194" t="str">
        <f aca="false">IF(Model!BA48=0,"",Model!BA48)</f>
        <v/>
      </c>
      <c r="BD45" s="194" t="str">
        <f aca="false">IF(Model!BB48=0,"",Model!BB48)</f>
        <v/>
      </c>
      <c r="BE45" s="194" t="str">
        <f aca="false">IF(Model!BC48=0,"",Model!BC48)</f>
        <v/>
      </c>
      <c r="BF45" s="194" t="str">
        <f aca="false">IF(Model!BD48=0,"",Model!BD48)</f>
        <v/>
      </c>
      <c r="BG45" s="194" t="str">
        <f aca="false">IF(Model!BE48=0,"",Model!BE48)</f>
        <v/>
      </c>
      <c r="BH45" s="194" t="str">
        <f aca="false">IF(Model!BF48=0,"",Model!BF48)</f>
        <v/>
      </c>
      <c r="BI45" s="194" t="str">
        <f aca="false">IF(Model!BG48=0,"",Model!BG48)</f>
        <v/>
      </c>
      <c r="BJ45" s="194" t="str">
        <f aca="false">IF(Model!BH48=0,"",Model!BH48)</f>
        <v/>
      </c>
      <c r="BK45" s="194" t="str">
        <f aca="false">IF(Model!BI48=0,"",Model!BI48)</f>
        <v/>
      </c>
      <c r="BL45" s="194" t="str">
        <f aca="false">IF(Model!BJ48=0,"",Model!BJ48)</f>
        <v/>
      </c>
      <c r="BM45" s="194" t="str">
        <f aca="false">IF(Model!BK48=0,"",Model!BK48)</f>
        <v/>
      </c>
      <c r="BN45" s="194" t="str">
        <f aca="false">IF(Model!BL48=0,"",Model!BL48)</f>
        <v/>
      </c>
      <c r="BO45" s="194" t="str">
        <f aca="false">IF(Model!BM48=0,"",Model!BM48)</f>
        <v/>
      </c>
      <c r="BP45" s="194" t="str">
        <f aca="false">IF(Model!BN48=0,"",Model!BN48)</f>
        <v/>
      </c>
      <c r="BQ45" s="194" t="str">
        <f aca="false">IF(Model!BO48=0,"",Model!BO48)</f>
        <v/>
      </c>
      <c r="BR45" s="194" t="str">
        <f aca="false">IF(Model!BP48=0,"",Model!BP48)</f>
        <v/>
      </c>
      <c r="BS45" s="194" t="str">
        <f aca="false">IF(Model!BQ48=0,"",Model!BQ48)</f>
        <v/>
      </c>
      <c r="BT45" s="194" t="str">
        <f aca="false">IF(Model!BR48=0,"",Model!BR48)</f>
        <v/>
      </c>
      <c r="BU45" s="194" t="str">
        <f aca="false">IF(Model!BS48=0,"",Model!BS48)</f>
        <v/>
      </c>
      <c r="BV45" s="194" t="str">
        <f aca="false">IF(Model!BT48=0,"",Model!BT48)</f>
        <v/>
      </c>
      <c r="BW45" s="194" t="str">
        <f aca="false">IF(Model!BU48=0,"",Model!BU48)</f>
        <v/>
      </c>
      <c r="BX45" s="194" t="str">
        <f aca="false">IF(Model!BV48=0,"",Model!BV48)</f>
        <v/>
      </c>
      <c r="BY45" s="194" t="str">
        <f aca="false">IF(Model!BW48=0,"",Model!BW48)</f>
        <v/>
      </c>
      <c r="BZ45" s="194" t="str">
        <f aca="false">IF(Model!BX48=0,"",Model!BX48)</f>
        <v/>
      </c>
      <c r="CA45" s="194" t="str">
        <f aca="false">IF(Model!BY48=0,"",Model!BY48)</f>
        <v/>
      </c>
      <c r="CB45" s="194" t="str">
        <f aca="false">IF(Model!BZ48=0,"",Model!BZ48)</f>
        <v/>
      </c>
      <c r="CC45" s="194" t="str">
        <f aca="false">IF(Model!CA48=0,"",Model!CA48)</f>
        <v/>
      </c>
      <c r="CD45" s="194" t="str">
        <f aca="false">IF(Model!CB48=0,"",Model!CB48)</f>
        <v/>
      </c>
      <c r="CE45" s="194" t="str">
        <f aca="false">IF(Model!CC48=0,"",Model!CC48)</f>
        <v/>
      </c>
      <c r="CF45" s="194" t="str">
        <f aca="false">IF(Model!CD48=0,"",Model!CD48)</f>
        <v/>
      </c>
      <c r="CG45" s="194" t="str">
        <f aca="false">IF(Model!CE48=0,"",Model!CE48)</f>
        <v/>
      </c>
      <c r="CH45" s="194" t="str">
        <f aca="false">IF(Model!CF48=0,"",Model!CF48)</f>
        <v/>
      </c>
      <c r="CI45" s="194" t="str">
        <f aca="false">IF(Model!CG48=0,"",Model!CG48)</f>
        <v/>
      </c>
      <c r="CJ45" s="194" t="str">
        <f aca="false">IF(Model!CH48=0,"",Model!CH48)</f>
        <v/>
      </c>
      <c r="CK45" s="194" t="str">
        <f aca="false">IF(Model!CI48=0,"",Model!CI48)</f>
        <v/>
      </c>
      <c r="CL45" s="194" t="str">
        <f aca="false">IF(Model!CJ48=0,"",Model!CJ48)</f>
        <v/>
      </c>
      <c r="CM45" s="194" t="str">
        <f aca="false">IF(Model!CK48=0,"",Model!CK48)</f>
        <v/>
      </c>
      <c r="CN45" s="194" t="str">
        <f aca="false">IF(Model!CL48=0,"",Model!CL48)</f>
        <v/>
      </c>
      <c r="CO45" s="194" t="str">
        <f aca="false">IF(Model!CM48=0,"",Model!CM48)</f>
        <v/>
      </c>
      <c r="CP45" s="194" t="str">
        <f aca="false">IF(Model!CN48=0,"",Model!CN48)</f>
        <v/>
      </c>
      <c r="CQ45" s="194" t="str">
        <f aca="false">IF(Model!CO48=0,"",Model!CO48)</f>
        <v/>
      </c>
      <c r="CR45" s="194" t="str">
        <f aca="false">IF(Model!CP48=0,"",Model!CP48)</f>
        <v/>
      </c>
      <c r="CS45" s="194" t="str">
        <f aca="false">IF(Model!CQ48=0,"",Model!CQ48)</f>
        <v/>
      </c>
      <c r="CT45" s="194" t="str">
        <f aca="false">IF(Model!CR48=0,"",Model!CR48)</f>
        <v/>
      </c>
      <c r="CU45" s="194" t="str">
        <f aca="false">IF(Model!CS48=0,"",Model!CS48)</f>
        <v/>
      </c>
      <c r="CV45" s="194" t="str">
        <f aca="false">IF(Model!CT48=0,"",Model!CT48)</f>
        <v/>
      </c>
      <c r="CW45" s="194" t="str">
        <f aca="false">IF(Model!CU48=0,"",Model!CU48)</f>
        <v/>
      </c>
      <c r="CX45" s="194" t="str">
        <f aca="false">IF(Model!CV48=0,"",Model!CV48)</f>
        <v/>
      </c>
      <c r="CY45" s="194" t="str">
        <f aca="false">IF(Model!CW48=0,"",Model!CW48)</f>
        <v/>
      </c>
      <c r="CZ45" s="194" t="str">
        <f aca="false">IF(Model!CX48=0,"",Model!CX48)</f>
        <v/>
      </c>
      <c r="DA45" s="194" t="str">
        <f aca="false">IF(Model!CY48=0,"",Model!CY48)</f>
        <v/>
      </c>
      <c r="DB45" s="194" t="str">
        <f aca="false">IF(Model!CZ48=0,"",Model!CZ48)</f>
        <v/>
      </c>
    </row>
    <row r="46" customFormat="false" ht="15" hidden="false" customHeight="true" outlineLevel="0" collapsed="false">
      <c r="A46" s="125" t="s">
        <v>43</v>
      </c>
      <c r="B46" s="191" t="n">
        <f aca="false">Projects!$B$40</f>
        <v>15000000</v>
      </c>
      <c r="C46" s="192" t="n">
        <f aca="false">EDATE(Model!$E$2,Projects!$C$40-1)</f>
        <v>48214</v>
      </c>
      <c r="D46" s="192" t="n">
        <f aca="false">EDATE(Model!$E$2,Projects!$C$40+Projects!$D$40-2)</f>
        <v>48761</v>
      </c>
      <c r="E46" s="193" t="n">
        <f aca="false">Projects!$D$40</f>
        <v>19</v>
      </c>
      <c r="F46" s="191" t="n">
        <f aca="false">SUM(G46:DB46)</f>
        <v>0</v>
      </c>
      <c r="G46" s="194" t="str">
        <f aca="false">IF(Model!E49=0,"",Model!E49)</f>
        <v/>
      </c>
      <c r="H46" s="194" t="str">
        <f aca="false">IF(Model!F49=0,"",Model!F49)</f>
        <v/>
      </c>
      <c r="I46" s="194" t="str">
        <f aca="false">IF(Model!G49=0,"",Model!G49)</f>
        <v/>
      </c>
      <c r="J46" s="194" t="str">
        <f aca="false">IF(Model!H49=0,"",Model!H49)</f>
        <v/>
      </c>
      <c r="K46" s="194" t="str">
        <f aca="false">IF(Model!I49=0,"",Model!I49)</f>
        <v/>
      </c>
      <c r="L46" s="194" t="str">
        <f aca="false">IF(Model!J49=0,"",Model!J49)</f>
        <v/>
      </c>
      <c r="M46" s="194" t="str">
        <f aca="false">IF(Model!K49=0,"",Model!K49)</f>
        <v/>
      </c>
      <c r="N46" s="194" t="str">
        <f aca="false">IF(Model!L49=0,"",Model!L49)</f>
        <v/>
      </c>
      <c r="O46" s="194" t="str">
        <f aca="false">IF(Model!M49=0,"",Model!M49)</f>
        <v/>
      </c>
      <c r="P46" s="194" t="str">
        <f aca="false">IF(Model!N49=0,"",Model!N49)</f>
        <v/>
      </c>
      <c r="Q46" s="194" t="str">
        <f aca="false">IF(Model!O49=0,"",Model!O49)</f>
        <v/>
      </c>
      <c r="R46" s="194" t="str">
        <f aca="false">IF(Model!P49=0,"",Model!P49)</f>
        <v/>
      </c>
      <c r="S46" s="194" t="str">
        <f aca="false">IF(Model!Q49=0,"",Model!Q49)</f>
        <v/>
      </c>
      <c r="T46" s="194" t="str">
        <f aca="false">IF(Model!R49=0,"",Model!R49)</f>
        <v/>
      </c>
      <c r="U46" s="194" t="str">
        <f aca="false">IF(Model!S49=0,"",Model!S49)</f>
        <v/>
      </c>
      <c r="V46" s="194" t="str">
        <f aca="false">IF(Model!T49=0,"",Model!T49)</f>
        <v/>
      </c>
      <c r="W46" s="194" t="str">
        <f aca="false">IF(Model!U49=0,"",Model!U49)</f>
        <v/>
      </c>
      <c r="X46" s="194" t="str">
        <f aca="false">IF(Model!V49=0,"",Model!V49)</f>
        <v/>
      </c>
      <c r="Y46" s="194" t="str">
        <f aca="false">IF(Model!W49=0,"",Model!W49)</f>
        <v/>
      </c>
      <c r="Z46" s="194" t="str">
        <f aca="false">IF(Model!X49=0,"",Model!X49)</f>
        <v/>
      </c>
      <c r="AA46" s="194" t="str">
        <f aca="false">IF(Model!Y49=0,"",Model!Y49)</f>
        <v/>
      </c>
      <c r="AB46" s="194" t="str">
        <f aca="false">IF(Model!Z49=0,"",Model!Z49)</f>
        <v/>
      </c>
      <c r="AC46" s="194" t="str">
        <f aca="false">IF(Model!AA49=0,"",Model!AA49)</f>
        <v/>
      </c>
      <c r="AD46" s="194" t="str">
        <f aca="false">IF(Model!AB49=0,"",Model!AB49)</f>
        <v/>
      </c>
      <c r="AE46" s="194" t="str">
        <f aca="false">IF(Model!AC49=0,"",Model!AC49)</f>
        <v/>
      </c>
      <c r="AF46" s="194" t="str">
        <f aca="false">IF(Model!AD49=0,"",Model!AD49)</f>
        <v/>
      </c>
      <c r="AG46" s="194" t="str">
        <f aca="false">IF(Model!AE49=0,"",Model!AE49)</f>
        <v/>
      </c>
      <c r="AH46" s="194" t="str">
        <f aca="false">IF(Model!AF49=0,"",Model!AF49)</f>
        <v/>
      </c>
      <c r="AI46" s="194" t="str">
        <f aca="false">IF(Model!AG49=0,"",Model!AG49)</f>
        <v/>
      </c>
      <c r="AJ46" s="194" t="str">
        <f aca="false">IF(Model!AH49=0,"",Model!AH49)</f>
        <v/>
      </c>
      <c r="AK46" s="194" t="str">
        <f aca="false">IF(Model!AI49=0,"",Model!AI49)</f>
        <v/>
      </c>
      <c r="AL46" s="194" t="str">
        <f aca="false">IF(Model!AJ49=0,"",Model!AJ49)</f>
        <v/>
      </c>
      <c r="AM46" s="194" t="str">
        <f aca="false">IF(Model!AK49=0,"",Model!AK49)</f>
        <v/>
      </c>
      <c r="AN46" s="194" t="str">
        <f aca="false">IF(Model!AL49=0,"",Model!AL49)</f>
        <v/>
      </c>
      <c r="AO46" s="194" t="str">
        <f aca="false">IF(Model!AM49=0,"",Model!AM49)</f>
        <v/>
      </c>
      <c r="AP46" s="194" t="str">
        <f aca="false">IF(Model!AN49=0,"",Model!AN49)</f>
        <v/>
      </c>
      <c r="AQ46" s="194" t="str">
        <f aca="false">IF(Model!AO49=0,"",Model!AO49)</f>
        <v/>
      </c>
      <c r="AR46" s="194" t="str">
        <f aca="false">IF(Model!AP49=0,"",Model!AP49)</f>
        <v/>
      </c>
      <c r="AS46" s="194" t="str">
        <f aca="false">IF(Model!AQ49=0,"",Model!AQ49)</f>
        <v/>
      </c>
      <c r="AT46" s="194" t="str">
        <f aca="false">IF(Model!AR49=0,"",Model!AR49)</f>
        <v/>
      </c>
      <c r="AU46" s="194" t="str">
        <f aca="false">IF(Model!AS49=0,"",Model!AS49)</f>
        <v/>
      </c>
      <c r="AV46" s="194" t="str">
        <f aca="false">IF(Model!AT49=0,"",Model!AT49)</f>
        <v/>
      </c>
      <c r="AW46" s="194" t="str">
        <f aca="false">IF(Model!AU49=0,"",Model!AU49)</f>
        <v/>
      </c>
      <c r="AX46" s="194" t="str">
        <f aca="false">IF(Model!AV49=0,"",Model!AV49)</f>
        <v/>
      </c>
      <c r="AY46" s="194" t="str">
        <f aca="false">IF(Model!AW49=0,"",Model!AW49)</f>
        <v/>
      </c>
      <c r="AZ46" s="194" t="str">
        <f aca="false">IF(Model!AX49=0,"",Model!AX49)</f>
        <v/>
      </c>
      <c r="BA46" s="194" t="str">
        <f aca="false">IF(Model!AY49=0,"",Model!AY49)</f>
        <v/>
      </c>
      <c r="BB46" s="194" t="str">
        <f aca="false">IF(Model!AZ49=0,"",Model!AZ49)</f>
        <v/>
      </c>
      <c r="BC46" s="194" t="str">
        <f aca="false">IF(Model!BA49=0,"",Model!BA49)</f>
        <v/>
      </c>
      <c r="BD46" s="194" t="str">
        <f aca="false">IF(Model!BB49=0,"",Model!BB49)</f>
        <v/>
      </c>
      <c r="BE46" s="194" t="str">
        <f aca="false">IF(Model!BC49=0,"",Model!BC49)</f>
        <v/>
      </c>
      <c r="BF46" s="194" t="str">
        <f aca="false">IF(Model!BD49=0,"",Model!BD49)</f>
        <v/>
      </c>
      <c r="BG46" s="194" t="str">
        <f aca="false">IF(Model!BE49=0,"",Model!BE49)</f>
        <v/>
      </c>
      <c r="BH46" s="194" t="str">
        <f aca="false">IF(Model!BF49=0,"",Model!BF49)</f>
        <v/>
      </c>
      <c r="BI46" s="194" t="str">
        <f aca="false">IF(Model!BG49=0,"",Model!BG49)</f>
        <v/>
      </c>
      <c r="BJ46" s="194" t="str">
        <f aca="false">IF(Model!BH49=0,"",Model!BH49)</f>
        <v/>
      </c>
      <c r="BK46" s="194" t="str">
        <f aca="false">IF(Model!BI49=0,"",Model!BI49)</f>
        <v/>
      </c>
      <c r="BL46" s="194" t="str">
        <f aca="false">IF(Model!BJ49=0,"",Model!BJ49)</f>
        <v/>
      </c>
      <c r="BM46" s="194" t="str">
        <f aca="false">IF(Model!BK49=0,"",Model!BK49)</f>
        <v/>
      </c>
      <c r="BN46" s="194" t="str">
        <f aca="false">IF(Model!BL49=0,"",Model!BL49)</f>
        <v/>
      </c>
      <c r="BO46" s="194" t="str">
        <f aca="false">IF(Model!BM49=0,"",Model!BM49)</f>
        <v/>
      </c>
      <c r="BP46" s="194" t="str">
        <f aca="false">IF(Model!BN49=0,"",Model!BN49)</f>
        <v/>
      </c>
      <c r="BQ46" s="194" t="str">
        <f aca="false">IF(Model!BO49=0,"",Model!BO49)</f>
        <v/>
      </c>
      <c r="BR46" s="194" t="str">
        <f aca="false">IF(Model!BP49=0,"",Model!BP49)</f>
        <v/>
      </c>
      <c r="BS46" s="194" t="str">
        <f aca="false">IF(Model!BQ49=0,"",Model!BQ49)</f>
        <v/>
      </c>
      <c r="BT46" s="194" t="str">
        <f aca="false">IF(Model!BR49=0,"",Model!BR49)</f>
        <v/>
      </c>
      <c r="BU46" s="194" t="str">
        <f aca="false">IF(Model!BS49=0,"",Model!BS49)</f>
        <v/>
      </c>
      <c r="BV46" s="194" t="str">
        <f aca="false">IF(Model!BT49=0,"",Model!BT49)</f>
        <v/>
      </c>
      <c r="BW46" s="194" t="str">
        <f aca="false">IF(Model!BU49=0,"",Model!BU49)</f>
        <v/>
      </c>
      <c r="BX46" s="194" t="str">
        <f aca="false">IF(Model!BV49=0,"",Model!BV49)</f>
        <v/>
      </c>
      <c r="BY46" s="194" t="str">
        <f aca="false">IF(Model!BW49=0,"",Model!BW49)</f>
        <v/>
      </c>
      <c r="BZ46" s="194" t="str">
        <f aca="false">IF(Model!BX49=0,"",Model!BX49)</f>
        <v/>
      </c>
      <c r="CA46" s="194" t="str">
        <f aca="false">IF(Model!BY49=0,"",Model!BY49)</f>
        <v/>
      </c>
      <c r="CB46" s="194" t="str">
        <f aca="false">IF(Model!BZ49=0,"",Model!BZ49)</f>
        <v/>
      </c>
      <c r="CC46" s="194" t="str">
        <f aca="false">IF(Model!CA49=0,"",Model!CA49)</f>
        <v/>
      </c>
      <c r="CD46" s="194" t="str">
        <f aca="false">IF(Model!CB49=0,"",Model!CB49)</f>
        <v/>
      </c>
      <c r="CE46" s="194" t="str">
        <f aca="false">IF(Model!CC49=0,"",Model!CC49)</f>
        <v/>
      </c>
      <c r="CF46" s="194" t="str">
        <f aca="false">IF(Model!CD49=0,"",Model!CD49)</f>
        <v/>
      </c>
      <c r="CG46" s="194" t="str">
        <f aca="false">IF(Model!CE49=0,"",Model!CE49)</f>
        <v/>
      </c>
      <c r="CH46" s="194" t="str">
        <f aca="false">IF(Model!CF49=0,"",Model!CF49)</f>
        <v/>
      </c>
      <c r="CI46" s="194" t="str">
        <f aca="false">IF(Model!CG49=0,"",Model!CG49)</f>
        <v/>
      </c>
      <c r="CJ46" s="194" t="str">
        <f aca="false">IF(Model!CH49=0,"",Model!CH49)</f>
        <v/>
      </c>
      <c r="CK46" s="194" t="str">
        <f aca="false">IF(Model!CI49=0,"",Model!CI49)</f>
        <v/>
      </c>
      <c r="CL46" s="194" t="str">
        <f aca="false">IF(Model!CJ49=0,"",Model!CJ49)</f>
        <v/>
      </c>
      <c r="CM46" s="194" t="str">
        <f aca="false">IF(Model!CK49=0,"",Model!CK49)</f>
        <v/>
      </c>
      <c r="CN46" s="194" t="str">
        <f aca="false">IF(Model!CL49=0,"",Model!CL49)</f>
        <v/>
      </c>
      <c r="CO46" s="194" t="str">
        <f aca="false">IF(Model!CM49=0,"",Model!CM49)</f>
        <v/>
      </c>
      <c r="CP46" s="194" t="str">
        <f aca="false">IF(Model!CN49=0,"",Model!CN49)</f>
        <v/>
      </c>
      <c r="CQ46" s="194" t="str">
        <f aca="false">IF(Model!CO49=0,"",Model!CO49)</f>
        <v/>
      </c>
      <c r="CR46" s="194" t="str">
        <f aca="false">IF(Model!CP49=0,"",Model!CP49)</f>
        <v/>
      </c>
      <c r="CS46" s="194" t="str">
        <f aca="false">IF(Model!CQ49=0,"",Model!CQ49)</f>
        <v/>
      </c>
      <c r="CT46" s="194" t="str">
        <f aca="false">IF(Model!CR49=0,"",Model!CR49)</f>
        <v/>
      </c>
      <c r="CU46" s="194" t="str">
        <f aca="false">IF(Model!CS49=0,"",Model!CS49)</f>
        <v/>
      </c>
      <c r="CV46" s="194" t="str">
        <f aca="false">IF(Model!CT49=0,"",Model!CT49)</f>
        <v/>
      </c>
      <c r="CW46" s="194" t="str">
        <f aca="false">IF(Model!CU49=0,"",Model!CU49)</f>
        <v/>
      </c>
      <c r="CX46" s="194" t="str">
        <f aca="false">IF(Model!CV49=0,"",Model!CV49)</f>
        <v/>
      </c>
      <c r="CY46" s="194" t="str">
        <f aca="false">IF(Model!CW49=0,"",Model!CW49)</f>
        <v/>
      </c>
      <c r="CZ46" s="194" t="str">
        <f aca="false">IF(Model!CX49=0,"",Model!CX49)</f>
        <v/>
      </c>
      <c r="DA46" s="194" t="str">
        <f aca="false">IF(Model!CY49=0,"",Model!CY49)</f>
        <v/>
      </c>
      <c r="DB46" s="194" t="str">
        <f aca="false">IF(Model!CZ49=0,"",Model!CZ49)</f>
        <v/>
      </c>
    </row>
    <row r="47" customFormat="false" ht="15" hidden="false" customHeight="true" outlineLevel="0" collapsed="false">
      <c r="A47" s="125" t="s">
        <v>44</v>
      </c>
      <c r="B47" s="191" t="n">
        <f aca="false">Projects!$B$41</f>
        <v>15000000</v>
      </c>
      <c r="C47" s="192" t="n">
        <f aca="false">EDATE(Model!$E$2,Projects!$C$41-1)</f>
        <v>48274</v>
      </c>
      <c r="D47" s="192" t="n">
        <f aca="false">EDATE(Model!$E$2,Projects!$C$41+Projects!$D$41-2)</f>
        <v>48823</v>
      </c>
      <c r="E47" s="193" t="n">
        <f aca="false">Projects!$D$41</f>
        <v>19</v>
      </c>
      <c r="F47" s="191" t="n">
        <f aca="false">SUM(G47:DB47)</f>
        <v>0</v>
      </c>
      <c r="G47" s="194" t="str">
        <f aca="false">IF(Model!E50=0,"",Model!E50)</f>
        <v/>
      </c>
      <c r="H47" s="194" t="str">
        <f aca="false">IF(Model!F50=0,"",Model!F50)</f>
        <v/>
      </c>
      <c r="I47" s="194" t="str">
        <f aca="false">IF(Model!G50=0,"",Model!G50)</f>
        <v/>
      </c>
      <c r="J47" s="194" t="str">
        <f aca="false">IF(Model!H50=0,"",Model!H50)</f>
        <v/>
      </c>
      <c r="K47" s="194" t="str">
        <f aca="false">IF(Model!I50=0,"",Model!I50)</f>
        <v/>
      </c>
      <c r="L47" s="194" t="str">
        <f aca="false">IF(Model!J50=0,"",Model!J50)</f>
        <v/>
      </c>
      <c r="M47" s="194" t="str">
        <f aca="false">IF(Model!K50=0,"",Model!K50)</f>
        <v/>
      </c>
      <c r="N47" s="194" t="str">
        <f aca="false">IF(Model!L50=0,"",Model!L50)</f>
        <v/>
      </c>
      <c r="O47" s="194" t="str">
        <f aca="false">IF(Model!M50=0,"",Model!M50)</f>
        <v/>
      </c>
      <c r="P47" s="194" t="str">
        <f aca="false">IF(Model!N50=0,"",Model!N50)</f>
        <v/>
      </c>
      <c r="Q47" s="194" t="str">
        <f aca="false">IF(Model!O50=0,"",Model!O50)</f>
        <v/>
      </c>
      <c r="R47" s="194" t="str">
        <f aca="false">IF(Model!P50=0,"",Model!P50)</f>
        <v/>
      </c>
      <c r="S47" s="194" t="str">
        <f aca="false">IF(Model!Q50=0,"",Model!Q50)</f>
        <v/>
      </c>
      <c r="T47" s="194" t="str">
        <f aca="false">IF(Model!R50=0,"",Model!R50)</f>
        <v/>
      </c>
      <c r="U47" s="194" t="str">
        <f aca="false">IF(Model!S50=0,"",Model!S50)</f>
        <v/>
      </c>
      <c r="V47" s="194" t="str">
        <f aca="false">IF(Model!T50=0,"",Model!T50)</f>
        <v/>
      </c>
      <c r="W47" s="194" t="str">
        <f aca="false">IF(Model!U50=0,"",Model!U50)</f>
        <v/>
      </c>
      <c r="X47" s="194" t="str">
        <f aca="false">IF(Model!V50=0,"",Model!V50)</f>
        <v/>
      </c>
      <c r="Y47" s="194" t="str">
        <f aca="false">IF(Model!W50=0,"",Model!W50)</f>
        <v/>
      </c>
      <c r="Z47" s="194" t="str">
        <f aca="false">IF(Model!X50=0,"",Model!X50)</f>
        <v/>
      </c>
      <c r="AA47" s="194" t="str">
        <f aca="false">IF(Model!Y50=0,"",Model!Y50)</f>
        <v/>
      </c>
      <c r="AB47" s="194" t="str">
        <f aca="false">IF(Model!Z50=0,"",Model!Z50)</f>
        <v/>
      </c>
      <c r="AC47" s="194" t="str">
        <f aca="false">IF(Model!AA50=0,"",Model!AA50)</f>
        <v/>
      </c>
      <c r="AD47" s="194" t="str">
        <f aca="false">IF(Model!AB50=0,"",Model!AB50)</f>
        <v/>
      </c>
      <c r="AE47" s="194" t="str">
        <f aca="false">IF(Model!AC50=0,"",Model!AC50)</f>
        <v/>
      </c>
      <c r="AF47" s="194" t="str">
        <f aca="false">IF(Model!AD50=0,"",Model!AD50)</f>
        <v/>
      </c>
      <c r="AG47" s="194" t="str">
        <f aca="false">IF(Model!AE50=0,"",Model!AE50)</f>
        <v/>
      </c>
      <c r="AH47" s="194" t="str">
        <f aca="false">IF(Model!AF50=0,"",Model!AF50)</f>
        <v/>
      </c>
      <c r="AI47" s="194" t="str">
        <f aca="false">IF(Model!AG50=0,"",Model!AG50)</f>
        <v/>
      </c>
      <c r="AJ47" s="194" t="str">
        <f aca="false">IF(Model!AH50=0,"",Model!AH50)</f>
        <v/>
      </c>
      <c r="AK47" s="194" t="str">
        <f aca="false">IF(Model!AI50=0,"",Model!AI50)</f>
        <v/>
      </c>
      <c r="AL47" s="194" t="str">
        <f aca="false">IF(Model!AJ50=0,"",Model!AJ50)</f>
        <v/>
      </c>
      <c r="AM47" s="194" t="str">
        <f aca="false">IF(Model!AK50=0,"",Model!AK50)</f>
        <v/>
      </c>
      <c r="AN47" s="194" t="str">
        <f aca="false">IF(Model!AL50=0,"",Model!AL50)</f>
        <v/>
      </c>
      <c r="AO47" s="194" t="str">
        <f aca="false">IF(Model!AM50=0,"",Model!AM50)</f>
        <v/>
      </c>
      <c r="AP47" s="194" t="str">
        <f aca="false">IF(Model!AN50=0,"",Model!AN50)</f>
        <v/>
      </c>
      <c r="AQ47" s="194" t="str">
        <f aca="false">IF(Model!AO50=0,"",Model!AO50)</f>
        <v/>
      </c>
      <c r="AR47" s="194" t="str">
        <f aca="false">IF(Model!AP50=0,"",Model!AP50)</f>
        <v/>
      </c>
      <c r="AS47" s="194" t="str">
        <f aca="false">IF(Model!AQ50=0,"",Model!AQ50)</f>
        <v/>
      </c>
      <c r="AT47" s="194" t="str">
        <f aca="false">IF(Model!AR50=0,"",Model!AR50)</f>
        <v/>
      </c>
      <c r="AU47" s="194" t="str">
        <f aca="false">IF(Model!AS50=0,"",Model!AS50)</f>
        <v/>
      </c>
      <c r="AV47" s="194" t="str">
        <f aca="false">IF(Model!AT50=0,"",Model!AT50)</f>
        <v/>
      </c>
      <c r="AW47" s="194" t="str">
        <f aca="false">IF(Model!AU50=0,"",Model!AU50)</f>
        <v/>
      </c>
      <c r="AX47" s="194" t="str">
        <f aca="false">IF(Model!AV50=0,"",Model!AV50)</f>
        <v/>
      </c>
      <c r="AY47" s="194" t="str">
        <f aca="false">IF(Model!AW50=0,"",Model!AW50)</f>
        <v/>
      </c>
      <c r="AZ47" s="194" t="str">
        <f aca="false">IF(Model!AX50=0,"",Model!AX50)</f>
        <v/>
      </c>
      <c r="BA47" s="194" t="str">
        <f aca="false">IF(Model!AY50=0,"",Model!AY50)</f>
        <v/>
      </c>
      <c r="BB47" s="194" t="str">
        <f aca="false">IF(Model!AZ50=0,"",Model!AZ50)</f>
        <v/>
      </c>
      <c r="BC47" s="194" t="str">
        <f aca="false">IF(Model!BA50=0,"",Model!BA50)</f>
        <v/>
      </c>
      <c r="BD47" s="194" t="str">
        <f aca="false">IF(Model!BB50=0,"",Model!BB50)</f>
        <v/>
      </c>
      <c r="BE47" s="194" t="str">
        <f aca="false">IF(Model!BC50=0,"",Model!BC50)</f>
        <v/>
      </c>
      <c r="BF47" s="194" t="str">
        <f aca="false">IF(Model!BD50=0,"",Model!BD50)</f>
        <v/>
      </c>
      <c r="BG47" s="194" t="str">
        <f aca="false">IF(Model!BE50=0,"",Model!BE50)</f>
        <v/>
      </c>
      <c r="BH47" s="194" t="str">
        <f aca="false">IF(Model!BF50=0,"",Model!BF50)</f>
        <v/>
      </c>
      <c r="BI47" s="194" t="str">
        <f aca="false">IF(Model!BG50=0,"",Model!BG50)</f>
        <v/>
      </c>
      <c r="BJ47" s="194" t="str">
        <f aca="false">IF(Model!BH50=0,"",Model!BH50)</f>
        <v/>
      </c>
      <c r="BK47" s="194" t="str">
        <f aca="false">IF(Model!BI50=0,"",Model!BI50)</f>
        <v/>
      </c>
      <c r="BL47" s="194" t="str">
        <f aca="false">IF(Model!BJ50=0,"",Model!BJ50)</f>
        <v/>
      </c>
      <c r="BM47" s="194" t="str">
        <f aca="false">IF(Model!BK50=0,"",Model!BK50)</f>
        <v/>
      </c>
      <c r="BN47" s="194" t="str">
        <f aca="false">IF(Model!BL50=0,"",Model!BL50)</f>
        <v/>
      </c>
      <c r="BO47" s="194" t="str">
        <f aca="false">IF(Model!BM50=0,"",Model!BM50)</f>
        <v/>
      </c>
      <c r="BP47" s="194" t="str">
        <f aca="false">IF(Model!BN50=0,"",Model!BN50)</f>
        <v/>
      </c>
      <c r="BQ47" s="194" t="str">
        <f aca="false">IF(Model!BO50=0,"",Model!BO50)</f>
        <v/>
      </c>
      <c r="BR47" s="194" t="str">
        <f aca="false">IF(Model!BP50=0,"",Model!BP50)</f>
        <v/>
      </c>
      <c r="BS47" s="194" t="str">
        <f aca="false">IF(Model!BQ50=0,"",Model!BQ50)</f>
        <v/>
      </c>
      <c r="BT47" s="194" t="str">
        <f aca="false">IF(Model!BR50=0,"",Model!BR50)</f>
        <v/>
      </c>
      <c r="BU47" s="194" t="str">
        <f aca="false">IF(Model!BS50=0,"",Model!BS50)</f>
        <v/>
      </c>
      <c r="BV47" s="194" t="str">
        <f aca="false">IF(Model!BT50=0,"",Model!BT50)</f>
        <v/>
      </c>
      <c r="BW47" s="194" t="str">
        <f aca="false">IF(Model!BU50=0,"",Model!BU50)</f>
        <v/>
      </c>
      <c r="BX47" s="194" t="str">
        <f aca="false">IF(Model!BV50=0,"",Model!BV50)</f>
        <v/>
      </c>
      <c r="BY47" s="194" t="str">
        <f aca="false">IF(Model!BW50=0,"",Model!BW50)</f>
        <v/>
      </c>
      <c r="BZ47" s="194" t="str">
        <f aca="false">IF(Model!BX50=0,"",Model!BX50)</f>
        <v/>
      </c>
      <c r="CA47" s="194" t="str">
        <f aca="false">IF(Model!BY50=0,"",Model!BY50)</f>
        <v/>
      </c>
      <c r="CB47" s="194" t="str">
        <f aca="false">IF(Model!BZ50=0,"",Model!BZ50)</f>
        <v/>
      </c>
      <c r="CC47" s="194" t="str">
        <f aca="false">IF(Model!CA50=0,"",Model!CA50)</f>
        <v/>
      </c>
      <c r="CD47" s="194" t="str">
        <f aca="false">IF(Model!CB50=0,"",Model!CB50)</f>
        <v/>
      </c>
      <c r="CE47" s="194" t="str">
        <f aca="false">IF(Model!CC50=0,"",Model!CC50)</f>
        <v/>
      </c>
      <c r="CF47" s="194" t="str">
        <f aca="false">IF(Model!CD50=0,"",Model!CD50)</f>
        <v/>
      </c>
      <c r="CG47" s="194" t="str">
        <f aca="false">IF(Model!CE50=0,"",Model!CE50)</f>
        <v/>
      </c>
      <c r="CH47" s="194" t="str">
        <f aca="false">IF(Model!CF50=0,"",Model!CF50)</f>
        <v/>
      </c>
      <c r="CI47" s="194" t="str">
        <f aca="false">IF(Model!CG50=0,"",Model!CG50)</f>
        <v/>
      </c>
      <c r="CJ47" s="194" t="str">
        <f aca="false">IF(Model!CH50=0,"",Model!CH50)</f>
        <v/>
      </c>
      <c r="CK47" s="194" t="str">
        <f aca="false">IF(Model!CI50=0,"",Model!CI50)</f>
        <v/>
      </c>
      <c r="CL47" s="194" t="str">
        <f aca="false">IF(Model!CJ50=0,"",Model!CJ50)</f>
        <v/>
      </c>
      <c r="CM47" s="194" t="str">
        <f aca="false">IF(Model!CK50=0,"",Model!CK50)</f>
        <v/>
      </c>
      <c r="CN47" s="194" t="str">
        <f aca="false">IF(Model!CL50=0,"",Model!CL50)</f>
        <v/>
      </c>
      <c r="CO47" s="194" t="str">
        <f aca="false">IF(Model!CM50=0,"",Model!CM50)</f>
        <v/>
      </c>
      <c r="CP47" s="194" t="str">
        <f aca="false">IF(Model!CN50=0,"",Model!CN50)</f>
        <v/>
      </c>
      <c r="CQ47" s="194" t="str">
        <f aca="false">IF(Model!CO50=0,"",Model!CO50)</f>
        <v/>
      </c>
      <c r="CR47" s="194" t="str">
        <f aca="false">IF(Model!CP50=0,"",Model!CP50)</f>
        <v/>
      </c>
      <c r="CS47" s="194" t="str">
        <f aca="false">IF(Model!CQ50=0,"",Model!CQ50)</f>
        <v/>
      </c>
      <c r="CT47" s="194" t="str">
        <f aca="false">IF(Model!CR50=0,"",Model!CR50)</f>
        <v/>
      </c>
      <c r="CU47" s="194" t="str">
        <f aca="false">IF(Model!CS50=0,"",Model!CS50)</f>
        <v/>
      </c>
      <c r="CV47" s="194" t="str">
        <f aca="false">IF(Model!CT50=0,"",Model!CT50)</f>
        <v/>
      </c>
      <c r="CW47" s="194" t="str">
        <f aca="false">IF(Model!CU50=0,"",Model!CU50)</f>
        <v/>
      </c>
      <c r="CX47" s="194" t="str">
        <f aca="false">IF(Model!CV50=0,"",Model!CV50)</f>
        <v/>
      </c>
      <c r="CY47" s="194" t="str">
        <f aca="false">IF(Model!CW50=0,"",Model!CW50)</f>
        <v/>
      </c>
      <c r="CZ47" s="194" t="str">
        <f aca="false">IF(Model!CX50=0,"",Model!CX50)</f>
        <v/>
      </c>
      <c r="DA47" s="194" t="str">
        <f aca="false">IF(Model!CY50=0,"",Model!CY50)</f>
        <v/>
      </c>
      <c r="DB47" s="194" t="str">
        <f aca="false">IF(Model!CZ50=0,"",Model!CZ50)</f>
        <v/>
      </c>
    </row>
    <row r="48" customFormat="false" ht="15" hidden="false" customHeight="true" outlineLevel="0" collapsed="false">
      <c r="A48" s="125" t="s">
        <v>45</v>
      </c>
      <c r="B48" s="191" t="n">
        <f aca="false">Projects!$B$42</f>
        <v>18000000</v>
      </c>
      <c r="C48" s="192" t="n">
        <f aca="false">EDATE(Model!$E$2,Projects!$C$42-1)</f>
        <v>48335</v>
      </c>
      <c r="D48" s="192" t="n">
        <f aca="false">EDATE(Model!$E$2,Projects!$C$42+Projects!$D$42-2)</f>
        <v>48884</v>
      </c>
      <c r="E48" s="193" t="n">
        <f aca="false">Projects!$D$42</f>
        <v>19</v>
      </c>
      <c r="F48" s="191" t="n">
        <f aca="false">SUM(G48:DB48)</f>
        <v>0</v>
      </c>
      <c r="G48" s="194" t="str">
        <f aca="false">IF(Model!E51=0,"",Model!E51)</f>
        <v/>
      </c>
      <c r="H48" s="194" t="str">
        <f aca="false">IF(Model!F51=0,"",Model!F51)</f>
        <v/>
      </c>
      <c r="I48" s="194" t="str">
        <f aca="false">IF(Model!G51=0,"",Model!G51)</f>
        <v/>
      </c>
      <c r="J48" s="194" t="str">
        <f aca="false">IF(Model!H51=0,"",Model!H51)</f>
        <v/>
      </c>
      <c r="K48" s="194" t="str">
        <f aca="false">IF(Model!I51=0,"",Model!I51)</f>
        <v/>
      </c>
      <c r="L48" s="194" t="str">
        <f aca="false">IF(Model!J51=0,"",Model!J51)</f>
        <v/>
      </c>
      <c r="M48" s="194" t="str">
        <f aca="false">IF(Model!K51=0,"",Model!K51)</f>
        <v/>
      </c>
      <c r="N48" s="194" t="str">
        <f aca="false">IF(Model!L51=0,"",Model!L51)</f>
        <v/>
      </c>
      <c r="O48" s="194" t="str">
        <f aca="false">IF(Model!M51=0,"",Model!M51)</f>
        <v/>
      </c>
      <c r="P48" s="194" t="str">
        <f aca="false">IF(Model!N51=0,"",Model!N51)</f>
        <v/>
      </c>
      <c r="Q48" s="194" t="str">
        <f aca="false">IF(Model!O51=0,"",Model!O51)</f>
        <v/>
      </c>
      <c r="R48" s="194" t="str">
        <f aca="false">IF(Model!P51=0,"",Model!P51)</f>
        <v/>
      </c>
      <c r="S48" s="194" t="str">
        <f aca="false">IF(Model!Q51=0,"",Model!Q51)</f>
        <v/>
      </c>
      <c r="T48" s="194" t="str">
        <f aca="false">IF(Model!R51=0,"",Model!R51)</f>
        <v/>
      </c>
      <c r="U48" s="194" t="str">
        <f aca="false">IF(Model!S51=0,"",Model!S51)</f>
        <v/>
      </c>
      <c r="V48" s="194" t="str">
        <f aca="false">IF(Model!T51=0,"",Model!T51)</f>
        <v/>
      </c>
      <c r="W48" s="194" t="str">
        <f aca="false">IF(Model!U51=0,"",Model!U51)</f>
        <v/>
      </c>
      <c r="X48" s="194" t="str">
        <f aca="false">IF(Model!V51=0,"",Model!V51)</f>
        <v/>
      </c>
      <c r="Y48" s="194" t="str">
        <f aca="false">IF(Model!W51=0,"",Model!W51)</f>
        <v/>
      </c>
      <c r="Z48" s="194" t="str">
        <f aca="false">IF(Model!X51=0,"",Model!X51)</f>
        <v/>
      </c>
      <c r="AA48" s="194" t="str">
        <f aca="false">IF(Model!Y51=0,"",Model!Y51)</f>
        <v/>
      </c>
      <c r="AB48" s="194" t="str">
        <f aca="false">IF(Model!Z51=0,"",Model!Z51)</f>
        <v/>
      </c>
      <c r="AC48" s="194" t="str">
        <f aca="false">IF(Model!AA51=0,"",Model!AA51)</f>
        <v/>
      </c>
      <c r="AD48" s="194" t="str">
        <f aca="false">IF(Model!AB51=0,"",Model!AB51)</f>
        <v/>
      </c>
      <c r="AE48" s="194" t="str">
        <f aca="false">IF(Model!AC51=0,"",Model!AC51)</f>
        <v/>
      </c>
      <c r="AF48" s="194" t="str">
        <f aca="false">IF(Model!AD51=0,"",Model!AD51)</f>
        <v/>
      </c>
      <c r="AG48" s="194" t="str">
        <f aca="false">IF(Model!AE51=0,"",Model!AE51)</f>
        <v/>
      </c>
      <c r="AH48" s="194" t="str">
        <f aca="false">IF(Model!AF51=0,"",Model!AF51)</f>
        <v/>
      </c>
      <c r="AI48" s="194" t="str">
        <f aca="false">IF(Model!AG51=0,"",Model!AG51)</f>
        <v/>
      </c>
      <c r="AJ48" s="194" t="str">
        <f aca="false">IF(Model!AH51=0,"",Model!AH51)</f>
        <v/>
      </c>
      <c r="AK48" s="194" t="str">
        <f aca="false">IF(Model!AI51=0,"",Model!AI51)</f>
        <v/>
      </c>
      <c r="AL48" s="194" t="str">
        <f aca="false">IF(Model!AJ51=0,"",Model!AJ51)</f>
        <v/>
      </c>
      <c r="AM48" s="194" t="str">
        <f aca="false">IF(Model!AK51=0,"",Model!AK51)</f>
        <v/>
      </c>
      <c r="AN48" s="194" t="str">
        <f aca="false">IF(Model!AL51=0,"",Model!AL51)</f>
        <v/>
      </c>
      <c r="AO48" s="194" t="str">
        <f aca="false">IF(Model!AM51=0,"",Model!AM51)</f>
        <v/>
      </c>
      <c r="AP48" s="194" t="str">
        <f aca="false">IF(Model!AN51=0,"",Model!AN51)</f>
        <v/>
      </c>
      <c r="AQ48" s="194" t="str">
        <f aca="false">IF(Model!AO51=0,"",Model!AO51)</f>
        <v/>
      </c>
      <c r="AR48" s="194" t="str">
        <f aca="false">IF(Model!AP51=0,"",Model!AP51)</f>
        <v/>
      </c>
      <c r="AS48" s="194" t="str">
        <f aca="false">IF(Model!AQ51=0,"",Model!AQ51)</f>
        <v/>
      </c>
      <c r="AT48" s="194" t="str">
        <f aca="false">IF(Model!AR51=0,"",Model!AR51)</f>
        <v/>
      </c>
      <c r="AU48" s="194" t="str">
        <f aca="false">IF(Model!AS51=0,"",Model!AS51)</f>
        <v/>
      </c>
      <c r="AV48" s="194" t="str">
        <f aca="false">IF(Model!AT51=0,"",Model!AT51)</f>
        <v/>
      </c>
      <c r="AW48" s="194" t="str">
        <f aca="false">IF(Model!AU51=0,"",Model!AU51)</f>
        <v/>
      </c>
      <c r="AX48" s="194" t="str">
        <f aca="false">IF(Model!AV51=0,"",Model!AV51)</f>
        <v/>
      </c>
      <c r="AY48" s="194" t="str">
        <f aca="false">IF(Model!AW51=0,"",Model!AW51)</f>
        <v/>
      </c>
      <c r="AZ48" s="194" t="str">
        <f aca="false">IF(Model!AX51=0,"",Model!AX51)</f>
        <v/>
      </c>
      <c r="BA48" s="194" t="str">
        <f aca="false">IF(Model!AY51=0,"",Model!AY51)</f>
        <v/>
      </c>
      <c r="BB48" s="194" t="str">
        <f aca="false">IF(Model!AZ51=0,"",Model!AZ51)</f>
        <v/>
      </c>
      <c r="BC48" s="194" t="str">
        <f aca="false">IF(Model!BA51=0,"",Model!BA51)</f>
        <v/>
      </c>
      <c r="BD48" s="194" t="str">
        <f aca="false">IF(Model!BB51=0,"",Model!BB51)</f>
        <v/>
      </c>
      <c r="BE48" s="194" t="str">
        <f aca="false">IF(Model!BC51=0,"",Model!BC51)</f>
        <v/>
      </c>
      <c r="BF48" s="194" t="str">
        <f aca="false">IF(Model!BD51=0,"",Model!BD51)</f>
        <v/>
      </c>
      <c r="BG48" s="194" t="str">
        <f aca="false">IF(Model!BE51=0,"",Model!BE51)</f>
        <v/>
      </c>
      <c r="BH48" s="194" t="str">
        <f aca="false">IF(Model!BF51=0,"",Model!BF51)</f>
        <v/>
      </c>
      <c r="BI48" s="194" t="str">
        <f aca="false">IF(Model!BG51=0,"",Model!BG51)</f>
        <v/>
      </c>
      <c r="BJ48" s="194" t="str">
        <f aca="false">IF(Model!BH51=0,"",Model!BH51)</f>
        <v/>
      </c>
      <c r="BK48" s="194" t="str">
        <f aca="false">IF(Model!BI51=0,"",Model!BI51)</f>
        <v/>
      </c>
      <c r="BL48" s="194" t="str">
        <f aca="false">IF(Model!BJ51=0,"",Model!BJ51)</f>
        <v/>
      </c>
      <c r="BM48" s="194" t="str">
        <f aca="false">IF(Model!BK51=0,"",Model!BK51)</f>
        <v/>
      </c>
      <c r="BN48" s="194" t="str">
        <f aca="false">IF(Model!BL51=0,"",Model!BL51)</f>
        <v/>
      </c>
      <c r="BO48" s="194" t="str">
        <f aca="false">IF(Model!BM51=0,"",Model!BM51)</f>
        <v/>
      </c>
      <c r="BP48" s="194" t="str">
        <f aca="false">IF(Model!BN51=0,"",Model!BN51)</f>
        <v/>
      </c>
      <c r="BQ48" s="194" t="str">
        <f aca="false">IF(Model!BO51=0,"",Model!BO51)</f>
        <v/>
      </c>
      <c r="BR48" s="194" t="str">
        <f aca="false">IF(Model!BP51=0,"",Model!BP51)</f>
        <v/>
      </c>
      <c r="BS48" s="194" t="str">
        <f aca="false">IF(Model!BQ51=0,"",Model!BQ51)</f>
        <v/>
      </c>
      <c r="BT48" s="194" t="str">
        <f aca="false">IF(Model!BR51=0,"",Model!BR51)</f>
        <v/>
      </c>
      <c r="BU48" s="194" t="str">
        <f aca="false">IF(Model!BS51=0,"",Model!BS51)</f>
        <v/>
      </c>
      <c r="BV48" s="194" t="str">
        <f aca="false">IF(Model!BT51=0,"",Model!BT51)</f>
        <v/>
      </c>
      <c r="BW48" s="194" t="str">
        <f aca="false">IF(Model!BU51=0,"",Model!BU51)</f>
        <v/>
      </c>
      <c r="BX48" s="194" t="str">
        <f aca="false">IF(Model!BV51=0,"",Model!BV51)</f>
        <v/>
      </c>
      <c r="BY48" s="194" t="str">
        <f aca="false">IF(Model!BW51=0,"",Model!BW51)</f>
        <v/>
      </c>
      <c r="BZ48" s="194" t="str">
        <f aca="false">IF(Model!BX51=0,"",Model!BX51)</f>
        <v/>
      </c>
      <c r="CA48" s="194" t="str">
        <f aca="false">IF(Model!BY51=0,"",Model!BY51)</f>
        <v/>
      </c>
      <c r="CB48" s="194" t="str">
        <f aca="false">IF(Model!BZ51=0,"",Model!BZ51)</f>
        <v/>
      </c>
      <c r="CC48" s="194" t="str">
        <f aca="false">IF(Model!CA51=0,"",Model!CA51)</f>
        <v/>
      </c>
      <c r="CD48" s="194" t="str">
        <f aca="false">IF(Model!CB51=0,"",Model!CB51)</f>
        <v/>
      </c>
      <c r="CE48" s="194" t="str">
        <f aca="false">IF(Model!CC51=0,"",Model!CC51)</f>
        <v/>
      </c>
      <c r="CF48" s="194" t="str">
        <f aca="false">IF(Model!CD51=0,"",Model!CD51)</f>
        <v/>
      </c>
      <c r="CG48" s="194" t="str">
        <f aca="false">IF(Model!CE51=0,"",Model!CE51)</f>
        <v/>
      </c>
      <c r="CH48" s="194" t="str">
        <f aca="false">IF(Model!CF51=0,"",Model!CF51)</f>
        <v/>
      </c>
      <c r="CI48" s="194" t="str">
        <f aca="false">IF(Model!CG51=0,"",Model!CG51)</f>
        <v/>
      </c>
      <c r="CJ48" s="194" t="str">
        <f aca="false">IF(Model!CH51=0,"",Model!CH51)</f>
        <v/>
      </c>
      <c r="CK48" s="194" t="str">
        <f aca="false">IF(Model!CI51=0,"",Model!CI51)</f>
        <v/>
      </c>
      <c r="CL48" s="194" t="str">
        <f aca="false">IF(Model!CJ51=0,"",Model!CJ51)</f>
        <v/>
      </c>
      <c r="CM48" s="194" t="str">
        <f aca="false">IF(Model!CK51=0,"",Model!CK51)</f>
        <v/>
      </c>
      <c r="CN48" s="194" t="str">
        <f aca="false">IF(Model!CL51=0,"",Model!CL51)</f>
        <v/>
      </c>
      <c r="CO48" s="194" t="str">
        <f aca="false">IF(Model!CM51=0,"",Model!CM51)</f>
        <v/>
      </c>
      <c r="CP48" s="194" t="str">
        <f aca="false">IF(Model!CN51=0,"",Model!CN51)</f>
        <v/>
      </c>
      <c r="CQ48" s="194" t="str">
        <f aca="false">IF(Model!CO51=0,"",Model!CO51)</f>
        <v/>
      </c>
      <c r="CR48" s="194" t="str">
        <f aca="false">IF(Model!CP51=0,"",Model!CP51)</f>
        <v/>
      </c>
      <c r="CS48" s="194" t="str">
        <f aca="false">IF(Model!CQ51=0,"",Model!CQ51)</f>
        <v/>
      </c>
      <c r="CT48" s="194" t="str">
        <f aca="false">IF(Model!CR51=0,"",Model!CR51)</f>
        <v/>
      </c>
      <c r="CU48" s="194" t="str">
        <f aca="false">IF(Model!CS51=0,"",Model!CS51)</f>
        <v/>
      </c>
      <c r="CV48" s="194" t="str">
        <f aca="false">IF(Model!CT51=0,"",Model!CT51)</f>
        <v/>
      </c>
      <c r="CW48" s="194" t="str">
        <f aca="false">IF(Model!CU51=0,"",Model!CU51)</f>
        <v/>
      </c>
      <c r="CX48" s="194" t="str">
        <f aca="false">IF(Model!CV51=0,"",Model!CV51)</f>
        <v/>
      </c>
      <c r="CY48" s="194" t="str">
        <f aca="false">IF(Model!CW51=0,"",Model!CW51)</f>
        <v/>
      </c>
      <c r="CZ48" s="194" t="str">
        <f aca="false">IF(Model!CX51=0,"",Model!CX51)</f>
        <v/>
      </c>
      <c r="DA48" s="194" t="str">
        <f aca="false">IF(Model!CY51=0,"",Model!CY51)</f>
        <v/>
      </c>
      <c r="DB48" s="194" t="str">
        <f aca="false">IF(Model!CZ51=0,"",Model!CZ51)</f>
        <v/>
      </c>
    </row>
    <row r="49" customFormat="false" ht="15" hidden="false" customHeight="true" outlineLevel="0" collapsed="false">
      <c r="A49" s="125" t="s">
        <v>46</v>
      </c>
      <c r="B49" s="191" t="n">
        <f aca="false">Projects!$B$43</f>
        <v>15000000</v>
      </c>
      <c r="C49" s="192" t="n">
        <f aca="false">EDATE(Model!$E$2,Projects!$C$43-1)</f>
        <v>48396</v>
      </c>
      <c r="D49" s="192" t="n">
        <f aca="false">EDATE(Model!$E$2,Projects!$C$43+Projects!$D$43-2)</f>
        <v>48945</v>
      </c>
      <c r="E49" s="193" t="n">
        <f aca="false">Projects!$D$43</f>
        <v>19</v>
      </c>
      <c r="F49" s="191" t="n">
        <f aca="false">SUM(G49:DB49)</f>
        <v>0</v>
      </c>
      <c r="G49" s="194" t="str">
        <f aca="false">IF(Model!E52=0,"",Model!E52)</f>
        <v/>
      </c>
      <c r="H49" s="194" t="str">
        <f aca="false">IF(Model!F52=0,"",Model!F52)</f>
        <v/>
      </c>
      <c r="I49" s="194" t="str">
        <f aca="false">IF(Model!G52=0,"",Model!G52)</f>
        <v/>
      </c>
      <c r="J49" s="194" t="str">
        <f aca="false">IF(Model!H52=0,"",Model!H52)</f>
        <v/>
      </c>
      <c r="K49" s="194" t="str">
        <f aca="false">IF(Model!I52=0,"",Model!I52)</f>
        <v/>
      </c>
      <c r="L49" s="194" t="str">
        <f aca="false">IF(Model!J52=0,"",Model!J52)</f>
        <v/>
      </c>
      <c r="M49" s="194" t="str">
        <f aca="false">IF(Model!K52=0,"",Model!K52)</f>
        <v/>
      </c>
      <c r="N49" s="194" t="str">
        <f aca="false">IF(Model!L52=0,"",Model!L52)</f>
        <v/>
      </c>
      <c r="O49" s="194" t="str">
        <f aca="false">IF(Model!M52=0,"",Model!M52)</f>
        <v/>
      </c>
      <c r="P49" s="194" t="str">
        <f aca="false">IF(Model!N52=0,"",Model!N52)</f>
        <v/>
      </c>
      <c r="Q49" s="194" t="str">
        <f aca="false">IF(Model!O52=0,"",Model!O52)</f>
        <v/>
      </c>
      <c r="R49" s="194" t="str">
        <f aca="false">IF(Model!P52=0,"",Model!P52)</f>
        <v/>
      </c>
      <c r="S49" s="194" t="str">
        <f aca="false">IF(Model!Q52=0,"",Model!Q52)</f>
        <v/>
      </c>
      <c r="T49" s="194" t="str">
        <f aca="false">IF(Model!R52=0,"",Model!R52)</f>
        <v/>
      </c>
      <c r="U49" s="194" t="str">
        <f aca="false">IF(Model!S52=0,"",Model!S52)</f>
        <v/>
      </c>
      <c r="V49" s="194" t="str">
        <f aca="false">IF(Model!T52=0,"",Model!T52)</f>
        <v/>
      </c>
      <c r="W49" s="194" t="str">
        <f aca="false">IF(Model!U52=0,"",Model!U52)</f>
        <v/>
      </c>
      <c r="X49" s="194" t="str">
        <f aca="false">IF(Model!V52=0,"",Model!V52)</f>
        <v/>
      </c>
      <c r="Y49" s="194" t="str">
        <f aca="false">IF(Model!W52=0,"",Model!W52)</f>
        <v/>
      </c>
      <c r="Z49" s="194" t="str">
        <f aca="false">IF(Model!X52=0,"",Model!X52)</f>
        <v/>
      </c>
      <c r="AA49" s="194" t="str">
        <f aca="false">IF(Model!Y52=0,"",Model!Y52)</f>
        <v/>
      </c>
      <c r="AB49" s="194" t="str">
        <f aca="false">IF(Model!Z52=0,"",Model!Z52)</f>
        <v/>
      </c>
      <c r="AC49" s="194" t="str">
        <f aca="false">IF(Model!AA52=0,"",Model!AA52)</f>
        <v/>
      </c>
      <c r="AD49" s="194" t="str">
        <f aca="false">IF(Model!AB52=0,"",Model!AB52)</f>
        <v/>
      </c>
      <c r="AE49" s="194" t="str">
        <f aca="false">IF(Model!AC52=0,"",Model!AC52)</f>
        <v/>
      </c>
      <c r="AF49" s="194" t="str">
        <f aca="false">IF(Model!AD52=0,"",Model!AD52)</f>
        <v/>
      </c>
      <c r="AG49" s="194" t="str">
        <f aca="false">IF(Model!AE52=0,"",Model!AE52)</f>
        <v/>
      </c>
      <c r="AH49" s="194" t="str">
        <f aca="false">IF(Model!AF52=0,"",Model!AF52)</f>
        <v/>
      </c>
      <c r="AI49" s="194" t="str">
        <f aca="false">IF(Model!AG52=0,"",Model!AG52)</f>
        <v/>
      </c>
      <c r="AJ49" s="194" t="str">
        <f aca="false">IF(Model!AH52=0,"",Model!AH52)</f>
        <v/>
      </c>
      <c r="AK49" s="194" t="str">
        <f aca="false">IF(Model!AI52=0,"",Model!AI52)</f>
        <v/>
      </c>
      <c r="AL49" s="194" t="str">
        <f aca="false">IF(Model!AJ52=0,"",Model!AJ52)</f>
        <v/>
      </c>
      <c r="AM49" s="194" t="str">
        <f aca="false">IF(Model!AK52=0,"",Model!AK52)</f>
        <v/>
      </c>
      <c r="AN49" s="194" t="str">
        <f aca="false">IF(Model!AL52=0,"",Model!AL52)</f>
        <v/>
      </c>
      <c r="AO49" s="194" t="str">
        <f aca="false">IF(Model!AM52=0,"",Model!AM52)</f>
        <v/>
      </c>
      <c r="AP49" s="194" t="str">
        <f aca="false">IF(Model!AN52=0,"",Model!AN52)</f>
        <v/>
      </c>
      <c r="AQ49" s="194" t="str">
        <f aca="false">IF(Model!AO52=0,"",Model!AO52)</f>
        <v/>
      </c>
      <c r="AR49" s="194" t="str">
        <f aca="false">IF(Model!AP52=0,"",Model!AP52)</f>
        <v/>
      </c>
      <c r="AS49" s="194" t="str">
        <f aca="false">IF(Model!AQ52=0,"",Model!AQ52)</f>
        <v/>
      </c>
      <c r="AT49" s="194" t="str">
        <f aca="false">IF(Model!AR52=0,"",Model!AR52)</f>
        <v/>
      </c>
      <c r="AU49" s="194" t="str">
        <f aca="false">IF(Model!AS52=0,"",Model!AS52)</f>
        <v/>
      </c>
      <c r="AV49" s="194" t="str">
        <f aca="false">IF(Model!AT52=0,"",Model!AT52)</f>
        <v/>
      </c>
      <c r="AW49" s="194" t="str">
        <f aca="false">IF(Model!AU52=0,"",Model!AU52)</f>
        <v/>
      </c>
      <c r="AX49" s="194" t="str">
        <f aca="false">IF(Model!AV52=0,"",Model!AV52)</f>
        <v/>
      </c>
      <c r="AY49" s="194" t="str">
        <f aca="false">IF(Model!AW52=0,"",Model!AW52)</f>
        <v/>
      </c>
      <c r="AZ49" s="194" t="str">
        <f aca="false">IF(Model!AX52=0,"",Model!AX52)</f>
        <v/>
      </c>
      <c r="BA49" s="194" t="str">
        <f aca="false">IF(Model!AY52=0,"",Model!AY52)</f>
        <v/>
      </c>
      <c r="BB49" s="194" t="str">
        <f aca="false">IF(Model!AZ52=0,"",Model!AZ52)</f>
        <v/>
      </c>
      <c r="BC49" s="194" t="str">
        <f aca="false">IF(Model!BA52=0,"",Model!BA52)</f>
        <v/>
      </c>
      <c r="BD49" s="194" t="str">
        <f aca="false">IF(Model!BB52=0,"",Model!BB52)</f>
        <v/>
      </c>
      <c r="BE49" s="194" t="str">
        <f aca="false">IF(Model!BC52=0,"",Model!BC52)</f>
        <v/>
      </c>
      <c r="BF49" s="194" t="str">
        <f aca="false">IF(Model!BD52=0,"",Model!BD52)</f>
        <v/>
      </c>
      <c r="BG49" s="194" t="str">
        <f aca="false">IF(Model!BE52=0,"",Model!BE52)</f>
        <v/>
      </c>
      <c r="BH49" s="194" t="str">
        <f aca="false">IF(Model!BF52=0,"",Model!BF52)</f>
        <v/>
      </c>
      <c r="BI49" s="194" t="str">
        <f aca="false">IF(Model!BG52=0,"",Model!BG52)</f>
        <v/>
      </c>
      <c r="BJ49" s="194" t="str">
        <f aca="false">IF(Model!BH52=0,"",Model!BH52)</f>
        <v/>
      </c>
      <c r="BK49" s="194" t="str">
        <f aca="false">IF(Model!BI52=0,"",Model!BI52)</f>
        <v/>
      </c>
      <c r="BL49" s="194" t="str">
        <f aca="false">IF(Model!BJ52=0,"",Model!BJ52)</f>
        <v/>
      </c>
      <c r="BM49" s="194" t="str">
        <f aca="false">IF(Model!BK52=0,"",Model!BK52)</f>
        <v/>
      </c>
      <c r="BN49" s="194" t="str">
        <f aca="false">IF(Model!BL52=0,"",Model!BL52)</f>
        <v/>
      </c>
      <c r="BO49" s="194" t="str">
        <f aca="false">IF(Model!BM52=0,"",Model!BM52)</f>
        <v/>
      </c>
      <c r="BP49" s="194" t="str">
        <f aca="false">IF(Model!BN52=0,"",Model!BN52)</f>
        <v/>
      </c>
      <c r="BQ49" s="194" t="str">
        <f aca="false">IF(Model!BO52=0,"",Model!BO52)</f>
        <v/>
      </c>
      <c r="BR49" s="194" t="str">
        <f aca="false">IF(Model!BP52=0,"",Model!BP52)</f>
        <v/>
      </c>
      <c r="BS49" s="194" t="str">
        <f aca="false">IF(Model!BQ52=0,"",Model!BQ52)</f>
        <v/>
      </c>
      <c r="BT49" s="194" t="str">
        <f aca="false">IF(Model!BR52=0,"",Model!BR52)</f>
        <v/>
      </c>
      <c r="BU49" s="194" t="str">
        <f aca="false">IF(Model!BS52=0,"",Model!BS52)</f>
        <v/>
      </c>
      <c r="BV49" s="194" t="str">
        <f aca="false">IF(Model!BT52=0,"",Model!BT52)</f>
        <v/>
      </c>
      <c r="BW49" s="194" t="str">
        <f aca="false">IF(Model!BU52=0,"",Model!BU52)</f>
        <v/>
      </c>
      <c r="BX49" s="194" t="str">
        <f aca="false">IF(Model!BV52=0,"",Model!BV52)</f>
        <v/>
      </c>
      <c r="BY49" s="194" t="str">
        <f aca="false">IF(Model!BW52=0,"",Model!BW52)</f>
        <v/>
      </c>
      <c r="BZ49" s="194" t="str">
        <f aca="false">IF(Model!BX52=0,"",Model!BX52)</f>
        <v/>
      </c>
      <c r="CA49" s="194" t="str">
        <f aca="false">IF(Model!BY52=0,"",Model!BY52)</f>
        <v/>
      </c>
      <c r="CB49" s="194" t="str">
        <f aca="false">IF(Model!BZ52=0,"",Model!BZ52)</f>
        <v/>
      </c>
      <c r="CC49" s="194" t="str">
        <f aca="false">IF(Model!CA52=0,"",Model!CA52)</f>
        <v/>
      </c>
      <c r="CD49" s="194" t="str">
        <f aca="false">IF(Model!CB52=0,"",Model!CB52)</f>
        <v/>
      </c>
      <c r="CE49" s="194" t="str">
        <f aca="false">IF(Model!CC52=0,"",Model!CC52)</f>
        <v/>
      </c>
      <c r="CF49" s="194" t="str">
        <f aca="false">IF(Model!CD52=0,"",Model!CD52)</f>
        <v/>
      </c>
      <c r="CG49" s="194" t="str">
        <f aca="false">IF(Model!CE52=0,"",Model!CE52)</f>
        <v/>
      </c>
      <c r="CH49" s="194" t="str">
        <f aca="false">IF(Model!CF52=0,"",Model!CF52)</f>
        <v/>
      </c>
      <c r="CI49" s="194" t="str">
        <f aca="false">IF(Model!CG52=0,"",Model!CG52)</f>
        <v/>
      </c>
      <c r="CJ49" s="194" t="str">
        <f aca="false">IF(Model!CH52=0,"",Model!CH52)</f>
        <v/>
      </c>
      <c r="CK49" s="194" t="str">
        <f aca="false">IF(Model!CI52=0,"",Model!CI52)</f>
        <v/>
      </c>
      <c r="CL49" s="194" t="str">
        <f aca="false">IF(Model!CJ52=0,"",Model!CJ52)</f>
        <v/>
      </c>
      <c r="CM49" s="194" t="str">
        <f aca="false">IF(Model!CK52=0,"",Model!CK52)</f>
        <v/>
      </c>
      <c r="CN49" s="194" t="str">
        <f aca="false">IF(Model!CL52=0,"",Model!CL52)</f>
        <v/>
      </c>
      <c r="CO49" s="194" t="str">
        <f aca="false">IF(Model!CM52=0,"",Model!CM52)</f>
        <v/>
      </c>
      <c r="CP49" s="194" t="str">
        <f aca="false">IF(Model!CN52=0,"",Model!CN52)</f>
        <v/>
      </c>
      <c r="CQ49" s="194" t="str">
        <f aca="false">IF(Model!CO52=0,"",Model!CO52)</f>
        <v/>
      </c>
      <c r="CR49" s="194" t="str">
        <f aca="false">IF(Model!CP52=0,"",Model!CP52)</f>
        <v/>
      </c>
      <c r="CS49" s="194" t="str">
        <f aca="false">IF(Model!CQ52=0,"",Model!CQ52)</f>
        <v/>
      </c>
      <c r="CT49" s="194" t="str">
        <f aca="false">IF(Model!CR52=0,"",Model!CR52)</f>
        <v/>
      </c>
      <c r="CU49" s="194" t="str">
        <f aca="false">IF(Model!CS52=0,"",Model!CS52)</f>
        <v/>
      </c>
      <c r="CV49" s="194" t="str">
        <f aca="false">IF(Model!CT52=0,"",Model!CT52)</f>
        <v/>
      </c>
      <c r="CW49" s="194" t="str">
        <f aca="false">IF(Model!CU52=0,"",Model!CU52)</f>
        <v/>
      </c>
      <c r="CX49" s="194" t="str">
        <f aca="false">IF(Model!CV52=0,"",Model!CV52)</f>
        <v/>
      </c>
      <c r="CY49" s="194" t="str">
        <f aca="false">IF(Model!CW52=0,"",Model!CW52)</f>
        <v/>
      </c>
      <c r="CZ49" s="194" t="str">
        <f aca="false">IF(Model!CX52=0,"",Model!CX52)</f>
        <v/>
      </c>
      <c r="DA49" s="194" t="str">
        <f aca="false">IF(Model!CY52=0,"",Model!CY52)</f>
        <v/>
      </c>
      <c r="DB49" s="194" t="str">
        <f aca="false">IF(Model!CZ52=0,"",Model!CZ52)</f>
        <v/>
      </c>
    </row>
    <row r="50" customFormat="false" ht="15" hidden="false" customHeight="true" outlineLevel="0" collapsed="false">
      <c r="A50" s="125" t="s">
        <v>47</v>
      </c>
      <c r="B50" s="191" t="n">
        <f aca="false">Projects!$B$44</f>
        <v>15000000</v>
      </c>
      <c r="C50" s="192" t="n">
        <f aca="false">EDATE(Model!$E$2,Projects!$C$44-1)</f>
        <v>48458</v>
      </c>
      <c r="D50" s="192" t="n">
        <f aca="false">EDATE(Model!$E$2,Projects!$C$44+Projects!$D$44-2)</f>
        <v>49004</v>
      </c>
      <c r="E50" s="193" t="n">
        <f aca="false">Projects!$D$44</f>
        <v>19</v>
      </c>
      <c r="F50" s="191" t="n">
        <f aca="false">SUM(G50:DB50)</f>
        <v>0</v>
      </c>
      <c r="G50" s="194" t="str">
        <f aca="false">IF(Model!E53=0,"",Model!E53)</f>
        <v/>
      </c>
      <c r="H50" s="194" t="str">
        <f aca="false">IF(Model!F53=0,"",Model!F53)</f>
        <v/>
      </c>
      <c r="I50" s="194" t="str">
        <f aca="false">IF(Model!G53=0,"",Model!G53)</f>
        <v/>
      </c>
      <c r="J50" s="194" t="str">
        <f aca="false">IF(Model!H53=0,"",Model!H53)</f>
        <v/>
      </c>
      <c r="K50" s="194" t="str">
        <f aca="false">IF(Model!I53=0,"",Model!I53)</f>
        <v/>
      </c>
      <c r="L50" s="194" t="str">
        <f aca="false">IF(Model!J53=0,"",Model!J53)</f>
        <v/>
      </c>
      <c r="M50" s="194" t="str">
        <f aca="false">IF(Model!K53=0,"",Model!K53)</f>
        <v/>
      </c>
      <c r="N50" s="194" t="str">
        <f aca="false">IF(Model!L53=0,"",Model!L53)</f>
        <v/>
      </c>
      <c r="O50" s="194" t="str">
        <f aca="false">IF(Model!M53=0,"",Model!M53)</f>
        <v/>
      </c>
      <c r="P50" s="194" t="str">
        <f aca="false">IF(Model!N53=0,"",Model!N53)</f>
        <v/>
      </c>
      <c r="Q50" s="194" t="str">
        <f aca="false">IF(Model!O53=0,"",Model!O53)</f>
        <v/>
      </c>
      <c r="R50" s="194" t="str">
        <f aca="false">IF(Model!P53=0,"",Model!P53)</f>
        <v/>
      </c>
      <c r="S50" s="194" t="str">
        <f aca="false">IF(Model!Q53=0,"",Model!Q53)</f>
        <v/>
      </c>
      <c r="T50" s="194" t="str">
        <f aca="false">IF(Model!R53=0,"",Model!R53)</f>
        <v/>
      </c>
      <c r="U50" s="194" t="str">
        <f aca="false">IF(Model!S53=0,"",Model!S53)</f>
        <v/>
      </c>
      <c r="V50" s="194" t="str">
        <f aca="false">IF(Model!T53=0,"",Model!T53)</f>
        <v/>
      </c>
      <c r="W50" s="194" t="str">
        <f aca="false">IF(Model!U53=0,"",Model!U53)</f>
        <v/>
      </c>
      <c r="X50" s="194" t="str">
        <f aca="false">IF(Model!V53=0,"",Model!V53)</f>
        <v/>
      </c>
      <c r="Y50" s="194" t="str">
        <f aca="false">IF(Model!W53=0,"",Model!W53)</f>
        <v/>
      </c>
      <c r="Z50" s="194" t="str">
        <f aca="false">IF(Model!X53=0,"",Model!X53)</f>
        <v/>
      </c>
      <c r="AA50" s="194" t="str">
        <f aca="false">IF(Model!Y53=0,"",Model!Y53)</f>
        <v/>
      </c>
      <c r="AB50" s="194" t="str">
        <f aca="false">IF(Model!Z53=0,"",Model!Z53)</f>
        <v/>
      </c>
      <c r="AC50" s="194" t="str">
        <f aca="false">IF(Model!AA53=0,"",Model!AA53)</f>
        <v/>
      </c>
      <c r="AD50" s="194" t="str">
        <f aca="false">IF(Model!AB53=0,"",Model!AB53)</f>
        <v/>
      </c>
      <c r="AE50" s="194" t="str">
        <f aca="false">IF(Model!AC53=0,"",Model!AC53)</f>
        <v/>
      </c>
      <c r="AF50" s="194" t="str">
        <f aca="false">IF(Model!AD53=0,"",Model!AD53)</f>
        <v/>
      </c>
      <c r="AG50" s="194" t="str">
        <f aca="false">IF(Model!AE53=0,"",Model!AE53)</f>
        <v/>
      </c>
      <c r="AH50" s="194" t="str">
        <f aca="false">IF(Model!AF53=0,"",Model!AF53)</f>
        <v/>
      </c>
      <c r="AI50" s="194" t="str">
        <f aca="false">IF(Model!AG53=0,"",Model!AG53)</f>
        <v/>
      </c>
      <c r="AJ50" s="194" t="str">
        <f aca="false">IF(Model!AH53=0,"",Model!AH53)</f>
        <v/>
      </c>
      <c r="AK50" s="194" t="str">
        <f aca="false">IF(Model!AI53=0,"",Model!AI53)</f>
        <v/>
      </c>
      <c r="AL50" s="194" t="str">
        <f aca="false">IF(Model!AJ53=0,"",Model!AJ53)</f>
        <v/>
      </c>
      <c r="AM50" s="194" t="str">
        <f aca="false">IF(Model!AK53=0,"",Model!AK53)</f>
        <v/>
      </c>
      <c r="AN50" s="194" t="str">
        <f aca="false">IF(Model!AL53=0,"",Model!AL53)</f>
        <v/>
      </c>
      <c r="AO50" s="194" t="str">
        <f aca="false">IF(Model!AM53=0,"",Model!AM53)</f>
        <v/>
      </c>
      <c r="AP50" s="194" t="str">
        <f aca="false">IF(Model!AN53=0,"",Model!AN53)</f>
        <v/>
      </c>
      <c r="AQ50" s="194" t="str">
        <f aca="false">IF(Model!AO53=0,"",Model!AO53)</f>
        <v/>
      </c>
      <c r="AR50" s="194" t="str">
        <f aca="false">IF(Model!AP53=0,"",Model!AP53)</f>
        <v/>
      </c>
      <c r="AS50" s="194" t="str">
        <f aca="false">IF(Model!AQ53=0,"",Model!AQ53)</f>
        <v/>
      </c>
      <c r="AT50" s="194" t="str">
        <f aca="false">IF(Model!AR53=0,"",Model!AR53)</f>
        <v/>
      </c>
      <c r="AU50" s="194" t="str">
        <f aca="false">IF(Model!AS53=0,"",Model!AS53)</f>
        <v/>
      </c>
      <c r="AV50" s="194" t="str">
        <f aca="false">IF(Model!AT53=0,"",Model!AT53)</f>
        <v/>
      </c>
      <c r="AW50" s="194" t="str">
        <f aca="false">IF(Model!AU53=0,"",Model!AU53)</f>
        <v/>
      </c>
      <c r="AX50" s="194" t="str">
        <f aca="false">IF(Model!AV53=0,"",Model!AV53)</f>
        <v/>
      </c>
      <c r="AY50" s="194" t="str">
        <f aca="false">IF(Model!AW53=0,"",Model!AW53)</f>
        <v/>
      </c>
      <c r="AZ50" s="194" t="str">
        <f aca="false">IF(Model!AX53=0,"",Model!AX53)</f>
        <v/>
      </c>
      <c r="BA50" s="194" t="str">
        <f aca="false">IF(Model!AY53=0,"",Model!AY53)</f>
        <v/>
      </c>
      <c r="BB50" s="194" t="str">
        <f aca="false">IF(Model!AZ53=0,"",Model!AZ53)</f>
        <v/>
      </c>
      <c r="BC50" s="194" t="str">
        <f aca="false">IF(Model!BA53=0,"",Model!BA53)</f>
        <v/>
      </c>
      <c r="BD50" s="194" t="str">
        <f aca="false">IF(Model!BB53=0,"",Model!BB53)</f>
        <v/>
      </c>
      <c r="BE50" s="194" t="str">
        <f aca="false">IF(Model!BC53=0,"",Model!BC53)</f>
        <v/>
      </c>
      <c r="BF50" s="194" t="str">
        <f aca="false">IF(Model!BD53=0,"",Model!BD53)</f>
        <v/>
      </c>
      <c r="BG50" s="194" t="str">
        <f aca="false">IF(Model!BE53=0,"",Model!BE53)</f>
        <v/>
      </c>
      <c r="BH50" s="194" t="str">
        <f aca="false">IF(Model!BF53=0,"",Model!BF53)</f>
        <v/>
      </c>
      <c r="BI50" s="194" t="str">
        <f aca="false">IF(Model!BG53=0,"",Model!BG53)</f>
        <v/>
      </c>
      <c r="BJ50" s="194" t="str">
        <f aca="false">IF(Model!BH53=0,"",Model!BH53)</f>
        <v/>
      </c>
      <c r="BK50" s="194" t="str">
        <f aca="false">IF(Model!BI53=0,"",Model!BI53)</f>
        <v/>
      </c>
      <c r="BL50" s="194" t="str">
        <f aca="false">IF(Model!BJ53=0,"",Model!BJ53)</f>
        <v/>
      </c>
      <c r="BM50" s="194" t="str">
        <f aca="false">IF(Model!BK53=0,"",Model!BK53)</f>
        <v/>
      </c>
      <c r="BN50" s="194" t="str">
        <f aca="false">IF(Model!BL53=0,"",Model!BL53)</f>
        <v/>
      </c>
      <c r="BO50" s="194" t="str">
        <f aca="false">IF(Model!BM53=0,"",Model!BM53)</f>
        <v/>
      </c>
      <c r="BP50" s="194" t="str">
        <f aca="false">IF(Model!BN53=0,"",Model!BN53)</f>
        <v/>
      </c>
      <c r="BQ50" s="194" t="str">
        <f aca="false">IF(Model!BO53=0,"",Model!BO53)</f>
        <v/>
      </c>
      <c r="BR50" s="194" t="str">
        <f aca="false">IF(Model!BP53=0,"",Model!BP53)</f>
        <v/>
      </c>
      <c r="BS50" s="194" t="str">
        <f aca="false">IF(Model!BQ53=0,"",Model!BQ53)</f>
        <v/>
      </c>
      <c r="BT50" s="194" t="str">
        <f aca="false">IF(Model!BR53=0,"",Model!BR53)</f>
        <v/>
      </c>
      <c r="BU50" s="194" t="str">
        <f aca="false">IF(Model!BS53=0,"",Model!BS53)</f>
        <v/>
      </c>
      <c r="BV50" s="194" t="str">
        <f aca="false">IF(Model!BT53=0,"",Model!BT53)</f>
        <v/>
      </c>
      <c r="BW50" s="194" t="str">
        <f aca="false">IF(Model!BU53=0,"",Model!BU53)</f>
        <v/>
      </c>
      <c r="BX50" s="194" t="str">
        <f aca="false">IF(Model!BV53=0,"",Model!BV53)</f>
        <v/>
      </c>
      <c r="BY50" s="194" t="str">
        <f aca="false">IF(Model!BW53=0,"",Model!BW53)</f>
        <v/>
      </c>
      <c r="BZ50" s="194" t="str">
        <f aca="false">IF(Model!BX53=0,"",Model!BX53)</f>
        <v/>
      </c>
      <c r="CA50" s="194" t="str">
        <f aca="false">IF(Model!BY53=0,"",Model!BY53)</f>
        <v/>
      </c>
      <c r="CB50" s="194" t="str">
        <f aca="false">IF(Model!BZ53=0,"",Model!BZ53)</f>
        <v/>
      </c>
      <c r="CC50" s="194" t="str">
        <f aca="false">IF(Model!CA53=0,"",Model!CA53)</f>
        <v/>
      </c>
      <c r="CD50" s="194" t="str">
        <f aca="false">IF(Model!CB53=0,"",Model!CB53)</f>
        <v/>
      </c>
      <c r="CE50" s="194" t="str">
        <f aca="false">IF(Model!CC53=0,"",Model!CC53)</f>
        <v/>
      </c>
      <c r="CF50" s="194" t="str">
        <f aca="false">IF(Model!CD53=0,"",Model!CD53)</f>
        <v/>
      </c>
      <c r="CG50" s="194" t="str">
        <f aca="false">IF(Model!CE53=0,"",Model!CE53)</f>
        <v/>
      </c>
      <c r="CH50" s="194" t="str">
        <f aca="false">IF(Model!CF53=0,"",Model!CF53)</f>
        <v/>
      </c>
      <c r="CI50" s="194" t="str">
        <f aca="false">IF(Model!CG53=0,"",Model!CG53)</f>
        <v/>
      </c>
      <c r="CJ50" s="194" t="str">
        <f aca="false">IF(Model!CH53=0,"",Model!CH53)</f>
        <v/>
      </c>
      <c r="CK50" s="194" t="str">
        <f aca="false">IF(Model!CI53=0,"",Model!CI53)</f>
        <v/>
      </c>
      <c r="CL50" s="194" t="str">
        <f aca="false">IF(Model!CJ53=0,"",Model!CJ53)</f>
        <v/>
      </c>
      <c r="CM50" s="194" t="str">
        <f aca="false">IF(Model!CK53=0,"",Model!CK53)</f>
        <v/>
      </c>
      <c r="CN50" s="194" t="str">
        <f aca="false">IF(Model!CL53=0,"",Model!CL53)</f>
        <v/>
      </c>
      <c r="CO50" s="194" t="str">
        <f aca="false">IF(Model!CM53=0,"",Model!CM53)</f>
        <v/>
      </c>
      <c r="CP50" s="194" t="str">
        <f aca="false">IF(Model!CN53=0,"",Model!CN53)</f>
        <v/>
      </c>
      <c r="CQ50" s="194" t="str">
        <f aca="false">IF(Model!CO53=0,"",Model!CO53)</f>
        <v/>
      </c>
      <c r="CR50" s="194" t="str">
        <f aca="false">IF(Model!CP53=0,"",Model!CP53)</f>
        <v/>
      </c>
      <c r="CS50" s="194" t="str">
        <f aca="false">IF(Model!CQ53=0,"",Model!CQ53)</f>
        <v/>
      </c>
      <c r="CT50" s="194" t="str">
        <f aca="false">IF(Model!CR53=0,"",Model!CR53)</f>
        <v/>
      </c>
      <c r="CU50" s="194" t="str">
        <f aca="false">IF(Model!CS53=0,"",Model!CS53)</f>
        <v/>
      </c>
      <c r="CV50" s="194" t="str">
        <f aca="false">IF(Model!CT53=0,"",Model!CT53)</f>
        <v/>
      </c>
      <c r="CW50" s="194" t="str">
        <f aca="false">IF(Model!CU53=0,"",Model!CU53)</f>
        <v/>
      </c>
      <c r="CX50" s="194" t="str">
        <f aca="false">IF(Model!CV53=0,"",Model!CV53)</f>
        <v/>
      </c>
      <c r="CY50" s="194" t="str">
        <f aca="false">IF(Model!CW53=0,"",Model!CW53)</f>
        <v/>
      </c>
      <c r="CZ50" s="194" t="str">
        <f aca="false">IF(Model!CX53=0,"",Model!CX53)</f>
        <v/>
      </c>
      <c r="DA50" s="194" t="str">
        <f aca="false">IF(Model!CY53=0,"",Model!CY53)</f>
        <v/>
      </c>
      <c r="DB50" s="194" t="str">
        <f aca="false">IF(Model!CZ53=0,"",Model!CZ53)</f>
        <v/>
      </c>
    </row>
    <row r="51" customFormat="false" ht="15" hidden="false" customHeight="true" outlineLevel="0" collapsed="false">
      <c r="A51" s="125" t="s">
        <v>48</v>
      </c>
      <c r="B51" s="191" t="n">
        <f aca="false">Projects!$B$45</f>
        <v>18000000</v>
      </c>
      <c r="C51" s="192" t="n">
        <f aca="false">EDATE(Model!$E$2,Projects!$C$45-1)</f>
        <v>48519</v>
      </c>
      <c r="D51" s="192" t="n">
        <f aca="false">EDATE(Model!$E$2,Projects!$C$45+Projects!$D$45-2)</f>
        <v>49065</v>
      </c>
      <c r="E51" s="193" t="n">
        <f aca="false">Projects!$D$45</f>
        <v>19</v>
      </c>
      <c r="F51" s="191" t="n">
        <f aca="false">SUM(G51:DB51)</f>
        <v>0</v>
      </c>
      <c r="G51" s="194" t="str">
        <f aca="false">IF(Model!E54=0,"",Model!E54)</f>
        <v/>
      </c>
      <c r="H51" s="194" t="str">
        <f aca="false">IF(Model!F54=0,"",Model!F54)</f>
        <v/>
      </c>
      <c r="I51" s="194" t="str">
        <f aca="false">IF(Model!G54=0,"",Model!G54)</f>
        <v/>
      </c>
      <c r="J51" s="194" t="str">
        <f aca="false">IF(Model!H54=0,"",Model!H54)</f>
        <v/>
      </c>
      <c r="K51" s="194" t="str">
        <f aca="false">IF(Model!I54=0,"",Model!I54)</f>
        <v/>
      </c>
      <c r="L51" s="194" t="str">
        <f aca="false">IF(Model!J54=0,"",Model!J54)</f>
        <v/>
      </c>
      <c r="M51" s="194" t="str">
        <f aca="false">IF(Model!K54=0,"",Model!K54)</f>
        <v/>
      </c>
      <c r="N51" s="194" t="str">
        <f aca="false">IF(Model!L54=0,"",Model!L54)</f>
        <v/>
      </c>
      <c r="O51" s="194" t="str">
        <f aca="false">IF(Model!M54=0,"",Model!M54)</f>
        <v/>
      </c>
      <c r="P51" s="194" t="str">
        <f aca="false">IF(Model!N54=0,"",Model!N54)</f>
        <v/>
      </c>
      <c r="Q51" s="194" t="str">
        <f aca="false">IF(Model!O54=0,"",Model!O54)</f>
        <v/>
      </c>
      <c r="R51" s="194" t="str">
        <f aca="false">IF(Model!P54=0,"",Model!P54)</f>
        <v/>
      </c>
      <c r="S51" s="194" t="str">
        <f aca="false">IF(Model!Q54=0,"",Model!Q54)</f>
        <v/>
      </c>
      <c r="T51" s="194" t="str">
        <f aca="false">IF(Model!R54=0,"",Model!R54)</f>
        <v/>
      </c>
      <c r="U51" s="194" t="str">
        <f aca="false">IF(Model!S54=0,"",Model!S54)</f>
        <v/>
      </c>
      <c r="V51" s="194" t="str">
        <f aca="false">IF(Model!T54=0,"",Model!T54)</f>
        <v/>
      </c>
      <c r="W51" s="194" t="str">
        <f aca="false">IF(Model!U54=0,"",Model!U54)</f>
        <v/>
      </c>
      <c r="X51" s="194" t="str">
        <f aca="false">IF(Model!V54=0,"",Model!V54)</f>
        <v/>
      </c>
      <c r="Y51" s="194" t="str">
        <f aca="false">IF(Model!W54=0,"",Model!W54)</f>
        <v/>
      </c>
      <c r="Z51" s="194" t="str">
        <f aca="false">IF(Model!X54=0,"",Model!X54)</f>
        <v/>
      </c>
      <c r="AA51" s="194" t="str">
        <f aca="false">IF(Model!Y54=0,"",Model!Y54)</f>
        <v/>
      </c>
      <c r="AB51" s="194" t="str">
        <f aca="false">IF(Model!Z54=0,"",Model!Z54)</f>
        <v/>
      </c>
      <c r="AC51" s="194" t="str">
        <f aca="false">IF(Model!AA54=0,"",Model!AA54)</f>
        <v/>
      </c>
      <c r="AD51" s="194" t="str">
        <f aca="false">IF(Model!AB54=0,"",Model!AB54)</f>
        <v/>
      </c>
      <c r="AE51" s="194" t="str">
        <f aca="false">IF(Model!AC54=0,"",Model!AC54)</f>
        <v/>
      </c>
      <c r="AF51" s="194" t="str">
        <f aca="false">IF(Model!AD54=0,"",Model!AD54)</f>
        <v/>
      </c>
      <c r="AG51" s="194" t="str">
        <f aca="false">IF(Model!AE54=0,"",Model!AE54)</f>
        <v/>
      </c>
      <c r="AH51" s="194" t="str">
        <f aca="false">IF(Model!AF54=0,"",Model!AF54)</f>
        <v/>
      </c>
      <c r="AI51" s="194" t="str">
        <f aca="false">IF(Model!AG54=0,"",Model!AG54)</f>
        <v/>
      </c>
      <c r="AJ51" s="194" t="str">
        <f aca="false">IF(Model!AH54=0,"",Model!AH54)</f>
        <v/>
      </c>
      <c r="AK51" s="194" t="str">
        <f aca="false">IF(Model!AI54=0,"",Model!AI54)</f>
        <v/>
      </c>
      <c r="AL51" s="194" t="str">
        <f aca="false">IF(Model!AJ54=0,"",Model!AJ54)</f>
        <v/>
      </c>
      <c r="AM51" s="194" t="str">
        <f aca="false">IF(Model!AK54=0,"",Model!AK54)</f>
        <v/>
      </c>
      <c r="AN51" s="194" t="str">
        <f aca="false">IF(Model!AL54=0,"",Model!AL54)</f>
        <v/>
      </c>
      <c r="AO51" s="194" t="str">
        <f aca="false">IF(Model!AM54=0,"",Model!AM54)</f>
        <v/>
      </c>
      <c r="AP51" s="194" t="str">
        <f aca="false">IF(Model!AN54=0,"",Model!AN54)</f>
        <v/>
      </c>
      <c r="AQ51" s="194" t="str">
        <f aca="false">IF(Model!AO54=0,"",Model!AO54)</f>
        <v/>
      </c>
      <c r="AR51" s="194" t="str">
        <f aca="false">IF(Model!AP54=0,"",Model!AP54)</f>
        <v/>
      </c>
      <c r="AS51" s="194" t="str">
        <f aca="false">IF(Model!AQ54=0,"",Model!AQ54)</f>
        <v/>
      </c>
      <c r="AT51" s="194" t="str">
        <f aca="false">IF(Model!AR54=0,"",Model!AR54)</f>
        <v/>
      </c>
      <c r="AU51" s="194" t="str">
        <f aca="false">IF(Model!AS54=0,"",Model!AS54)</f>
        <v/>
      </c>
      <c r="AV51" s="194" t="str">
        <f aca="false">IF(Model!AT54=0,"",Model!AT54)</f>
        <v/>
      </c>
      <c r="AW51" s="194" t="str">
        <f aca="false">IF(Model!AU54=0,"",Model!AU54)</f>
        <v/>
      </c>
      <c r="AX51" s="194" t="str">
        <f aca="false">IF(Model!AV54=0,"",Model!AV54)</f>
        <v/>
      </c>
      <c r="AY51" s="194" t="str">
        <f aca="false">IF(Model!AW54=0,"",Model!AW54)</f>
        <v/>
      </c>
      <c r="AZ51" s="194" t="str">
        <f aca="false">IF(Model!AX54=0,"",Model!AX54)</f>
        <v/>
      </c>
      <c r="BA51" s="194" t="str">
        <f aca="false">IF(Model!AY54=0,"",Model!AY54)</f>
        <v/>
      </c>
      <c r="BB51" s="194" t="str">
        <f aca="false">IF(Model!AZ54=0,"",Model!AZ54)</f>
        <v/>
      </c>
      <c r="BC51" s="194" t="str">
        <f aca="false">IF(Model!BA54=0,"",Model!BA54)</f>
        <v/>
      </c>
      <c r="BD51" s="194" t="str">
        <f aca="false">IF(Model!BB54=0,"",Model!BB54)</f>
        <v/>
      </c>
      <c r="BE51" s="194" t="str">
        <f aca="false">IF(Model!BC54=0,"",Model!BC54)</f>
        <v/>
      </c>
      <c r="BF51" s="194" t="str">
        <f aca="false">IF(Model!BD54=0,"",Model!BD54)</f>
        <v/>
      </c>
      <c r="BG51" s="194" t="str">
        <f aca="false">IF(Model!BE54=0,"",Model!BE54)</f>
        <v/>
      </c>
      <c r="BH51" s="194" t="str">
        <f aca="false">IF(Model!BF54=0,"",Model!BF54)</f>
        <v/>
      </c>
      <c r="BI51" s="194" t="str">
        <f aca="false">IF(Model!BG54=0,"",Model!BG54)</f>
        <v/>
      </c>
      <c r="BJ51" s="194" t="str">
        <f aca="false">IF(Model!BH54=0,"",Model!BH54)</f>
        <v/>
      </c>
      <c r="BK51" s="194" t="str">
        <f aca="false">IF(Model!BI54=0,"",Model!BI54)</f>
        <v/>
      </c>
      <c r="BL51" s="194" t="str">
        <f aca="false">IF(Model!BJ54=0,"",Model!BJ54)</f>
        <v/>
      </c>
      <c r="BM51" s="194" t="str">
        <f aca="false">IF(Model!BK54=0,"",Model!BK54)</f>
        <v/>
      </c>
      <c r="BN51" s="194" t="str">
        <f aca="false">IF(Model!BL54=0,"",Model!BL54)</f>
        <v/>
      </c>
      <c r="BO51" s="194" t="str">
        <f aca="false">IF(Model!BM54=0,"",Model!BM54)</f>
        <v/>
      </c>
      <c r="BP51" s="194" t="str">
        <f aca="false">IF(Model!BN54=0,"",Model!BN54)</f>
        <v/>
      </c>
      <c r="BQ51" s="194" t="str">
        <f aca="false">IF(Model!BO54=0,"",Model!BO54)</f>
        <v/>
      </c>
      <c r="BR51" s="194" t="str">
        <f aca="false">IF(Model!BP54=0,"",Model!BP54)</f>
        <v/>
      </c>
      <c r="BS51" s="194" t="str">
        <f aca="false">IF(Model!BQ54=0,"",Model!BQ54)</f>
        <v/>
      </c>
      <c r="BT51" s="194" t="str">
        <f aca="false">IF(Model!BR54=0,"",Model!BR54)</f>
        <v/>
      </c>
      <c r="BU51" s="194" t="str">
        <f aca="false">IF(Model!BS54=0,"",Model!BS54)</f>
        <v/>
      </c>
      <c r="BV51" s="194" t="str">
        <f aca="false">IF(Model!BT54=0,"",Model!BT54)</f>
        <v/>
      </c>
      <c r="BW51" s="194" t="str">
        <f aca="false">IF(Model!BU54=0,"",Model!BU54)</f>
        <v/>
      </c>
      <c r="BX51" s="194" t="str">
        <f aca="false">IF(Model!BV54=0,"",Model!BV54)</f>
        <v/>
      </c>
      <c r="BY51" s="194" t="str">
        <f aca="false">IF(Model!BW54=0,"",Model!BW54)</f>
        <v/>
      </c>
      <c r="BZ51" s="194" t="str">
        <f aca="false">IF(Model!BX54=0,"",Model!BX54)</f>
        <v/>
      </c>
      <c r="CA51" s="194" t="str">
        <f aca="false">IF(Model!BY54=0,"",Model!BY54)</f>
        <v/>
      </c>
      <c r="CB51" s="194" t="str">
        <f aca="false">IF(Model!BZ54=0,"",Model!BZ54)</f>
        <v/>
      </c>
      <c r="CC51" s="194" t="str">
        <f aca="false">IF(Model!CA54=0,"",Model!CA54)</f>
        <v/>
      </c>
      <c r="CD51" s="194" t="str">
        <f aca="false">IF(Model!CB54=0,"",Model!CB54)</f>
        <v/>
      </c>
      <c r="CE51" s="194" t="str">
        <f aca="false">IF(Model!CC54=0,"",Model!CC54)</f>
        <v/>
      </c>
      <c r="CF51" s="194" t="str">
        <f aca="false">IF(Model!CD54=0,"",Model!CD54)</f>
        <v/>
      </c>
      <c r="CG51" s="194" t="str">
        <f aca="false">IF(Model!CE54=0,"",Model!CE54)</f>
        <v/>
      </c>
      <c r="CH51" s="194" t="str">
        <f aca="false">IF(Model!CF54=0,"",Model!CF54)</f>
        <v/>
      </c>
      <c r="CI51" s="194" t="str">
        <f aca="false">IF(Model!CG54=0,"",Model!CG54)</f>
        <v/>
      </c>
      <c r="CJ51" s="194" t="str">
        <f aca="false">IF(Model!CH54=0,"",Model!CH54)</f>
        <v/>
      </c>
      <c r="CK51" s="194" t="str">
        <f aca="false">IF(Model!CI54=0,"",Model!CI54)</f>
        <v/>
      </c>
      <c r="CL51" s="194" t="str">
        <f aca="false">IF(Model!CJ54=0,"",Model!CJ54)</f>
        <v/>
      </c>
      <c r="CM51" s="194" t="str">
        <f aca="false">IF(Model!CK54=0,"",Model!CK54)</f>
        <v/>
      </c>
      <c r="CN51" s="194" t="str">
        <f aca="false">IF(Model!CL54=0,"",Model!CL54)</f>
        <v/>
      </c>
      <c r="CO51" s="194" t="str">
        <f aca="false">IF(Model!CM54=0,"",Model!CM54)</f>
        <v/>
      </c>
      <c r="CP51" s="194" t="str">
        <f aca="false">IF(Model!CN54=0,"",Model!CN54)</f>
        <v/>
      </c>
      <c r="CQ51" s="194" t="str">
        <f aca="false">IF(Model!CO54=0,"",Model!CO54)</f>
        <v/>
      </c>
      <c r="CR51" s="194" t="str">
        <f aca="false">IF(Model!CP54=0,"",Model!CP54)</f>
        <v/>
      </c>
      <c r="CS51" s="194" t="str">
        <f aca="false">IF(Model!CQ54=0,"",Model!CQ54)</f>
        <v/>
      </c>
      <c r="CT51" s="194" t="str">
        <f aca="false">IF(Model!CR54=0,"",Model!CR54)</f>
        <v/>
      </c>
      <c r="CU51" s="194" t="str">
        <f aca="false">IF(Model!CS54=0,"",Model!CS54)</f>
        <v/>
      </c>
      <c r="CV51" s="194" t="str">
        <f aca="false">IF(Model!CT54=0,"",Model!CT54)</f>
        <v/>
      </c>
      <c r="CW51" s="194" t="str">
        <f aca="false">IF(Model!CU54=0,"",Model!CU54)</f>
        <v/>
      </c>
      <c r="CX51" s="194" t="str">
        <f aca="false">IF(Model!CV54=0,"",Model!CV54)</f>
        <v/>
      </c>
      <c r="CY51" s="194" t="str">
        <f aca="false">IF(Model!CW54=0,"",Model!CW54)</f>
        <v/>
      </c>
      <c r="CZ51" s="194" t="str">
        <f aca="false">IF(Model!CX54=0,"",Model!CX54)</f>
        <v/>
      </c>
      <c r="DA51" s="194" t="str">
        <f aca="false">IF(Model!CY54=0,"",Model!CY54)</f>
        <v/>
      </c>
      <c r="DB51" s="194" t="str">
        <f aca="false">IF(Model!CZ54=0,"",Model!CZ54)</f>
        <v/>
      </c>
    </row>
    <row r="52" customFormat="false" ht="15" hidden="false" customHeight="true" outlineLevel="0" collapsed="false">
      <c r="A52" s="125" t="s">
        <v>49</v>
      </c>
      <c r="B52" s="191" t="n">
        <f aca="false">Projects!$B$46</f>
        <v>15000000</v>
      </c>
      <c r="C52" s="192" t="n">
        <f aca="false">EDATE(Model!$E$2,Projects!$C$46-1)</f>
        <v>48580</v>
      </c>
      <c r="D52" s="192" t="n">
        <f aca="false">EDATE(Model!$E$2,Projects!$C$46+Projects!$D$46-2)</f>
        <v>49126</v>
      </c>
      <c r="E52" s="193" t="n">
        <f aca="false">Projects!$D$46</f>
        <v>19</v>
      </c>
      <c r="F52" s="191" t="n">
        <f aca="false">SUM(G52:DB52)</f>
        <v>0</v>
      </c>
      <c r="G52" s="194" t="str">
        <f aca="false">IF(Model!E55=0,"",Model!E55)</f>
        <v/>
      </c>
      <c r="H52" s="194" t="str">
        <f aca="false">IF(Model!F55=0,"",Model!F55)</f>
        <v/>
      </c>
      <c r="I52" s="194" t="str">
        <f aca="false">IF(Model!G55=0,"",Model!G55)</f>
        <v/>
      </c>
      <c r="J52" s="194" t="str">
        <f aca="false">IF(Model!H55=0,"",Model!H55)</f>
        <v/>
      </c>
      <c r="K52" s="194" t="str">
        <f aca="false">IF(Model!I55=0,"",Model!I55)</f>
        <v/>
      </c>
      <c r="L52" s="194" t="str">
        <f aca="false">IF(Model!J55=0,"",Model!J55)</f>
        <v/>
      </c>
      <c r="M52" s="194" t="str">
        <f aca="false">IF(Model!K55=0,"",Model!K55)</f>
        <v/>
      </c>
      <c r="N52" s="194" t="str">
        <f aca="false">IF(Model!L55=0,"",Model!L55)</f>
        <v/>
      </c>
      <c r="O52" s="194" t="str">
        <f aca="false">IF(Model!M55=0,"",Model!M55)</f>
        <v/>
      </c>
      <c r="P52" s="194" t="str">
        <f aca="false">IF(Model!N55=0,"",Model!N55)</f>
        <v/>
      </c>
      <c r="Q52" s="194" t="str">
        <f aca="false">IF(Model!O55=0,"",Model!O55)</f>
        <v/>
      </c>
      <c r="R52" s="194" t="str">
        <f aca="false">IF(Model!P55=0,"",Model!P55)</f>
        <v/>
      </c>
      <c r="S52" s="194" t="str">
        <f aca="false">IF(Model!Q55=0,"",Model!Q55)</f>
        <v/>
      </c>
      <c r="T52" s="194" t="str">
        <f aca="false">IF(Model!R55=0,"",Model!R55)</f>
        <v/>
      </c>
      <c r="U52" s="194" t="str">
        <f aca="false">IF(Model!S55=0,"",Model!S55)</f>
        <v/>
      </c>
      <c r="V52" s="194" t="str">
        <f aca="false">IF(Model!T55=0,"",Model!T55)</f>
        <v/>
      </c>
      <c r="W52" s="194" t="str">
        <f aca="false">IF(Model!U55=0,"",Model!U55)</f>
        <v/>
      </c>
      <c r="X52" s="194" t="str">
        <f aca="false">IF(Model!V55=0,"",Model!V55)</f>
        <v/>
      </c>
      <c r="Y52" s="194" t="str">
        <f aca="false">IF(Model!W55=0,"",Model!W55)</f>
        <v/>
      </c>
      <c r="Z52" s="194" t="str">
        <f aca="false">IF(Model!X55=0,"",Model!X55)</f>
        <v/>
      </c>
      <c r="AA52" s="194" t="str">
        <f aca="false">IF(Model!Y55=0,"",Model!Y55)</f>
        <v/>
      </c>
      <c r="AB52" s="194" t="str">
        <f aca="false">IF(Model!Z55=0,"",Model!Z55)</f>
        <v/>
      </c>
      <c r="AC52" s="194" t="str">
        <f aca="false">IF(Model!AA55=0,"",Model!AA55)</f>
        <v/>
      </c>
      <c r="AD52" s="194" t="str">
        <f aca="false">IF(Model!AB55=0,"",Model!AB55)</f>
        <v/>
      </c>
      <c r="AE52" s="194" t="str">
        <f aca="false">IF(Model!AC55=0,"",Model!AC55)</f>
        <v/>
      </c>
      <c r="AF52" s="194" t="str">
        <f aca="false">IF(Model!AD55=0,"",Model!AD55)</f>
        <v/>
      </c>
      <c r="AG52" s="194" t="str">
        <f aca="false">IF(Model!AE55=0,"",Model!AE55)</f>
        <v/>
      </c>
      <c r="AH52" s="194" t="str">
        <f aca="false">IF(Model!AF55=0,"",Model!AF55)</f>
        <v/>
      </c>
      <c r="AI52" s="194" t="str">
        <f aca="false">IF(Model!AG55=0,"",Model!AG55)</f>
        <v/>
      </c>
      <c r="AJ52" s="194" t="str">
        <f aca="false">IF(Model!AH55=0,"",Model!AH55)</f>
        <v/>
      </c>
      <c r="AK52" s="194" t="str">
        <f aca="false">IF(Model!AI55=0,"",Model!AI55)</f>
        <v/>
      </c>
      <c r="AL52" s="194" t="str">
        <f aca="false">IF(Model!AJ55=0,"",Model!AJ55)</f>
        <v/>
      </c>
      <c r="AM52" s="194" t="str">
        <f aca="false">IF(Model!AK55=0,"",Model!AK55)</f>
        <v/>
      </c>
      <c r="AN52" s="194" t="str">
        <f aca="false">IF(Model!AL55=0,"",Model!AL55)</f>
        <v/>
      </c>
      <c r="AO52" s="194" t="str">
        <f aca="false">IF(Model!AM55=0,"",Model!AM55)</f>
        <v/>
      </c>
      <c r="AP52" s="194" t="str">
        <f aca="false">IF(Model!AN55=0,"",Model!AN55)</f>
        <v/>
      </c>
      <c r="AQ52" s="194" t="str">
        <f aca="false">IF(Model!AO55=0,"",Model!AO55)</f>
        <v/>
      </c>
      <c r="AR52" s="194" t="str">
        <f aca="false">IF(Model!AP55=0,"",Model!AP55)</f>
        <v/>
      </c>
      <c r="AS52" s="194" t="str">
        <f aca="false">IF(Model!AQ55=0,"",Model!AQ55)</f>
        <v/>
      </c>
      <c r="AT52" s="194" t="str">
        <f aca="false">IF(Model!AR55=0,"",Model!AR55)</f>
        <v/>
      </c>
      <c r="AU52" s="194" t="str">
        <f aca="false">IF(Model!AS55=0,"",Model!AS55)</f>
        <v/>
      </c>
      <c r="AV52" s="194" t="str">
        <f aca="false">IF(Model!AT55=0,"",Model!AT55)</f>
        <v/>
      </c>
      <c r="AW52" s="194" t="str">
        <f aca="false">IF(Model!AU55=0,"",Model!AU55)</f>
        <v/>
      </c>
      <c r="AX52" s="194" t="str">
        <f aca="false">IF(Model!AV55=0,"",Model!AV55)</f>
        <v/>
      </c>
      <c r="AY52" s="194" t="str">
        <f aca="false">IF(Model!AW55=0,"",Model!AW55)</f>
        <v/>
      </c>
      <c r="AZ52" s="194" t="str">
        <f aca="false">IF(Model!AX55=0,"",Model!AX55)</f>
        <v/>
      </c>
      <c r="BA52" s="194" t="str">
        <f aca="false">IF(Model!AY55=0,"",Model!AY55)</f>
        <v/>
      </c>
      <c r="BB52" s="194" t="str">
        <f aca="false">IF(Model!AZ55=0,"",Model!AZ55)</f>
        <v/>
      </c>
      <c r="BC52" s="194" t="str">
        <f aca="false">IF(Model!BA55=0,"",Model!BA55)</f>
        <v/>
      </c>
      <c r="BD52" s="194" t="str">
        <f aca="false">IF(Model!BB55=0,"",Model!BB55)</f>
        <v/>
      </c>
      <c r="BE52" s="194" t="str">
        <f aca="false">IF(Model!BC55=0,"",Model!BC55)</f>
        <v/>
      </c>
      <c r="BF52" s="194" t="str">
        <f aca="false">IF(Model!BD55=0,"",Model!BD55)</f>
        <v/>
      </c>
      <c r="BG52" s="194" t="str">
        <f aca="false">IF(Model!BE55=0,"",Model!BE55)</f>
        <v/>
      </c>
      <c r="BH52" s="194" t="str">
        <f aca="false">IF(Model!BF55=0,"",Model!BF55)</f>
        <v/>
      </c>
      <c r="BI52" s="194" t="str">
        <f aca="false">IF(Model!BG55=0,"",Model!BG55)</f>
        <v/>
      </c>
      <c r="BJ52" s="194" t="str">
        <f aca="false">IF(Model!BH55=0,"",Model!BH55)</f>
        <v/>
      </c>
      <c r="BK52" s="194" t="str">
        <f aca="false">IF(Model!BI55=0,"",Model!BI55)</f>
        <v/>
      </c>
      <c r="BL52" s="194" t="str">
        <f aca="false">IF(Model!BJ55=0,"",Model!BJ55)</f>
        <v/>
      </c>
      <c r="BM52" s="194" t="str">
        <f aca="false">IF(Model!BK55=0,"",Model!BK55)</f>
        <v/>
      </c>
      <c r="BN52" s="194" t="str">
        <f aca="false">IF(Model!BL55=0,"",Model!BL55)</f>
        <v/>
      </c>
      <c r="BO52" s="194" t="str">
        <f aca="false">IF(Model!BM55=0,"",Model!BM55)</f>
        <v/>
      </c>
      <c r="BP52" s="194" t="str">
        <f aca="false">IF(Model!BN55=0,"",Model!BN55)</f>
        <v/>
      </c>
      <c r="BQ52" s="194" t="str">
        <f aca="false">IF(Model!BO55=0,"",Model!BO55)</f>
        <v/>
      </c>
      <c r="BR52" s="194" t="str">
        <f aca="false">IF(Model!BP55=0,"",Model!BP55)</f>
        <v/>
      </c>
      <c r="BS52" s="194" t="str">
        <f aca="false">IF(Model!BQ55=0,"",Model!BQ55)</f>
        <v/>
      </c>
      <c r="BT52" s="194" t="str">
        <f aca="false">IF(Model!BR55=0,"",Model!BR55)</f>
        <v/>
      </c>
      <c r="BU52" s="194" t="str">
        <f aca="false">IF(Model!BS55=0,"",Model!BS55)</f>
        <v/>
      </c>
      <c r="BV52" s="194" t="str">
        <f aca="false">IF(Model!BT55=0,"",Model!BT55)</f>
        <v/>
      </c>
      <c r="BW52" s="194" t="str">
        <f aca="false">IF(Model!BU55=0,"",Model!BU55)</f>
        <v/>
      </c>
      <c r="BX52" s="194" t="str">
        <f aca="false">IF(Model!BV55=0,"",Model!BV55)</f>
        <v/>
      </c>
      <c r="BY52" s="194" t="str">
        <f aca="false">IF(Model!BW55=0,"",Model!BW55)</f>
        <v/>
      </c>
      <c r="BZ52" s="194" t="str">
        <f aca="false">IF(Model!BX55=0,"",Model!BX55)</f>
        <v/>
      </c>
      <c r="CA52" s="194" t="str">
        <f aca="false">IF(Model!BY55=0,"",Model!BY55)</f>
        <v/>
      </c>
      <c r="CB52" s="194" t="str">
        <f aca="false">IF(Model!BZ55=0,"",Model!BZ55)</f>
        <v/>
      </c>
      <c r="CC52" s="194" t="str">
        <f aca="false">IF(Model!CA55=0,"",Model!CA55)</f>
        <v/>
      </c>
      <c r="CD52" s="194" t="str">
        <f aca="false">IF(Model!CB55=0,"",Model!CB55)</f>
        <v/>
      </c>
      <c r="CE52" s="194" t="str">
        <f aca="false">IF(Model!CC55=0,"",Model!CC55)</f>
        <v/>
      </c>
      <c r="CF52" s="194" t="str">
        <f aca="false">IF(Model!CD55=0,"",Model!CD55)</f>
        <v/>
      </c>
      <c r="CG52" s="194" t="str">
        <f aca="false">IF(Model!CE55=0,"",Model!CE55)</f>
        <v/>
      </c>
      <c r="CH52" s="194" t="str">
        <f aca="false">IF(Model!CF55=0,"",Model!CF55)</f>
        <v/>
      </c>
      <c r="CI52" s="194" t="str">
        <f aca="false">IF(Model!CG55=0,"",Model!CG55)</f>
        <v/>
      </c>
      <c r="CJ52" s="194" t="str">
        <f aca="false">IF(Model!CH55=0,"",Model!CH55)</f>
        <v/>
      </c>
      <c r="CK52" s="194" t="str">
        <f aca="false">IF(Model!CI55=0,"",Model!CI55)</f>
        <v/>
      </c>
      <c r="CL52" s="194" t="str">
        <f aca="false">IF(Model!CJ55=0,"",Model!CJ55)</f>
        <v/>
      </c>
      <c r="CM52" s="194" t="str">
        <f aca="false">IF(Model!CK55=0,"",Model!CK55)</f>
        <v/>
      </c>
      <c r="CN52" s="194" t="str">
        <f aca="false">IF(Model!CL55=0,"",Model!CL55)</f>
        <v/>
      </c>
      <c r="CO52" s="194" t="str">
        <f aca="false">IF(Model!CM55=0,"",Model!CM55)</f>
        <v/>
      </c>
      <c r="CP52" s="194" t="str">
        <f aca="false">IF(Model!CN55=0,"",Model!CN55)</f>
        <v/>
      </c>
      <c r="CQ52" s="194" t="str">
        <f aca="false">IF(Model!CO55=0,"",Model!CO55)</f>
        <v/>
      </c>
      <c r="CR52" s="194" t="str">
        <f aca="false">IF(Model!CP55=0,"",Model!CP55)</f>
        <v/>
      </c>
      <c r="CS52" s="194" t="str">
        <f aca="false">IF(Model!CQ55=0,"",Model!CQ55)</f>
        <v/>
      </c>
      <c r="CT52" s="194" t="str">
        <f aca="false">IF(Model!CR55=0,"",Model!CR55)</f>
        <v/>
      </c>
      <c r="CU52" s="194" t="str">
        <f aca="false">IF(Model!CS55=0,"",Model!CS55)</f>
        <v/>
      </c>
      <c r="CV52" s="194" t="str">
        <f aca="false">IF(Model!CT55=0,"",Model!CT55)</f>
        <v/>
      </c>
      <c r="CW52" s="194" t="str">
        <f aca="false">IF(Model!CU55=0,"",Model!CU55)</f>
        <v/>
      </c>
      <c r="CX52" s="194" t="str">
        <f aca="false">IF(Model!CV55=0,"",Model!CV55)</f>
        <v/>
      </c>
      <c r="CY52" s="194" t="str">
        <f aca="false">IF(Model!CW55=0,"",Model!CW55)</f>
        <v/>
      </c>
      <c r="CZ52" s="194" t="str">
        <f aca="false">IF(Model!CX55=0,"",Model!CX55)</f>
        <v/>
      </c>
      <c r="DA52" s="194" t="str">
        <f aca="false">IF(Model!CY55=0,"",Model!CY55)</f>
        <v/>
      </c>
      <c r="DB52" s="194" t="str">
        <f aca="false">IF(Model!CZ55=0,"",Model!CZ55)</f>
        <v/>
      </c>
    </row>
    <row r="53" customFormat="false" ht="15" hidden="false" customHeight="true" outlineLevel="0" collapsed="false">
      <c r="A53" s="94" t="s">
        <v>589</v>
      </c>
      <c r="G53" s="195" t="n">
        <f aca="false">SUM(G28:G52)</f>
        <v>0</v>
      </c>
      <c r="H53" s="195" t="n">
        <f aca="false">SUM(H28:H52)</f>
        <v>0</v>
      </c>
      <c r="I53" s="195" t="n">
        <f aca="false">SUM(I28:I52)</f>
        <v>0</v>
      </c>
      <c r="J53" s="195" t="n">
        <f aca="false">SUM(J28:J52)</f>
        <v>0</v>
      </c>
      <c r="K53" s="195" t="n">
        <f aca="false">SUM(K28:K52)</f>
        <v>0</v>
      </c>
      <c r="L53" s="195" t="n">
        <f aca="false">SUM(L28:L52)</f>
        <v>0</v>
      </c>
      <c r="M53" s="195" t="n">
        <f aca="false">SUM(M28:M52)</f>
        <v>0</v>
      </c>
      <c r="N53" s="195" t="n">
        <f aca="false">SUM(N28:N52)</f>
        <v>0</v>
      </c>
      <c r="O53" s="195" t="n">
        <f aca="false">SUM(O28:O52)</f>
        <v>0</v>
      </c>
      <c r="P53" s="195" t="n">
        <f aca="false">SUM(P28:P52)</f>
        <v>0</v>
      </c>
      <c r="Q53" s="195" t="n">
        <f aca="false">SUM(Q28:Q52)</f>
        <v>0</v>
      </c>
      <c r="R53" s="195" t="n">
        <f aca="false">SUM(R28:R52)</f>
        <v>0</v>
      </c>
      <c r="S53" s="195" t="n">
        <f aca="false">SUM(S28:S52)</f>
        <v>0</v>
      </c>
      <c r="T53" s="195" t="n">
        <f aca="false">SUM(T28:T52)</f>
        <v>0</v>
      </c>
      <c r="U53" s="195" t="n">
        <f aca="false">SUM(U28:U52)</f>
        <v>0</v>
      </c>
      <c r="V53" s="195" t="n">
        <f aca="false">SUM(V28:V52)</f>
        <v>0</v>
      </c>
      <c r="W53" s="195" t="n">
        <f aca="false">SUM(W28:W52)</f>
        <v>0</v>
      </c>
      <c r="X53" s="195" t="n">
        <f aca="false">SUM(X28:X52)</f>
        <v>0</v>
      </c>
      <c r="Y53" s="195" t="n">
        <f aca="false">SUM(Y28:Y52)</f>
        <v>0</v>
      </c>
      <c r="Z53" s="195" t="n">
        <f aca="false">SUM(Z28:Z52)</f>
        <v>0</v>
      </c>
      <c r="AA53" s="195" t="n">
        <f aca="false">SUM(AA28:AA52)</f>
        <v>0</v>
      </c>
      <c r="AB53" s="195" t="n">
        <f aca="false">SUM(AB28:AB52)</f>
        <v>0</v>
      </c>
      <c r="AC53" s="195" t="n">
        <f aca="false">SUM(AC28:AC52)</f>
        <v>0</v>
      </c>
      <c r="AD53" s="195" t="n">
        <f aca="false">SUM(AD28:AD52)</f>
        <v>0</v>
      </c>
      <c r="AE53" s="195" t="n">
        <f aca="false">SUM(AE28:AE52)</f>
        <v>0</v>
      </c>
      <c r="AF53" s="195" t="n">
        <f aca="false">SUM(AF28:AF52)</f>
        <v>0</v>
      </c>
      <c r="AG53" s="195" t="n">
        <f aca="false">SUM(AG28:AG52)</f>
        <v>0</v>
      </c>
      <c r="AH53" s="195" t="n">
        <f aca="false">SUM(AH28:AH52)</f>
        <v>0</v>
      </c>
      <c r="AI53" s="195" t="n">
        <f aca="false">SUM(AI28:AI52)</f>
        <v>0</v>
      </c>
      <c r="AJ53" s="195" t="n">
        <f aca="false">SUM(AJ28:AJ52)</f>
        <v>0</v>
      </c>
      <c r="AK53" s="195" t="n">
        <f aca="false">SUM(AK28:AK52)</f>
        <v>0</v>
      </c>
      <c r="AL53" s="195" t="n">
        <f aca="false">SUM(AL28:AL52)</f>
        <v>0</v>
      </c>
      <c r="AM53" s="195" t="n">
        <f aca="false">SUM(AM28:AM52)</f>
        <v>0</v>
      </c>
      <c r="AN53" s="195" t="n">
        <f aca="false">SUM(AN28:AN52)</f>
        <v>0</v>
      </c>
      <c r="AO53" s="195" t="n">
        <f aca="false">SUM(AO28:AO52)</f>
        <v>0</v>
      </c>
      <c r="AP53" s="195" t="n">
        <f aca="false">SUM(AP28:AP52)</f>
        <v>0</v>
      </c>
      <c r="AQ53" s="195" t="n">
        <f aca="false">SUM(AQ28:AQ52)</f>
        <v>0</v>
      </c>
      <c r="AR53" s="195" t="n">
        <f aca="false">SUM(AR28:AR52)</f>
        <v>0</v>
      </c>
      <c r="AS53" s="195" t="n">
        <f aca="false">SUM(AS28:AS52)</f>
        <v>0</v>
      </c>
      <c r="AT53" s="195" t="n">
        <f aca="false">SUM(AT28:AT52)</f>
        <v>0</v>
      </c>
      <c r="AU53" s="195" t="n">
        <f aca="false">SUM(AU28:AU52)</f>
        <v>0</v>
      </c>
      <c r="AV53" s="195" t="n">
        <f aca="false">SUM(AV28:AV52)</f>
        <v>0</v>
      </c>
      <c r="AW53" s="195" t="n">
        <f aca="false">SUM(AW28:AW52)</f>
        <v>0</v>
      </c>
      <c r="AX53" s="195" t="n">
        <f aca="false">SUM(AX28:AX52)</f>
        <v>0</v>
      </c>
      <c r="AY53" s="195" t="n">
        <f aca="false">SUM(AY28:AY52)</f>
        <v>0</v>
      </c>
      <c r="AZ53" s="195" t="n">
        <f aca="false">SUM(AZ28:AZ52)</f>
        <v>0</v>
      </c>
      <c r="BA53" s="195" t="n">
        <f aca="false">SUM(BA28:BA52)</f>
        <v>0</v>
      </c>
      <c r="BB53" s="195" t="n">
        <f aca="false">SUM(BB28:BB52)</f>
        <v>0</v>
      </c>
      <c r="BC53" s="195" t="n">
        <f aca="false">SUM(BC28:BC52)</f>
        <v>0</v>
      </c>
      <c r="BD53" s="195" t="n">
        <f aca="false">SUM(BD28:BD52)</f>
        <v>0</v>
      </c>
      <c r="BE53" s="195" t="n">
        <f aca="false">SUM(BE28:BE52)</f>
        <v>0</v>
      </c>
      <c r="BF53" s="195" t="n">
        <f aca="false">SUM(BF28:BF52)</f>
        <v>0</v>
      </c>
      <c r="BG53" s="195" t="n">
        <f aca="false">SUM(BG28:BG52)</f>
        <v>0</v>
      </c>
      <c r="BH53" s="195" t="n">
        <f aca="false">SUM(BH28:BH52)</f>
        <v>0</v>
      </c>
      <c r="BI53" s="195" t="n">
        <f aca="false">SUM(BI28:BI52)</f>
        <v>0</v>
      </c>
      <c r="BJ53" s="195" t="n">
        <f aca="false">SUM(BJ28:BJ52)</f>
        <v>0</v>
      </c>
      <c r="BK53" s="195" t="n">
        <f aca="false">SUM(BK28:BK52)</f>
        <v>0</v>
      </c>
      <c r="BL53" s="195" t="n">
        <f aca="false">SUM(BL28:BL52)</f>
        <v>0</v>
      </c>
      <c r="BM53" s="195" t="n">
        <f aca="false">SUM(BM28:BM52)</f>
        <v>0</v>
      </c>
      <c r="BN53" s="195" t="n">
        <f aca="false">SUM(BN28:BN52)</f>
        <v>0</v>
      </c>
      <c r="BO53" s="195" t="n">
        <f aca="false">SUM(BO28:BO52)</f>
        <v>0</v>
      </c>
      <c r="BP53" s="195" t="n">
        <f aca="false">SUM(BP28:BP52)</f>
        <v>0</v>
      </c>
      <c r="BQ53" s="195" t="n">
        <f aca="false">SUM(BQ28:BQ52)</f>
        <v>0</v>
      </c>
      <c r="BR53" s="195" t="n">
        <f aca="false">SUM(BR28:BR52)</f>
        <v>0</v>
      </c>
      <c r="BS53" s="195" t="n">
        <f aca="false">SUM(BS28:BS52)</f>
        <v>0</v>
      </c>
      <c r="BT53" s="195" t="n">
        <f aca="false">SUM(BT28:BT52)</f>
        <v>0</v>
      </c>
      <c r="BU53" s="195" t="n">
        <f aca="false">SUM(BU28:BU52)</f>
        <v>0</v>
      </c>
      <c r="BV53" s="195" t="n">
        <f aca="false">SUM(BV28:BV52)</f>
        <v>0</v>
      </c>
      <c r="BW53" s="195" t="n">
        <f aca="false">SUM(BW28:BW52)</f>
        <v>0</v>
      </c>
      <c r="BX53" s="195" t="n">
        <f aca="false">SUM(BX28:BX52)</f>
        <v>0</v>
      </c>
      <c r="BY53" s="195" t="n">
        <f aca="false">SUM(BY28:BY52)</f>
        <v>0</v>
      </c>
      <c r="BZ53" s="195" t="n">
        <f aca="false">SUM(BZ28:BZ52)</f>
        <v>0</v>
      </c>
      <c r="CA53" s="195" t="n">
        <f aca="false">SUM(CA28:CA52)</f>
        <v>0</v>
      </c>
      <c r="CB53" s="195" t="n">
        <f aca="false">SUM(CB28:CB52)</f>
        <v>0</v>
      </c>
      <c r="CC53" s="195" t="n">
        <f aca="false">SUM(CC28:CC52)</f>
        <v>0</v>
      </c>
      <c r="CD53" s="195" t="n">
        <f aca="false">SUM(CD28:CD52)</f>
        <v>0</v>
      </c>
      <c r="CE53" s="195" t="n">
        <f aca="false">SUM(CE28:CE52)</f>
        <v>0</v>
      </c>
      <c r="CF53" s="195" t="n">
        <f aca="false">SUM(CF28:CF52)</f>
        <v>0</v>
      </c>
      <c r="CG53" s="195" t="n">
        <f aca="false">SUM(CG28:CG52)</f>
        <v>0</v>
      </c>
      <c r="CH53" s="195" t="n">
        <f aca="false">SUM(CH28:CH52)</f>
        <v>0</v>
      </c>
      <c r="CI53" s="195" t="n">
        <f aca="false">SUM(CI28:CI52)</f>
        <v>0</v>
      </c>
      <c r="CJ53" s="195" t="n">
        <f aca="false">SUM(CJ28:CJ52)</f>
        <v>0</v>
      </c>
      <c r="CK53" s="195" t="n">
        <f aca="false">SUM(CK28:CK52)</f>
        <v>0</v>
      </c>
      <c r="CL53" s="195" t="n">
        <f aca="false">SUM(CL28:CL52)</f>
        <v>0</v>
      </c>
      <c r="CM53" s="195" t="n">
        <f aca="false">SUM(CM28:CM52)</f>
        <v>0</v>
      </c>
      <c r="CN53" s="195" t="n">
        <f aca="false">SUM(CN28:CN52)</f>
        <v>0</v>
      </c>
      <c r="CO53" s="195" t="n">
        <f aca="false">SUM(CO28:CO52)</f>
        <v>0</v>
      </c>
      <c r="CP53" s="195" t="n">
        <f aca="false">SUM(CP28:CP52)</f>
        <v>0</v>
      </c>
      <c r="CQ53" s="195" t="n">
        <f aca="false">SUM(CQ28:CQ52)</f>
        <v>0</v>
      </c>
      <c r="CR53" s="195" t="n">
        <f aca="false">SUM(CR28:CR52)</f>
        <v>0</v>
      </c>
      <c r="CS53" s="195" t="n">
        <f aca="false">SUM(CS28:CS52)</f>
        <v>0</v>
      </c>
      <c r="CT53" s="195" t="n">
        <f aca="false">SUM(CT28:CT52)</f>
        <v>0</v>
      </c>
      <c r="CU53" s="195" t="n">
        <f aca="false">SUM(CU28:CU52)</f>
        <v>0</v>
      </c>
      <c r="CV53" s="195" t="n">
        <f aca="false">SUM(CV28:CV52)</f>
        <v>0</v>
      </c>
      <c r="CW53" s="195" t="n">
        <f aca="false">SUM(CW28:CW52)</f>
        <v>0</v>
      </c>
      <c r="CX53" s="195" t="n">
        <f aca="false">SUM(CX28:CX52)</f>
        <v>0</v>
      </c>
      <c r="CY53" s="195" t="n">
        <f aca="false">SUM(CY28:CY52)</f>
        <v>0</v>
      </c>
      <c r="CZ53" s="195" t="n">
        <f aca="false">SUM(CZ28:CZ52)</f>
        <v>0</v>
      </c>
      <c r="DA53" s="195" t="n">
        <f aca="false">SUM(DA28:DA52)</f>
        <v>0</v>
      </c>
      <c r="DB53" s="195" t="n">
        <f aca="false">SUM(DB28:DB52)</f>
        <v>0</v>
      </c>
    </row>
    <row r="54" customFormat="false" ht="15" hidden="false" customHeight="true" outlineLevel="0" collapsed="false">
      <c r="A54" s="94" t="s">
        <v>590</v>
      </c>
      <c r="G54" s="196" t="n">
        <f aca="false">COUNT(G28:G52)</f>
        <v>0</v>
      </c>
      <c r="H54" s="196" t="n">
        <f aca="false">COUNT(H28:H52)</f>
        <v>0</v>
      </c>
      <c r="I54" s="196" t="n">
        <f aca="false">COUNT(I28:I52)</f>
        <v>0</v>
      </c>
      <c r="J54" s="196" t="n">
        <f aca="false">COUNT(J28:J52)</f>
        <v>0</v>
      </c>
      <c r="K54" s="196" t="n">
        <f aca="false">COUNT(K28:K52)</f>
        <v>0</v>
      </c>
      <c r="L54" s="196" t="n">
        <f aca="false">COUNT(L28:L52)</f>
        <v>0</v>
      </c>
      <c r="M54" s="196" t="n">
        <f aca="false">COUNT(M28:M52)</f>
        <v>0</v>
      </c>
      <c r="N54" s="196" t="n">
        <f aca="false">COUNT(N28:N52)</f>
        <v>0</v>
      </c>
      <c r="O54" s="196" t="n">
        <f aca="false">COUNT(O28:O52)</f>
        <v>0</v>
      </c>
      <c r="P54" s="196" t="n">
        <f aca="false">COUNT(P28:P52)</f>
        <v>0</v>
      </c>
      <c r="Q54" s="196" t="n">
        <f aca="false">COUNT(Q28:Q52)</f>
        <v>0</v>
      </c>
      <c r="R54" s="196" t="n">
        <f aca="false">COUNT(R28:R52)</f>
        <v>0</v>
      </c>
      <c r="S54" s="196" t="n">
        <f aca="false">COUNT(S28:S52)</f>
        <v>0</v>
      </c>
      <c r="T54" s="196" t="n">
        <f aca="false">COUNT(T28:T52)</f>
        <v>0</v>
      </c>
      <c r="U54" s="196" t="n">
        <f aca="false">COUNT(U28:U52)</f>
        <v>0</v>
      </c>
      <c r="V54" s="196" t="n">
        <f aca="false">COUNT(V28:V52)</f>
        <v>0</v>
      </c>
      <c r="W54" s="196" t="n">
        <f aca="false">COUNT(W28:W52)</f>
        <v>0</v>
      </c>
      <c r="X54" s="196" t="n">
        <f aca="false">COUNT(X28:X52)</f>
        <v>0</v>
      </c>
      <c r="Y54" s="196" t="n">
        <f aca="false">COUNT(Y28:Y52)</f>
        <v>0</v>
      </c>
      <c r="Z54" s="196" t="n">
        <f aca="false">COUNT(Z28:Z52)</f>
        <v>0</v>
      </c>
      <c r="AA54" s="196" t="n">
        <f aca="false">COUNT(AA28:AA52)</f>
        <v>0</v>
      </c>
      <c r="AB54" s="196" t="n">
        <f aca="false">COUNT(AB28:AB52)</f>
        <v>0</v>
      </c>
      <c r="AC54" s="196" t="n">
        <f aca="false">COUNT(AC28:AC52)</f>
        <v>0</v>
      </c>
      <c r="AD54" s="196" t="n">
        <f aca="false">COUNT(AD28:AD52)</f>
        <v>0</v>
      </c>
      <c r="AE54" s="196" t="n">
        <f aca="false">COUNT(AE28:AE52)</f>
        <v>0</v>
      </c>
      <c r="AF54" s="196" t="n">
        <f aca="false">COUNT(AF28:AF52)</f>
        <v>0</v>
      </c>
      <c r="AG54" s="196" t="n">
        <f aca="false">COUNT(AG28:AG52)</f>
        <v>0</v>
      </c>
      <c r="AH54" s="196" t="n">
        <f aca="false">COUNT(AH28:AH52)</f>
        <v>0</v>
      </c>
      <c r="AI54" s="196" t="n">
        <f aca="false">COUNT(AI28:AI52)</f>
        <v>0</v>
      </c>
      <c r="AJ54" s="196" t="n">
        <f aca="false">COUNT(AJ28:AJ52)</f>
        <v>0</v>
      </c>
      <c r="AK54" s="196" t="n">
        <f aca="false">COUNT(AK28:AK52)</f>
        <v>0</v>
      </c>
      <c r="AL54" s="196" t="n">
        <f aca="false">COUNT(AL28:AL52)</f>
        <v>0</v>
      </c>
      <c r="AM54" s="196" t="n">
        <f aca="false">COUNT(AM28:AM52)</f>
        <v>0</v>
      </c>
      <c r="AN54" s="196" t="n">
        <f aca="false">COUNT(AN28:AN52)</f>
        <v>0</v>
      </c>
      <c r="AO54" s="196" t="n">
        <f aca="false">COUNT(AO28:AO52)</f>
        <v>0</v>
      </c>
      <c r="AP54" s="196" t="n">
        <f aca="false">COUNT(AP28:AP52)</f>
        <v>0</v>
      </c>
      <c r="AQ54" s="196" t="n">
        <f aca="false">COUNT(AQ28:AQ52)</f>
        <v>0</v>
      </c>
      <c r="AR54" s="196" t="n">
        <f aca="false">COUNT(AR28:AR52)</f>
        <v>0</v>
      </c>
      <c r="AS54" s="196" t="n">
        <f aca="false">COUNT(AS28:AS52)</f>
        <v>0</v>
      </c>
      <c r="AT54" s="196" t="n">
        <f aca="false">COUNT(AT28:AT52)</f>
        <v>0</v>
      </c>
      <c r="AU54" s="196" t="n">
        <f aca="false">COUNT(AU28:AU52)</f>
        <v>0</v>
      </c>
      <c r="AV54" s="196" t="n">
        <f aca="false">COUNT(AV28:AV52)</f>
        <v>0</v>
      </c>
      <c r="AW54" s="196" t="n">
        <f aca="false">COUNT(AW28:AW52)</f>
        <v>0</v>
      </c>
      <c r="AX54" s="196" t="n">
        <f aca="false">COUNT(AX28:AX52)</f>
        <v>0</v>
      </c>
      <c r="AY54" s="196" t="n">
        <f aca="false">COUNT(AY28:AY52)</f>
        <v>0</v>
      </c>
      <c r="AZ54" s="196" t="n">
        <f aca="false">COUNT(AZ28:AZ52)</f>
        <v>0</v>
      </c>
      <c r="BA54" s="196" t="n">
        <f aca="false">COUNT(BA28:BA52)</f>
        <v>0</v>
      </c>
      <c r="BB54" s="196" t="n">
        <f aca="false">COUNT(BB28:BB52)</f>
        <v>0</v>
      </c>
      <c r="BC54" s="196" t="n">
        <f aca="false">COUNT(BC28:BC52)</f>
        <v>0</v>
      </c>
      <c r="BD54" s="196" t="n">
        <f aca="false">COUNT(BD28:BD52)</f>
        <v>0</v>
      </c>
      <c r="BE54" s="196" t="n">
        <f aca="false">COUNT(BE28:BE52)</f>
        <v>0</v>
      </c>
      <c r="BF54" s="196" t="n">
        <f aca="false">COUNT(BF28:BF52)</f>
        <v>0</v>
      </c>
      <c r="BG54" s="196" t="n">
        <f aca="false">COUNT(BG28:BG52)</f>
        <v>0</v>
      </c>
      <c r="BH54" s="196" t="n">
        <f aca="false">COUNT(BH28:BH52)</f>
        <v>0</v>
      </c>
      <c r="BI54" s="196" t="n">
        <f aca="false">COUNT(BI28:BI52)</f>
        <v>0</v>
      </c>
      <c r="BJ54" s="196" t="n">
        <f aca="false">COUNT(BJ28:BJ52)</f>
        <v>0</v>
      </c>
      <c r="BK54" s="196" t="n">
        <f aca="false">COUNT(BK28:BK52)</f>
        <v>0</v>
      </c>
      <c r="BL54" s="196" t="n">
        <f aca="false">COUNT(BL28:BL52)</f>
        <v>0</v>
      </c>
      <c r="BM54" s="196" t="n">
        <f aca="false">COUNT(BM28:BM52)</f>
        <v>0</v>
      </c>
      <c r="BN54" s="196" t="n">
        <f aca="false">COUNT(BN28:BN52)</f>
        <v>0</v>
      </c>
      <c r="BO54" s="196" t="n">
        <f aca="false">COUNT(BO28:BO52)</f>
        <v>0</v>
      </c>
      <c r="BP54" s="196" t="n">
        <f aca="false">COUNT(BP28:BP52)</f>
        <v>0</v>
      </c>
      <c r="BQ54" s="196" t="n">
        <f aca="false">COUNT(BQ28:BQ52)</f>
        <v>0</v>
      </c>
      <c r="BR54" s="196" t="n">
        <f aca="false">COUNT(BR28:BR52)</f>
        <v>0</v>
      </c>
      <c r="BS54" s="196" t="n">
        <f aca="false">COUNT(BS28:BS52)</f>
        <v>0</v>
      </c>
      <c r="BT54" s="196" t="n">
        <f aca="false">COUNT(BT28:BT52)</f>
        <v>0</v>
      </c>
      <c r="BU54" s="196" t="n">
        <f aca="false">COUNT(BU28:BU52)</f>
        <v>0</v>
      </c>
      <c r="BV54" s="196" t="n">
        <f aca="false">COUNT(BV28:BV52)</f>
        <v>0</v>
      </c>
      <c r="BW54" s="196" t="n">
        <f aca="false">COUNT(BW28:BW52)</f>
        <v>0</v>
      </c>
      <c r="BX54" s="196" t="n">
        <f aca="false">COUNT(BX28:BX52)</f>
        <v>0</v>
      </c>
      <c r="BY54" s="196" t="n">
        <f aca="false">COUNT(BY28:BY52)</f>
        <v>0</v>
      </c>
      <c r="BZ54" s="196" t="n">
        <f aca="false">COUNT(BZ28:BZ52)</f>
        <v>0</v>
      </c>
      <c r="CA54" s="196" t="n">
        <f aca="false">COUNT(CA28:CA52)</f>
        <v>0</v>
      </c>
      <c r="CB54" s="196" t="n">
        <f aca="false">COUNT(CB28:CB52)</f>
        <v>0</v>
      </c>
      <c r="CC54" s="196" t="n">
        <f aca="false">COUNT(CC28:CC52)</f>
        <v>0</v>
      </c>
      <c r="CD54" s="196" t="n">
        <f aca="false">COUNT(CD28:CD52)</f>
        <v>0</v>
      </c>
      <c r="CE54" s="196" t="n">
        <f aca="false">COUNT(CE28:CE52)</f>
        <v>0</v>
      </c>
      <c r="CF54" s="196" t="n">
        <f aca="false">COUNT(CF28:CF52)</f>
        <v>0</v>
      </c>
      <c r="CG54" s="196" t="n">
        <f aca="false">COUNT(CG28:CG52)</f>
        <v>0</v>
      </c>
      <c r="CH54" s="196" t="n">
        <f aca="false">COUNT(CH28:CH52)</f>
        <v>0</v>
      </c>
      <c r="CI54" s="196" t="n">
        <f aca="false">COUNT(CI28:CI52)</f>
        <v>0</v>
      </c>
      <c r="CJ54" s="196" t="n">
        <f aca="false">COUNT(CJ28:CJ52)</f>
        <v>0</v>
      </c>
      <c r="CK54" s="196" t="n">
        <f aca="false">COUNT(CK28:CK52)</f>
        <v>0</v>
      </c>
      <c r="CL54" s="196" t="n">
        <f aca="false">COUNT(CL28:CL52)</f>
        <v>0</v>
      </c>
      <c r="CM54" s="196" t="n">
        <f aca="false">COUNT(CM28:CM52)</f>
        <v>0</v>
      </c>
      <c r="CN54" s="196" t="n">
        <f aca="false">COUNT(CN28:CN52)</f>
        <v>0</v>
      </c>
      <c r="CO54" s="196" t="n">
        <f aca="false">COUNT(CO28:CO52)</f>
        <v>0</v>
      </c>
      <c r="CP54" s="196" t="n">
        <f aca="false">COUNT(CP28:CP52)</f>
        <v>0</v>
      </c>
      <c r="CQ54" s="196" t="n">
        <f aca="false">COUNT(CQ28:CQ52)</f>
        <v>0</v>
      </c>
      <c r="CR54" s="196" t="n">
        <f aca="false">COUNT(CR28:CR52)</f>
        <v>0</v>
      </c>
      <c r="CS54" s="196" t="n">
        <f aca="false">COUNT(CS28:CS52)</f>
        <v>0</v>
      </c>
      <c r="CT54" s="196" t="n">
        <f aca="false">COUNT(CT28:CT52)</f>
        <v>0</v>
      </c>
      <c r="CU54" s="196" t="n">
        <f aca="false">COUNT(CU28:CU52)</f>
        <v>0</v>
      </c>
      <c r="CV54" s="196" t="n">
        <f aca="false">COUNT(CV28:CV52)</f>
        <v>0</v>
      </c>
      <c r="CW54" s="196" t="n">
        <f aca="false">COUNT(CW28:CW52)</f>
        <v>0</v>
      </c>
      <c r="CX54" s="196" t="n">
        <f aca="false">COUNT(CX28:CX52)</f>
        <v>0</v>
      </c>
      <c r="CY54" s="196" t="n">
        <f aca="false">COUNT(CY28:CY52)</f>
        <v>0</v>
      </c>
      <c r="CZ54" s="196" t="n">
        <f aca="false">COUNT(CZ28:CZ52)</f>
        <v>0</v>
      </c>
      <c r="DA54" s="196" t="n">
        <f aca="false">COUNT(DA28:DA52)</f>
        <v>0</v>
      </c>
      <c r="DB54" s="196" t="n">
        <f aca="false">COUNT(DB28:DB52)</f>
        <v>0</v>
      </c>
    </row>
    <row r="55" customFormat="false" ht="13.5" hidden="false" customHeight="true" outlineLevel="0" collapsed="false">
      <c r="A55" s="197" t="s">
        <v>591</v>
      </c>
      <c r="G55" s="198" t="n">
        <f aca="false">Model!E10+Model!E11+Model!E56</f>
        <v>379597.99</v>
      </c>
      <c r="H55" s="198" t="n">
        <f aca="false">Model!F10+Model!F11+Model!F56</f>
        <v>476783.4</v>
      </c>
      <c r="I55" s="198" t="n">
        <f aca="false">Model!G10+Model!G11+Model!G56</f>
        <v>667740.25</v>
      </c>
      <c r="J55" s="198" t="n">
        <f aca="false">Model!H10+Model!H11+Model!H56</f>
        <v>616538.58</v>
      </c>
      <c r="K55" s="198" t="n">
        <f aca="false">Model!I10+Model!I11+Model!I56</f>
        <v>760604.39</v>
      </c>
      <c r="L55" s="198" t="n">
        <f aca="false">Model!J10+Model!J11+Model!J56</f>
        <v>721911.521852589</v>
      </c>
      <c r="M55" s="198" t="n">
        <f aca="false">Model!K10+Model!K11+Model!K56</f>
        <v>760111.762712477</v>
      </c>
      <c r="N55" s="198" t="n">
        <f aca="false">Model!L10+Model!L11+Model!L56</f>
        <v>639055.760459158</v>
      </c>
      <c r="O55" s="198" t="n">
        <f aca="false">Model!M10+Model!M11+Model!M56</f>
        <v>674103.097224053</v>
      </c>
      <c r="P55" s="198" t="n">
        <f aca="false">Model!N10+Model!N11+Model!N56</f>
        <v>846380.631338765</v>
      </c>
      <c r="Q55" s="198" t="n">
        <f aca="false">Model!O10+Model!O11+Model!O56</f>
        <v>841196.977819715</v>
      </c>
      <c r="R55" s="198" t="n">
        <f aca="false">Model!P10+Model!P11+Model!P56</f>
        <v>868594.557819716</v>
      </c>
      <c r="S55" s="198" t="n">
        <f aca="false">Model!Q10+Model!Q11+Model!Q56</f>
        <v>989708.391876932</v>
      </c>
      <c r="T55" s="198" t="n">
        <f aca="false">Model!R10+Model!R11+Model!R56</f>
        <v>1038584.63997018</v>
      </c>
      <c r="U55" s="198" t="n">
        <f aca="false">Model!S10+Model!S11+Model!S56</f>
        <v>1119092.79484693</v>
      </c>
      <c r="V55" s="198" t="n">
        <f aca="false">Model!T10+Model!T11+Model!T56</f>
        <v>1324184.76498088</v>
      </c>
      <c r="W55" s="198" t="n">
        <f aca="false">Model!U10+Model!U11+Model!U56</f>
        <v>1215743.79498088</v>
      </c>
      <c r="X55" s="198" t="n">
        <f aca="false">Model!V10+Model!V11+Model!V56</f>
        <v>1290031.16498088</v>
      </c>
      <c r="Y55" s="198" t="n">
        <f aca="false">Model!W10+Model!W11+Model!W56</f>
        <v>1110973.59498088</v>
      </c>
      <c r="Z55" s="198" t="n">
        <f aca="false">Model!X10+Model!X11+Model!X56</f>
        <v>1404851.5398398</v>
      </c>
      <c r="AA55" s="198" t="n">
        <f aca="false">Model!Y10+Model!Y11+Model!Y56</f>
        <v>1243090.7198398</v>
      </c>
      <c r="AB55" s="198" t="n">
        <f aca="false">Model!Z10+Model!Z11+Model!Z56</f>
        <v>1369436.8998398</v>
      </c>
      <c r="AC55" s="198" t="n">
        <f aca="false">Model!AA10+Model!AA11+Model!AA56</f>
        <v>1398675.55320094</v>
      </c>
      <c r="AD55" s="198" t="n">
        <f aca="false">Model!AB10+Model!AB11+Model!AB56</f>
        <v>1212343.83110043</v>
      </c>
      <c r="AE55" s="198" t="n">
        <f aca="false">Model!AC10+Model!AC11+Model!AC56</f>
        <v>983618.361856879</v>
      </c>
      <c r="AF55" s="198" t="n">
        <f aca="false">Model!AD10+Model!AD11+Model!AD56</f>
        <v>1006568.27185688</v>
      </c>
      <c r="AG55" s="198" t="n">
        <f aca="false">Model!AE10+Model!AE11+Model!AE56</f>
        <v>1155159.92272543</v>
      </c>
      <c r="AH55" s="198" t="n">
        <f aca="false">Model!AF10+Model!AF11+Model!AF56</f>
        <v>1324779.73684014</v>
      </c>
      <c r="AI55" s="198" t="n">
        <f aca="false">Model!AG10+Model!AG11+Model!AG56</f>
        <v>1234876.82509166</v>
      </c>
      <c r="AJ55" s="198" t="n">
        <f aca="false">Model!AH10+Model!AH11+Model!AH56</f>
        <v>1098183.50212976</v>
      </c>
      <c r="AK55" s="198" t="n">
        <f aca="false">Model!AI10+Model!AI11+Model!AI56</f>
        <v>1092016.63212976</v>
      </c>
      <c r="AL55" s="198" t="n">
        <f aca="false">Model!AJ10+Model!AJ11+Model!AJ56</f>
        <v>1189583.24979076</v>
      </c>
      <c r="AM55" s="198" t="n">
        <f aca="false">Model!AK10+Model!AK11+Model!AK56</f>
        <v>818983.359672128</v>
      </c>
      <c r="AN55" s="198" t="n">
        <f aca="false">Model!AL10+Model!AL11+Model!AL56</f>
        <v>808059.470052578</v>
      </c>
      <c r="AO55" s="198" t="n">
        <f aca="false">Model!AM10+Model!AM11+Model!AM56</f>
        <v>597906.909784677</v>
      </c>
      <c r="AP55" s="198" t="n">
        <f aca="false">Model!AN10+Model!AN11+Model!AN56</f>
        <v>489424.859784678</v>
      </c>
      <c r="AQ55" s="198" t="n">
        <f aca="false">Model!AO10+Model!AO11+Model!AO56</f>
        <v>449496.249784678</v>
      </c>
      <c r="AR55" s="198" t="n">
        <f aca="false">Model!AP10+Model!AP11+Model!AP56</f>
        <v>449496.249784678</v>
      </c>
      <c r="AS55" s="198" t="n">
        <f aca="false">Model!AQ10+Model!AQ11+Model!AQ56</f>
        <v>449496.249784678</v>
      </c>
      <c r="AT55" s="198" t="n">
        <f aca="false">Model!AR10+Model!AR11+Model!AR56</f>
        <v>449496.249784678</v>
      </c>
      <c r="AU55" s="198" t="n">
        <f aca="false">Model!AS10+Model!AS11+Model!AS56</f>
        <v>449496.249784678</v>
      </c>
      <c r="AV55" s="198" t="n">
        <f aca="false">Model!AT10+Model!AT11+Model!AT56</f>
        <v>721981.835138178</v>
      </c>
      <c r="AW55" s="198" t="n">
        <f aca="false">Model!AU10+Model!AU11+Model!AU56</f>
        <v>427569.2939703</v>
      </c>
      <c r="AX55" s="198" t="n">
        <f aca="false">Model!AV10+Model!AV11+Model!AV56</f>
        <v>157659.640868547</v>
      </c>
      <c r="AY55" s="198" t="n">
        <f aca="false">Model!AW10+Model!AW11+Model!AW56</f>
        <v>157659.640868547</v>
      </c>
      <c r="AZ55" s="198" t="n">
        <f aca="false">Model!AX10+Model!AX11+Model!AX56</f>
        <v>157659.640868547</v>
      </c>
      <c r="BA55" s="198" t="n">
        <f aca="false">Model!AY10+Model!AY11+Model!AY56</f>
        <v>157659.640868547</v>
      </c>
      <c r="BB55" s="198" t="n">
        <f aca="false">Model!AZ10+Model!AZ11+Model!AZ56</f>
        <v>157659.640868547</v>
      </c>
      <c r="BC55" s="198" t="n">
        <f aca="false">Model!BA10+Model!BA11+Model!BA56</f>
        <v>157659.640868547</v>
      </c>
      <c r="BD55" s="198" t="n">
        <f aca="false">Model!BB10+Model!BB11+Model!BB56</f>
        <v>157659.640868547</v>
      </c>
      <c r="BE55" s="198" t="n">
        <f aca="false">Model!BC10+Model!BC11+Model!BC56</f>
        <v>157659.640868547</v>
      </c>
      <c r="BF55" s="198" t="n">
        <f aca="false">Model!BD10+Model!BD11+Model!BD56</f>
        <v>157659.640868547</v>
      </c>
      <c r="BG55" s="198" t="n">
        <f aca="false">Model!BE10+Model!BE11+Model!BE56</f>
        <v>157659.640868547</v>
      </c>
      <c r="BH55" s="198" t="n">
        <f aca="false">Model!BF10+Model!BF11+Model!BF56</f>
        <v>157659.640868547</v>
      </c>
      <c r="BI55" s="198" t="n">
        <f aca="false">Model!BG10+Model!BG11+Model!BG56</f>
        <v>157659.640868547</v>
      </c>
      <c r="BJ55" s="198" t="n">
        <f aca="false">Model!BH10+Model!BH11+Model!BH56</f>
        <v>406595.915924147</v>
      </c>
      <c r="BK55" s="198" t="n">
        <f aca="false">Model!BI10+Model!BI11+Model!BI56</f>
        <v>0</v>
      </c>
      <c r="BL55" s="198" t="n">
        <f aca="false">Model!BJ10+Model!BJ11+Model!BJ56</f>
        <v>0</v>
      </c>
      <c r="BM55" s="198" t="n">
        <f aca="false">Model!BK10+Model!BK11+Model!BK56</f>
        <v>0</v>
      </c>
      <c r="BN55" s="198" t="n">
        <f aca="false">Model!BL10+Model!BL11+Model!BL56</f>
        <v>0</v>
      </c>
      <c r="BO55" s="198" t="n">
        <f aca="false">Model!BM10+Model!BM11+Model!BM56</f>
        <v>0</v>
      </c>
      <c r="BP55" s="198" t="n">
        <f aca="false">Model!BN10+Model!BN11+Model!BN56</f>
        <v>0</v>
      </c>
      <c r="BQ55" s="198" t="n">
        <f aca="false">Model!BO10+Model!BO11+Model!BO56</f>
        <v>0</v>
      </c>
      <c r="BR55" s="198" t="n">
        <f aca="false">Model!BP10+Model!BP11+Model!BP56</f>
        <v>0</v>
      </c>
      <c r="BS55" s="198" t="n">
        <f aca="false">Model!BQ10+Model!BQ11+Model!BQ56</f>
        <v>0</v>
      </c>
      <c r="BT55" s="198" t="n">
        <f aca="false">Model!BR10+Model!BR11+Model!BR56</f>
        <v>0</v>
      </c>
      <c r="BU55" s="198" t="n">
        <f aca="false">Model!BS10+Model!BS11+Model!BS56</f>
        <v>0</v>
      </c>
      <c r="BV55" s="198" t="n">
        <f aca="false">Model!BT10+Model!BT11+Model!BT56</f>
        <v>0</v>
      </c>
      <c r="BW55" s="198" t="n">
        <f aca="false">Model!BU10+Model!BU11+Model!BU56</f>
        <v>0</v>
      </c>
      <c r="BX55" s="198" t="n">
        <f aca="false">Model!BV10+Model!BV11+Model!BV56</f>
        <v>0</v>
      </c>
      <c r="BY55" s="198" t="n">
        <f aca="false">Model!BW10+Model!BW11+Model!BW56</f>
        <v>0</v>
      </c>
      <c r="BZ55" s="198" t="n">
        <f aca="false">Model!BX10+Model!BX11+Model!BX56</f>
        <v>0</v>
      </c>
      <c r="CA55" s="198" t="n">
        <f aca="false">Model!BY10+Model!BY11+Model!BY56</f>
        <v>0</v>
      </c>
      <c r="CB55" s="198" t="n">
        <f aca="false">Model!BZ10+Model!BZ11+Model!BZ56</f>
        <v>0</v>
      </c>
      <c r="CC55" s="198" t="n">
        <f aca="false">Model!CA10+Model!CA11+Model!CA56</f>
        <v>0</v>
      </c>
      <c r="CD55" s="198" t="n">
        <f aca="false">Model!CB10+Model!CB11+Model!CB56</f>
        <v>0</v>
      </c>
      <c r="CE55" s="198" t="n">
        <f aca="false">Model!CC10+Model!CC11+Model!CC56</f>
        <v>0</v>
      </c>
      <c r="CF55" s="198" t="n">
        <f aca="false">Model!CD10+Model!CD11+Model!CD56</f>
        <v>0</v>
      </c>
      <c r="CG55" s="198" t="n">
        <f aca="false">Model!CE10+Model!CE11+Model!CE56</f>
        <v>0</v>
      </c>
      <c r="CH55" s="198" t="n">
        <f aca="false">Model!CF10+Model!CF11+Model!CF56</f>
        <v>0</v>
      </c>
      <c r="CI55" s="198" t="n">
        <f aca="false">Model!CG10+Model!CG11+Model!CG56</f>
        <v>0</v>
      </c>
      <c r="CJ55" s="198" t="n">
        <f aca="false">Model!CH10+Model!CH11+Model!CH56</f>
        <v>0</v>
      </c>
      <c r="CK55" s="198" t="n">
        <f aca="false">Model!CI10+Model!CI11+Model!CI56</f>
        <v>0</v>
      </c>
      <c r="CL55" s="198" t="n">
        <f aca="false">Model!CJ10+Model!CJ11+Model!CJ56</f>
        <v>0</v>
      </c>
      <c r="CM55" s="198" t="n">
        <f aca="false">Model!CK10+Model!CK11+Model!CK56</f>
        <v>0</v>
      </c>
      <c r="CN55" s="198" t="n">
        <f aca="false">Model!CL10+Model!CL11+Model!CL56</f>
        <v>0</v>
      </c>
      <c r="CO55" s="198" t="n">
        <f aca="false">Model!CM10+Model!CM11+Model!CM56</f>
        <v>0</v>
      </c>
      <c r="CP55" s="198" t="n">
        <f aca="false">Model!CN10+Model!CN11+Model!CN56</f>
        <v>0</v>
      </c>
      <c r="CQ55" s="198" t="n">
        <f aca="false">Model!CO10+Model!CO11+Model!CO56</f>
        <v>0</v>
      </c>
      <c r="CR55" s="198" t="n">
        <f aca="false">Model!CP10+Model!CP11+Model!CP56</f>
        <v>0</v>
      </c>
      <c r="CS55" s="198" t="n">
        <f aca="false">Model!CQ10+Model!CQ11+Model!CQ56</f>
        <v>0</v>
      </c>
      <c r="CT55" s="198" t="n">
        <f aca="false">Model!CR10+Model!CR11+Model!CR56</f>
        <v>0</v>
      </c>
      <c r="CU55" s="198" t="n">
        <f aca="false">Model!CS10+Model!CS11+Model!CS56</f>
        <v>0</v>
      </c>
      <c r="CV55" s="198" t="n">
        <f aca="false">Model!CT10+Model!CT11+Model!CT56</f>
        <v>0</v>
      </c>
      <c r="CW55" s="198" t="n">
        <f aca="false">Model!CU10+Model!CU11+Model!CU56</f>
        <v>0</v>
      </c>
      <c r="CX55" s="198" t="n">
        <f aca="false">Model!CV10+Model!CV11+Model!CV56</f>
        <v>0</v>
      </c>
      <c r="CY55" s="198" t="n">
        <f aca="false">Model!CW10+Model!CW11+Model!CW56</f>
        <v>0</v>
      </c>
      <c r="CZ55" s="198" t="n">
        <f aca="false">Model!CX10+Model!CX11+Model!CX56</f>
        <v>0</v>
      </c>
      <c r="DA55" s="198" t="n">
        <f aca="false">Model!CY10+Model!CY11+Model!CY56</f>
        <v>0</v>
      </c>
      <c r="DB55" s="198" t="n">
        <f aca="false">Model!CZ10+Model!CZ11+Model!CZ56</f>
        <v>0</v>
      </c>
    </row>
    <row r="56" customFormat="false" ht="15" hidden="false" customHeight="true" outlineLevel="0" collapsed="false">
      <c r="A56" s="199" t="s">
        <v>592</v>
      </c>
      <c r="B56" s="200"/>
      <c r="C56" s="200"/>
      <c r="D56" s="200"/>
      <c r="E56" s="200"/>
      <c r="F56" s="200"/>
      <c r="G56" s="201" t="n">
        <f aca="false">G21+G53+G55</f>
        <v>3692357.9</v>
      </c>
      <c r="H56" s="201" t="n">
        <f aca="false">H21+H53+H55</f>
        <v>4416061.63</v>
      </c>
      <c r="I56" s="201" t="n">
        <f aca="false">I21+I53+I55</f>
        <v>6252262.98</v>
      </c>
      <c r="J56" s="201" t="n">
        <f aca="false">J21+J53+J55</f>
        <v>7025595.65</v>
      </c>
      <c r="K56" s="201" t="n">
        <f aca="false">K21+K53+K55</f>
        <v>6064732.98</v>
      </c>
      <c r="L56" s="201" t="n">
        <f aca="false">L21+L53+L55</f>
        <v>5842178.10798445</v>
      </c>
      <c r="M56" s="201" t="n">
        <f aca="false">M21+M53+M55</f>
        <v>6074750.12847776</v>
      </c>
      <c r="N56" s="201" t="n">
        <f aca="false">N21+N53+N55</f>
        <v>5223190.74034752</v>
      </c>
      <c r="O56" s="201" t="n">
        <f aca="false">O21+O53+O55</f>
        <v>5225267.037072</v>
      </c>
      <c r="P56" s="201" t="n">
        <f aca="false">P21+P53+P55</f>
        <v>6498594.46622125</v>
      </c>
      <c r="Q56" s="201" t="n">
        <f aca="false">Q21+Q53+Q55</f>
        <v>6520121.54458745</v>
      </c>
      <c r="R56" s="201" t="n">
        <f aca="false">R21+R53+R55</f>
        <v>7237808.46961955</v>
      </c>
      <c r="S56" s="201" t="n">
        <f aca="false">S21+S53+S55</f>
        <v>7916353.2931488</v>
      </c>
      <c r="T56" s="201" t="n">
        <f aca="false">T21+T53+T55</f>
        <v>8367241.4754971</v>
      </c>
      <c r="U56" s="201" t="n">
        <f aca="false">U21+U53+U55</f>
        <v>9205779.4595526</v>
      </c>
      <c r="V56" s="201" t="n">
        <f aca="false">V21+V53+V55</f>
        <v>11026756.0729176</v>
      </c>
      <c r="W56" s="201" t="n">
        <f aca="false">W21+W53+W55</f>
        <v>10704635.7348828</v>
      </c>
      <c r="X56" s="201" t="n">
        <f aca="false">X21+X53+X55</f>
        <v>11665103.9231565</v>
      </c>
      <c r="Y56" s="201" t="n">
        <f aca="false">Y21+Y53+Y55</f>
        <v>10580737.616321</v>
      </c>
      <c r="Z56" s="201" t="n">
        <f aca="false">Z21+Z53+Z55</f>
        <v>12876610.3823414</v>
      </c>
      <c r="AA56" s="201" t="n">
        <f aca="false">AA21+AA53+AA55</f>
        <v>11822867.4296276</v>
      </c>
      <c r="AB56" s="201" t="n">
        <f aca="false">AB21+AB53+AB55</f>
        <v>12979937.1426432</v>
      </c>
      <c r="AC56" s="201" t="n">
        <f aca="false">AC21+AC53+AC55</f>
        <v>12526837.8979441</v>
      </c>
      <c r="AD56" s="201" t="n">
        <f aca="false">AD21+AD53+AD55</f>
        <v>11364938.8623118</v>
      </c>
      <c r="AE56" s="201" t="n">
        <f aca="false">AE21+AE53+AE55</f>
        <v>10336494.9643158</v>
      </c>
      <c r="AF56" s="201" t="n">
        <f aca="false">AF21+AF53+AF55</f>
        <v>10287256.751448</v>
      </c>
      <c r="AG56" s="201" t="n">
        <f aca="false">AG21+AG53+AG55</f>
        <v>10520627.4659031</v>
      </c>
      <c r="AH56" s="201" t="n">
        <f aca="false">AH21+AH53+AH55</f>
        <v>10419504.9548923</v>
      </c>
      <c r="AI56" s="201" t="n">
        <f aca="false">AI21+AI53+AI55</f>
        <v>10517872.2595754</v>
      </c>
      <c r="AJ56" s="201" t="n">
        <f aca="false">AJ21+AJ53+AJ55</f>
        <v>9747987.69442756</v>
      </c>
      <c r="AK56" s="201" t="n">
        <f aca="false">AK21+AK53+AK55</f>
        <v>9292607.01656332</v>
      </c>
      <c r="AL56" s="201" t="n">
        <f aca="false">AL21+AL53+AL55</f>
        <v>7853272.85592246</v>
      </c>
      <c r="AM56" s="201" t="n">
        <f aca="false">AM21+AM53+AM55</f>
        <v>6501109.93830076</v>
      </c>
      <c r="AN56" s="201" t="n">
        <f aca="false">AN21+AN53+AN55</f>
        <v>6050066.97877344</v>
      </c>
      <c r="AO56" s="201" t="n">
        <f aca="false">AO21+AO53+AO55</f>
        <v>5477006.50592696</v>
      </c>
      <c r="AP56" s="201" t="n">
        <f aca="false">AP21+AP53+AP55</f>
        <v>4399976.67660356</v>
      </c>
      <c r="AQ56" s="201" t="n">
        <f aca="false">AQ21+AQ53+AQ55</f>
        <v>3867556.44940938</v>
      </c>
      <c r="AR56" s="201" t="n">
        <f aca="false">AR21+AR53+AR55</f>
        <v>3655225.74237986</v>
      </c>
      <c r="AS56" s="201" t="n">
        <f aca="false">AS21+AS53+AS55</f>
        <v>2921081.120626</v>
      </c>
      <c r="AT56" s="201" t="n">
        <f aca="false">AT21+AT53+AT55</f>
        <v>2836713.745206</v>
      </c>
      <c r="AU56" s="201" t="n">
        <f aca="false">AU21+AU53+AU55</f>
        <v>2739322.4799</v>
      </c>
      <c r="AV56" s="201" t="n">
        <f aca="false">AV21+AV53+AV55</f>
        <v>2629912.69681</v>
      </c>
      <c r="AW56" s="201" t="n">
        <f aca="false">AW21+AW53+AW55</f>
        <v>1882173.366216</v>
      </c>
      <c r="AX56" s="201" t="n">
        <f aca="false">AX21+AX53+AX55</f>
        <v>1844954.197416</v>
      </c>
      <c r="AY56" s="201" t="n">
        <f aca="false">AY21+AY53+AY55</f>
        <v>1790448.79244</v>
      </c>
      <c r="AZ56" s="201" t="n">
        <f aca="false">AZ21+AZ53+AZ55</f>
        <v>1720311.336568</v>
      </c>
      <c r="BA56" s="201" t="n">
        <f aca="false">BA21+BA53+BA55</f>
        <v>1636485.497504</v>
      </c>
      <c r="BB56" s="201" t="n">
        <f aca="false">BB21+BB53+BB55</f>
        <v>1541245.780008</v>
      </c>
      <c r="BC56" s="201" t="n">
        <f aca="false">BC21+BC53+BC55</f>
        <v>1437156.171264</v>
      </c>
      <c r="BD56" s="201" t="n">
        <f aca="false">BD21+BD53+BD55</f>
        <v>1326739.303824</v>
      </c>
      <c r="BE56" s="201" t="n">
        <f aca="false">BE21+BE53+BE55</f>
        <v>1212641.874136</v>
      </c>
      <c r="BF56" s="201" t="n">
        <f aca="false">BF21+BF53+BF55</f>
        <v>1097345.16012</v>
      </c>
      <c r="BG56" s="201" t="n">
        <f aca="false">BG21+BG53+BG55</f>
        <v>983123.666536</v>
      </c>
      <c r="BH56" s="201" t="n">
        <f aca="false">BH21+BH53+BH55</f>
        <v>872045.124984</v>
      </c>
      <c r="BI56" s="201" t="n">
        <f aca="false">BI21+BI53+BI55</f>
        <v>765805.075376</v>
      </c>
      <c r="BJ56" s="201" t="n">
        <f aca="false">BJ21+BJ53+BJ55</f>
        <v>665850.929832</v>
      </c>
      <c r="BK56" s="201" t="n">
        <f aca="false">BK21+BK53+BK55</f>
        <v>0</v>
      </c>
      <c r="BL56" s="201" t="n">
        <f aca="false">BL21+BL53+BL55</f>
        <v>0</v>
      </c>
      <c r="BM56" s="201" t="n">
        <f aca="false">BM21+BM53+BM55</f>
        <v>0</v>
      </c>
      <c r="BN56" s="201" t="n">
        <f aca="false">BN21+BN53+BN55</f>
        <v>0</v>
      </c>
      <c r="BO56" s="201" t="n">
        <f aca="false">BO21+BO53+BO55</f>
        <v>0</v>
      </c>
      <c r="BP56" s="201" t="n">
        <f aca="false">BP21+BP53+BP55</f>
        <v>0</v>
      </c>
      <c r="BQ56" s="201" t="n">
        <f aca="false">BQ21+BQ53+BQ55</f>
        <v>0</v>
      </c>
      <c r="BR56" s="201" t="n">
        <f aca="false">BR21+BR53+BR55</f>
        <v>0</v>
      </c>
      <c r="BS56" s="201" t="n">
        <f aca="false">BS21+BS53+BS55</f>
        <v>0</v>
      </c>
      <c r="BT56" s="201" t="n">
        <f aca="false">BT21+BT53+BT55</f>
        <v>0</v>
      </c>
      <c r="BU56" s="201" t="n">
        <f aca="false">BU21+BU53+BU55</f>
        <v>0</v>
      </c>
      <c r="BV56" s="201" t="n">
        <f aca="false">BV21+BV53+BV55</f>
        <v>0</v>
      </c>
      <c r="BW56" s="201" t="n">
        <f aca="false">BW21+BW53+BW55</f>
        <v>0</v>
      </c>
      <c r="BX56" s="201" t="n">
        <f aca="false">BX21+BX53+BX55</f>
        <v>0</v>
      </c>
      <c r="BY56" s="201" t="n">
        <f aca="false">BY21+BY53+BY55</f>
        <v>0</v>
      </c>
      <c r="BZ56" s="201" t="n">
        <f aca="false">BZ21+BZ53+BZ55</f>
        <v>0</v>
      </c>
      <c r="CA56" s="201" t="n">
        <f aca="false">CA21+CA53+CA55</f>
        <v>0</v>
      </c>
      <c r="CB56" s="201" t="n">
        <f aca="false">CB21+CB53+CB55</f>
        <v>0</v>
      </c>
      <c r="CC56" s="201" t="n">
        <f aca="false">CC21+CC53+CC55</f>
        <v>0</v>
      </c>
      <c r="CD56" s="201" t="n">
        <f aca="false">CD21+CD53+CD55</f>
        <v>0</v>
      </c>
      <c r="CE56" s="201" t="n">
        <f aca="false">CE21+CE53+CE55</f>
        <v>0</v>
      </c>
      <c r="CF56" s="201" t="n">
        <f aca="false">CF21+CF53+CF55</f>
        <v>0</v>
      </c>
      <c r="CG56" s="201" t="n">
        <f aca="false">CG21+CG53+CG55</f>
        <v>0</v>
      </c>
      <c r="CH56" s="201" t="n">
        <f aca="false">CH21+CH53+CH55</f>
        <v>0</v>
      </c>
      <c r="CI56" s="201" t="n">
        <f aca="false">CI21+CI53+CI55</f>
        <v>0</v>
      </c>
      <c r="CJ56" s="201" t="n">
        <f aca="false">CJ21+CJ53+CJ55</f>
        <v>0</v>
      </c>
      <c r="CK56" s="201" t="n">
        <f aca="false">CK21+CK53+CK55</f>
        <v>0</v>
      </c>
      <c r="CL56" s="201" t="n">
        <f aca="false">CL21+CL53+CL55</f>
        <v>0</v>
      </c>
      <c r="CM56" s="201" t="n">
        <f aca="false">CM21+CM53+CM55</f>
        <v>0</v>
      </c>
      <c r="CN56" s="201" t="n">
        <f aca="false">CN21+CN53+CN55</f>
        <v>0</v>
      </c>
      <c r="CO56" s="201" t="n">
        <f aca="false">CO21+CO53+CO55</f>
        <v>0</v>
      </c>
      <c r="CP56" s="201" t="n">
        <f aca="false">CP21+CP53+CP55</f>
        <v>0</v>
      </c>
      <c r="CQ56" s="201" t="n">
        <f aca="false">CQ21+CQ53+CQ55</f>
        <v>0</v>
      </c>
      <c r="CR56" s="201" t="n">
        <f aca="false">CR21+CR53+CR55</f>
        <v>0</v>
      </c>
      <c r="CS56" s="201" t="n">
        <f aca="false">CS21+CS53+CS55</f>
        <v>0</v>
      </c>
      <c r="CT56" s="201" t="n">
        <f aca="false">CT21+CT53+CT55</f>
        <v>0</v>
      </c>
      <c r="CU56" s="201" t="n">
        <f aca="false">CU21+CU53+CU55</f>
        <v>0</v>
      </c>
      <c r="CV56" s="201" t="n">
        <f aca="false">CV21+CV53+CV55</f>
        <v>0</v>
      </c>
      <c r="CW56" s="201" t="n">
        <f aca="false">CW21+CW53+CW55</f>
        <v>0</v>
      </c>
      <c r="CX56" s="201" t="n">
        <f aca="false">CX21+CX53+CX55</f>
        <v>0</v>
      </c>
      <c r="CY56" s="201" t="n">
        <f aca="false">CY21+CY53+CY55</f>
        <v>0</v>
      </c>
      <c r="CZ56" s="201" t="n">
        <f aca="false">CZ21+CZ53+CZ55</f>
        <v>0</v>
      </c>
      <c r="DA56" s="201" t="n">
        <f aca="false">DA21+DA53+DA55</f>
        <v>0</v>
      </c>
      <c r="DB56" s="201" t="n">
        <f aca="false">DB21+DB53+DB55</f>
        <v>0</v>
      </c>
    </row>
    <row r="57" customFormat="false" ht="15" hidden="false" customHeight="true" outlineLevel="0" collapsed="false">
      <c r="A57" s="199" t="s">
        <v>593</v>
      </c>
      <c r="B57" s="200"/>
      <c r="C57" s="200"/>
      <c r="D57" s="200"/>
      <c r="E57" s="200"/>
      <c r="F57" s="200"/>
      <c r="G57" s="202" t="n">
        <f aca="false">G22+G54</f>
        <v>5</v>
      </c>
      <c r="H57" s="202" t="n">
        <f aca="false">H22+H54</f>
        <v>5</v>
      </c>
      <c r="I57" s="202" t="n">
        <f aca="false">I22+I54</f>
        <v>5</v>
      </c>
      <c r="J57" s="202" t="n">
        <f aca="false">J22+J54</f>
        <v>7</v>
      </c>
      <c r="K57" s="202" t="n">
        <f aca="false">K22+K54</f>
        <v>8</v>
      </c>
      <c r="L57" s="202" t="n">
        <f aca="false">L22+L54</f>
        <v>8</v>
      </c>
      <c r="M57" s="202" t="n">
        <f aca="false">M22+M54</f>
        <v>8</v>
      </c>
      <c r="N57" s="202" t="n">
        <f aca="false">N22+N54</f>
        <v>8</v>
      </c>
      <c r="O57" s="202" t="n">
        <f aca="false">O22+O54</f>
        <v>8</v>
      </c>
      <c r="P57" s="202" t="n">
        <f aca="false">P22+P54</f>
        <v>10</v>
      </c>
      <c r="Q57" s="202" t="n">
        <f aca="false">Q22+Q54</f>
        <v>11</v>
      </c>
      <c r="R57" s="202" t="n">
        <f aca="false">R22+R54</f>
        <v>11</v>
      </c>
      <c r="S57" s="202" t="n">
        <f aca="false">S22+S54</f>
        <v>12</v>
      </c>
      <c r="T57" s="202" t="n">
        <f aca="false">T22+T54</f>
        <v>13</v>
      </c>
      <c r="U57" s="202" t="n">
        <f aca="false">U22+U54</f>
        <v>14</v>
      </c>
      <c r="V57" s="202" t="n">
        <f aca="false">V22+V54</f>
        <v>14</v>
      </c>
      <c r="W57" s="202" t="n">
        <f aca="false">W22+W54</f>
        <v>14</v>
      </c>
      <c r="X57" s="202" t="n">
        <f aca="false">X22+X54</f>
        <v>13</v>
      </c>
      <c r="Y57" s="202" t="n">
        <f aca="false">Y22+Y54</f>
        <v>12</v>
      </c>
      <c r="Z57" s="202" t="n">
        <f aca="false">Z22+Z54</f>
        <v>12</v>
      </c>
      <c r="AA57" s="202" t="n">
        <f aca="false">AA22+AA54</f>
        <v>12</v>
      </c>
      <c r="AB57" s="202" t="n">
        <f aca="false">AB22+AB54</f>
        <v>12</v>
      </c>
      <c r="AC57" s="202" t="n">
        <f aca="false">AC22+AC54</f>
        <v>12</v>
      </c>
      <c r="AD57" s="202" t="n">
        <f aca="false">AD22+AD54</f>
        <v>11</v>
      </c>
      <c r="AE57" s="202" t="n">
        <f aca="false">AE22+AE54</f>
        <v>10</v>
      </c>
      <c r="AF57" s="202" t="n">
        <f aca="false">AF22+AF54</f>
        <v>10</v>
      </c>
      <c r="AG57" s="202" t="n">
        <f aca="false">AG22+AG54</f>
        <v>11</v>
      </c>
      <c r="AH57" s="202" t="n">
        <f aca="false">AH22+AH54</f>
        <v>11</v>
      </c>
      <c r="AI57" s="202" t="n">
        <f aca="false">AI22+AI54</f>
        <v>9</v>
      </c>
      <c r="AJ57" s="202" t="n">
        <f aca="false">AJ22+AJ54</f>
        <v>8</v>
      </c>
      <c r="AK57" s="202" t="n">
        <f aca="false">AK22+AK54</f>
        <v>8</v>
      </c>
      <c r="AL57" s="202" t="n">
        <f aca="false">AL22+AL54</f>
        <v>8</v>
      </c>
      <c r="AM57" s="202" t="n">
        <f aca="false">AM22+AM54</f>
        <v>6</v>
      </c>
      <c r="AN57" s="202" t="n">
        <f aca="false">AN22+AN54</f>
        <v>5</v>
      </c>
      <c r="AO57" s="202" t="n">
        <f aca="false">AO22+AO54</f>
        <v>4</v>
      </c>
      <c r="AP57" s="202" t="n">
        <f aca="false">AP22+AP54</f>
        <v>4</v>
      </c>
      <c r="AQ57" s="202" t="n">
        <f aca="false">AQ22+AQ54</f>
        <v>3</v>
      </c>
      <c r="AR57" s="202" t="n">
        <f aca="false">AR22+AR54</f>
        <v>3</v>
      </c>
      <c r="AS57" s="202" t="n">
        <f aca="false">AS22+AS54</f>
        <v>3</v>
      </c>
      <c r="AT57" s="202" t="n">
        <f aca="false">AT22+AT54</f>
        <v>3</v>
      </c>
      <c r="AU57" s="202" t="n">
        <f aca="false">AU22+AU54</f>
        <v>3</v>
      </c>
      <c r="AV57" s="202" t="n">
        <f aca="false">AV22+AV54</f>
        <v>3</v>
      </c>
      <c r="AW57" s="202" t="n">
        <f aca="false">AW22+AW54</f>
        <v>2</v>
      </c>
      <c r="AX57" s="202" t="n">
        <f aca="false">AX22+AX54</f>
        <v>1</v>
      </c>
      <c r="AY57" s="202" t="n">
        <f aca="false">AY22+AY54</f>
        <v>1</v>
      </c>
      <c r="AZ57" s="202" t="n">
        <f aca="false">AZ22+AZ54</f>
        <v>1</v>
      </c>
      <c r="BA57" s="202" t="n">
        <f aca="false">BA22+BA54</f>
        <v>1</v>
      </c>
      <c r="BB57" s="202" t="n">
        <f aca="false">BB22+BB54</f>
        <v>1</v>
      </c>
      <c r="BC57" s="202" t="n">
        <f aca="false">BC22+BC54</f>
        <v>1</v>
      </c>
      <c r="BD57" s="202" t="n">
        <f aca="false">BD22+BD54</f>
        <v>1</v>
      </c>
      <c r="BE57" s="202" t="n">
        <f aca="false">BE22+BE54</f>
        <v>1</v>
      </c>
      <c r="BF57" s="202" t="n">
        <f aca="false">BF22+BF54</f>
        <v>1</v>
      </c>
      <c r="BG57" s="202" t="n">
        <f aca="false">BG22+BG54</f>
        <v>1</v>
      </c>
      <c r="BH57" s="202" t="n">
        <f aca="false">BH22+BH54</f>
        <v>1</v>
      </c>
      <c r="BI57" s="202" t="n">
        <f aca="false">BI22+BI54</f>
        <v>1</v>
      </c>
      <c r="BJ57" s="202" t="n">
        <f aca="false">BJ22+BJ54</f>
        <v>1</v>
      </c>
      <c r="BK57" s="202" t="n">
        <f aca="false">BK22+BK54</f>
        <v>0</v>
      </c>
      <c r="BL57" s="202" t="n">
        <f aca="false">BL22+BL54</f>
        <v>0</v>
      </c>
      <c r="BM57" s="202" t="n">
        <f aca="false">BM22+BM54</f>
        <v>0</v>
      </c>
      <c r="BN57" s="202" t="n">
        <f aca="false">BN22+BN54</f>
        <v>0</v>
      </c>
      <c r="BO57" s="202" t="n">
        <f aca="false">BO22+BO54</f>
        <v>0</v>
      </c>
      <c r="BP57" s="202" t="n">
        <f aca="false">BP22+BP54</f>
        <v>0</v>
      </c>
      <c r="BQ57" s="202" t="n">
        <f aca="false">BQ22+BQ54</f>
        <v>0</v>
      </c>
      <c r="BR57" s="202" t="n">
        <f aca="false">BR22+BR54</f>
        <v>0</v>
      </c>
      <c r="BS57" s="202" t="n">
        <f aca="false">BS22+BS54</f>
        <v>0</v>
      </c>
      <c r="BT57" s="202" t="n">
        <f aca="false">BT22+BT54</f>
        <v>0</v>
      </c>
      <c r="BU57" s="202" t="n">
        <f aca="false">BU22+BU54</f>
        <v>0</v>
      </c>
      <c r="BV57" s="202" t="n">
        <f aca="false">BV22+BV54</f>
        <v>0</v>
      </c>
      <c r="BW57" s="202" t="n">
        <f aca="false">BW22+BW54</f>
        <v>0</v>
      </c>
      <c r="BX57" s="202" t="n">
        <f aca="false">BX22+BX54</f>
        <v>0</v>
      </c>
      <c r="BY57" s="202" t="n">
        <f aca="false">BY22+BY54</f>
        <v>0</v>
      </c>
      <c r="BZ57" s="202" t="n">
        <f aca="false">BZ22+BZ54</f>
        <v>0</v>
      </c>
      <c r="CA57" s="202" t="n">
        <f aca="false">CA22+CA54</f>
        <v>0</v>
      </c>
      <c r="CB57" s="202" t="n">
        <f aca="false">CB22+CB54</f>
        <v>0</v>
      </c>
      <c r="CC57" s="202" t="n">
        <f aca="false">CC22+CC54</f>
        <v>0</v>
      </c>
      <c r="CD57" s="202" t="n">
        <f aca="false">CD22+CD54</f>
        <v>0</v>
      </c>
      <c r="CE57" s="202" t="n">
        <f aca="false">CE22+CE54</f>
        <v>0</v>
      </c>
      <c r="CF57" s="202" t="n">
        <f aca="false">CF22+CF54</f>
        <v>0</v>
      </c>
      <c r="CG57" s="202" t="n">
        <f aca="false">CG22+CG54</f>
        <v>0</v>
      </c>
      <c r="CH57" s="202" t="n">
        <f aca="false">CH22+CH54</f>
        <v>0</v>
      </c>
      <c r="CI57" s="202" t="n">
        <f aca="false">CI22+CI54</f>
        <v>0</v>
      </c>
      <c r="CJ57" s="202" t="n">
        <f aca="false">CJ22+CJ54</f>
        <v>0</v>
      </c>
      <c r="CK57" s="202" t="n">
        <f aca="false">CK22+CK54</f>
        <v>0</v>
      </c>
      <c r="CL57" s="202" t="n">
        <f aca="false">CL22+CL54</f>
        <v>0</v>
      </c>
      <c r="CM57" s="202" t="n">
        <f aca="false">CM22+CM54</f>
        <v>0</v>
      </c>
      <c r="CN57" s="202" t="n">
        <f aca="false">CN22+CN54</f>
        <v>0</v>
      </c>
      <c r="CO57" s="202" t="n">
        <f aca="false">CO22+CO54</f>
        <v>0</v>
      </c>
      <c r="CP57" s="202" t="n">
        <f aca="false">CP22+CP54</f>
        <v>0</v>
      </c>
      <c r="CQ57" s="202" t="n">
        <f aca="false">CQ22+CQ54</f>
        <v>0</v>
      </c>
      <c r="CR57" s="202" t="n">
        <f aca="false">CR22+CR54</f>
        <v>0</v>
      </c>
      <c r="CS57" s="202" t="n">
        <f aca="false">CS22+CS54</f>
        <v>0</v>
      </c>
      <c r="CT57" s="202" t="n">
        <f aca="false">CT22+CT54</f>
        <v>0</v>
      </c>
      <c r="CU57" s="202" t="n">
        <f aca="false">CU22+CU54</f>
        <v>0</v>
      </c>
      <c r="CV57" s="202" t="n">
        <f aca="false">CV22+CV54</f>
        <v>0</v>
      </c>
      <c r="CW57" s="202" t="n">
        <f aca="false">CW22+CW54</f>
        <v>0</v>
      </c>
      <c r="CX57" s="202" t="n">
        <f aca="false">CX22+CX54</f>
        <v>0</v>
      </c>
      <c r="CY57" s="202" t="n">
        <f aca="false">CY22+CY54</f>
        <v>0</v>
      </c>
      <c r="CZ57" s="202" t="n">
        <f aca="false">CZ22+CZ54</f>
        <v>0</v>
      </c>
      <c r="DA57" s="202" t="n">
        <f aca="false">DA22+DA54</f>
        <v>0</v>
      </c>
      <c r="DB57" s="202" t="n">
        <f aca="false">DB22+DB54</f>
        <v>0</v>
      </c>
    </row>
    <row r="59" customFormat="false" ht="15" hidden="false" customHeight="true" outlineLevel="0" collapsed="false">
      <c r="A59" s="94" t="s">
        <v>594</v>
      </c>
      <c r="G59" s="198" t="n">
        <f aca="false">-(Model!E236+Model!E292)</f>
        <v>269336.28</v>
      </c>
      <c r="H59" s="198" t="n">
        <f aca="false">-(Model!F236+Model!F292)</f>
        <v>687944.37</v>
      </c>
      <c r="I59" s="198" t="n">
        <f aca="false">-(Model!G236+Model!G292)</f>
        <v>471394.68</v>
      </c>
      <c r="J59" s="198" t="n">
        <f aca="false">-(Model!H236+Model!H292)</f>
        <v>518009.51</v>
      </c>
      <c r="K59" s="198" t="n">
        <f aca="false">-(Model!I236+Model!I292)</f>
        <v>569578.44</v>
      </c>
      <c r="L59" s="198" t="n">
        <f aca="false">-(Model!J236+Model!J292)</f>
        <v>592482.068333333</v>
      </c>
      <c r="M59" s="198" t="n">
        <f aca="false">-(Model!K236+Model!K292)</f>
        <v>582482.068333333</v>
      </c>
      <c r="N59" s="198" t="n">
        <f aca="false">-(Model!L236+Model!L292)</f>
        <v>582482.068333333</v>
      </c>
      <c r="O59" s="198" t="n">
        <f aca="false">-(Model!M236+Model!M292)</f>
        <v>648925.818333333</v>
      </c>
      <c r="P59" s="198" t="n">
        <f aca="false">-(Model!N236+Model!N292)</f>
        <v>677090.401666667</v>
      </c>
      <c r="Q59" s="198" t="n">
        <f aca="false">-(Model!O236+Model!O292)</f>
        <v>791816.256875</v>
      </c>
      <c r="R59" s="198" t="n">
        <f aca="false">-(Model!P236+Model!P292)</f>
        <v>672092.485</v>
      </c>
      <c r="S59" s="198" t="n">
        <f aca="false">-(Model!Q236+Model!Q292)</f>
        <v>755921.9597</v>
      </c>
      <c r="T59" s="198" t="n">
        <f aca="false">-(Model!R236+Model!R292)</f>
        <v>804682.2097</v>
      </c>
      <c r="U59" s="198" t="n">
        <f aca="false">-(Model!S236+Model!S292)</f>
        <v>818387.8722</v>
      </c>
      <c r="V59" s="198" t="n">
        <f aca="false">-(Model!T236+Model!T292)</f>
        <v>820556.9222</v>
      </c>
      <c r="W59" s="198" t="n">
        <f aca="false">-(Model!U236+Model!U292)</f>
        <v>819620.3822</v>
      </c>
      <c r="X59" s="198" t="n">
        <f aca="false">-(Model!V236+Model!V292)</f>
        <v>773513.4597</v>
      </c>
      <c r="Y59" s="198" t="n">
        <f aca="false">-(Model!W236+Model!W292)</f>
        <v>773513.4597</v>
      </c>
      <c r="Z59" s="198" t="n">
        <f aca="false">-(Model!X236+Model!X292)</f>
        <v>773513.4597</v>
      </c>
      <c r="AA59" s="198" t="n">
        <f aca="false">-(Model!Y236+Model!Y292)</f>
        <v>836079.28615</v>
      </c>
      <c r="AB59" s="198" t="n">
        <f aca="false">-(Model!Z236+Model!Z292)</f>
        <v>770963.219315385</v>
      </c>
      <c r="AC59" s="198" t="n">
        <f aca="false">-(Model!AA236+Model!AA292)</f>
        <v>761347.8347</v>
      </c>
      <c r="AD59" s="198" t="n">
        <f aca="false">-(Model!AB236+Model!AB292)</f>
        <v>759715.680853846</v>
      </c>
      <c r="AE59" s="198" t="n">
        <f aca="false">-(Model!AC236+Model!AC292)</f>
        <v>768533.071394</v>
      </c>
      <c r="AF59" s="198" t="n">
        <f aca="false">-(Model!AD236+Model!AD292)</f>
        <v>762163.770817077</v>
      </c>
      <c r="AG59" s="198" t="n">
        <f aca="false">-(Model!AE236+Model!AE292)</f>
        <v>740240.693894</v>
      </c>
      <c r="AH59" s="198" t="n">
        <f aca="false">-(Model!AF236+Model!AF292)</f>
        <v>740240.693894</v>
      </c>
      <c r="AI59" s="198" t="n">
        <f aca="false">-(Model!AG236+Model!AG292)</f>
        <v>740240.693894</v>
      </c>
      <c r="AJ59" s="198" t="n">
        <f aca="false">-(Model!AH236+Model!AH292)</f>
        <v>736664.946201692</v>
      </c>
      <c r="AK59" s="198" t="n">
        <f aca="false">-(Model!AI236+Model!AI292)</f>
        <v>724357.253894</v>
      </c>
      <c r="AL59" s="198" t="n">
        <f aca="false">-(Model!AJ236+Model!AJ292)</f>
        <v>724357.253894</v>
      </c>
      <c r="AM59" s="198" t="n">
        <f aca="false">-(Model!AK236+Model!AK292)</f>
        <v>724357.253894</v>
      </c>
      <c r="AN59" s="198" t="n">
        <f aca="false">-(Model!AL236+Model!AL292)</f>
        <v>722569.380047846</v>
      </c>
      <c r="AO59" s="198" t="n">
        <f aca="false">-(Model!AM236+Model!AM292)</f>
        <v>702336.027355539</v>
      </c>
      <c r="AP59" s="198" t="n">
        <f aca="false">-(Model!AN236+Model!AN292)</f>
        <v>647505.188317077</v>
      </c>
      <c r="AQ59" s="198" t="n">
        <f aca="false">-(Model!AO236+Model!AO292)</f>
        <v>637993.75362188</v>
      </c>
      <c r="AR59" s="198" t="n">
        <f aca="false">-(Model!AP236+Model!AP292)</f>
        <v>637993.75362188</v>
      </c>
      <c r="AS59" s="198" t="n">
        <f aca="false">-(Model!AQ236+Model!AQ292)</f>
        <v>631788.621087265</v>
      </c>
      <c r="AT59" s="198" t="n">
        <f aca="false">-(Model!AR236+Model!AR292)</f>
        <v>612173.23647188</v>
      </c>
      <c r="AU59" s="198" t="n">
        <f aca="false">-(Model!AS236+Model!AS292)</f>
        <v>609131.504837265</v>
      </c>
      <c r="AV59" s="198" t="n">
        <f aca="false">-(Model!AT236+Model!AT292)</f>
        <v>681199.12022188</v>
      </c>
      <c r="AW59" s="198" t="n">
        <f aca="false">-(Model!AU236+Model!AU292)</f>
        <v>599516.12022188</v>
      </c>
      <c r="AX59" s="198" t="n">
        <f aca="false">-(Model!AV236+Model!AV292)</f>
        <v>599516.12022188</v>
      </c>
      <c r="AY59" s="198" t="n">
        <f aca="false">-(Model!AW236+Model!AW292)</f>
        <v>681198.12022188</v>
      </c>
      <c r="AZ59" s="198" t="n">
        <f aca="false">-(Model!AX236+Model!AX292)</f>
        <v>599516.12022188</v>
      </c>
      <c r="BA59" s="198" t="n">
        <f aca="false">-(Model!AY236+Model!AY292)</f>
        <v>599516.12022188</v>
      </c>
      <c r="BB59" s="198" t="n">
        <f aca="false">-(Model!AZ236+Model!AZ292)</f>
        <v>681198.12022188</v>
      </c>
      <c r="BC59" s="198" t="n">
        <f aca="false">-(Model!BA236+Model!BA292)</f>
        <v>611406.442626318</v>
      </c>
      <c r="BD59" s="198" t="n">
        <f aca="false">-(Model!BB236+Model!BB292)</f>
        <v>611406.442626318</v>
      </c>
      <c r="BE59" s="198" t="n">
        <f aca="false">-(Model!BC236+Model!BC292)</f>
        <v>1544927.44262632</v>
      </c>
      <c r="BF59" s="198" t="n">
        <f aca="false">-(Model!BD236+Model!BD292)</f>
        <v>611406.442626318</v>
      </c>
      <c r="BG59" s="198" t="n">
        <f aca="false">-(Model!BE236+Model!BE292)</f>
        <v>611406.442626318</v>
      </c>
      <c r="BH59" s="198" t="n">
        <f aca="false">-(Model!BF236+Model!BF292)</f>
        <v>742284.442626318</v>
      </c>
      <c r="BI59" s="198" t="n">
        <f aca="false">-(Model!BG236+Model!BG292)</f>
        <v>611406.442626318</v>
      </c>
      <c r="BJ59" s="198" t="n">
        <f aca="false">-(Model!BH236+Model!BH292)</f>
        <v>611406.442626318</v>
      </c>
      <c r="BK59" s="198" t="n">
        <f aca="false">-(Model!BI236+Model!BI292)</f>
        <v>742282.442626318</v>
      </c>
      <c r="BL59" s="198" t="n">
        <f aca="false">-(Model!BJ236+Model!BJ292)</f>
        <v>611406.442626318</v>
      </c>
      <c r="BM59" s="198" t="n">
        <f aca="false">-(Model!BK236+Model!BK292)</f>
        <v>611406.442626318</v>
      </c>
      <c r="BN59" s="198" t="n">
        <f aca="false">-(Model!BL236+Model!BL292)</f>
        <v>742282.442626318</v>
      </c>
      <c r="BO59" s="198" t="n">
        <f aca="false">-(Model!BM236+Model!BM292)</f>
        <v>623534.571478844</v>
      </c>
      <c r="BP59" s="198" t="n">
        <f aca="false">-(Model!BN236+Model!BN292)</f>
        <v>623534.571478844</v>
      </c>
      <c r="BQ59" s="198" t="n">
        <f aca="false">-(Model!BO236+Model!BO292)</f>
        <v>754410.571478844</v>
      </c>
      <c r="BR59" s="198" t="n">
        <f aca="false">-(Model!BP236+Model!BP292)</f>
        <v>623534.571478844</v>
      </c>
      <c r="BS59" s="198" t="n">
        <f aca="false">-(Model!BQ236+Model!BQ292)</f>
        <v>623534.571478844</v>
      </c>
      <c r="BT59" s="198" t="n">
        <f aca="false">-(Model!BR236+Model!BR292)</f>
        <v>712690.221478844</v>
      </c>
      <c r="BU59" s="198" t="n">
        <f aca="false">-(Model!BS236+Model!BS292)</f>
        <v>623534.571478844</v>
      </c>
      <c r="BV59" s="198" t="n">
        <f aca="false">-(Model!BT236+Model!BT292)</f>
        <v>623534.571478844</v>
      </c>
      <c r="BW59" s="198" t="n">
        <f aca="false">-(Model!BU236+Model!BU292)</f>
        <v>698174.571478844</v>
      </c>
      <c r="BX59" s="198" t="n">
        <f aca="false">-(Model!BV236+Model!BV292)</f>
        <v>623534.571478844</v>
      </c>
      <c r="BY59" s="198" t="n">
        <f aca="false">-(Model!BW236+Model!BW292)</f>
        <v>623534.571478844</v>
      </c>
      <c r="BZ59" s="198" t="n">
        <f aca="false">-(Model!BX236+Model!BX292)</f>
        <v>698174.571478844</v>
      </c>
      <c r="CA59" s="198" t="n">
        <f aca="false">-(Model!BY236+Model!BY292)</f>
        <v>635905.262908421</v>
      </c>
      <c r="CB59" s="198" t="n">
        <f aca="false">-(Model!BZ236+Model!BZ292)</f>
        <v>635905.262908421</v>
      </c>
      <c r="CC59" s="198" t="n">
        <f aca="false">-(Model!CA236+Model!CA292)</f>
        <v>783701.262908421</v>
      </c>
      <c r="CD59" s="198" t="n">
        <f aca="false">-(Model!CB236+Model!CB292)</f>
        <v>635905.262908421</v>
      </c>
      <c r="CE59" s="198" t="n">
        <f aca="false">-(Model!CC236+Model!CC292)</f>
        <v>635905.262908421</v>
      </c>
      <c r="CF59" s="198" t="n">
        <f aca="false">-(Model!CD236+Model!CD292)</f>
        <v>790423.262908421</v>
      </c>
      <c r="CG59" s="198" t="n">
        <f aca="false">-(Model!CE236+Model!CE292)</f>
        <v>635905.262908421</v>
      </c>
      <c r="CH59" s="198" t="n">
        <f aca="false">-(Model!CF236+Model!CF292)</f>
        <v>635905.262908421</v>
      </c>
      <c r="CI59" s="198" t="n">
        <f aca="false">-(Model!CG236+Model!CG292)</f>
        <v>790422.262908421</v>
      </c>
      <c r="CJ59" s="198" t="n">
        <f aca="false">-(Model!CH236+Model!CH292)</f>
        <v>635905.262908421</v>
      </c>
      <c r="CK59" s="198" t="n">
        <f aca="false">-(Model!CI236+Model!CI292)</f>
        <v>635905.262908421</v>
      </c>
      <c r="CL59" s="198" t="n">
        <f aca="false">-(Model!CJ236+Model!CJ292)</f>
        <v>783814.236301942</v>
      </c>
      <c r="CM59" s="198" t="n">
        <f aca="false">-(Model!CK236+Model!CK292)</f>
        <v>721678.368166589</v>
      </c>
      <c r="CN59" s="198" t="n">
        <f aca="false">-(Model!CL236+Model!CL292)</f>
        <v>721678.368166589</v>
      </c>
      <c r="CO59" s="198" t="n">
        <f aca="false">-(Model!CM236+Model!CM292)</f>
        <v>721678.368166589</v>
      </c>
      <c r="CP59" s="198" t="n">
        <f aca="false">-(Model!CN236+Model!CN292)</f>
        <v>721678.368166589</v>
      </c>
      <c r="CQ59" s="198" t="n">
        <f aca="false">-(Model!CO236+Model!CO292)</f>
        <v>721678.368166589</v>
      </c>
      <c r="CR59" s="198" t="n">
        <f aca="false">-(Model!CP236+Model!CP292)</f>
        <v>721678.368166589</v>
      </c>
      <c r="CS59" s="198" t="n">
        <f aca="false">-(Model!CQ236+Model!CQ292)</f>
        <v>721678.368166589</v>
      </c>
      <c r="CT59" s="198" t="n">
        <f aca="false">-(Model!CR236+Model!CR292)</f>
        <v>721678.368166589</v>
      </c>
      <c r="CU59" s="198" t="n">
        <f aca="false">-(Model!CS236+Model!CS292)</f>
        <v>721678.368166589</v>
      </c>
      <c r="CV59" s="198" t="n">
        <f aca="false">-(Model!CT236+Model!CT292)</f>
        <v>660876.239873812</v>
      </c>
      <c r="CW59" s="198" t="n">
        <f aca="false">-(Model!CU236+Model!CU292)</f>
        <v>660876.239873812</v>
      </c>
      <c r="CX59" s="198" t="n">
        <f aca="false">-(Model!CV236+Model!CV292)</f>
        <v>660876.239873812</v>
      </c>
      <c r="CY59" s="198" t="n">
        <f aca="false">-(Model!CW236+Model!CW292)</f>
        <v>616822.513607695</v>
      </c>
      <c r="CZ59" s="198" t="n">
        <f aca="false">-(Model!CX236+Model!CX292)</f>
        <v>599375.664671288</v>
      </c>
      <c r="DA59" s="198" t="n">
        <f aca="false">-(Model!CY236+Model!CY292)</f>
        <v>599375.664671288</v>
      </c>
      <c r="DB59" s="198" t="n">
        <f aca="false">-(Model!CZ236+Model!CZ292)</f>
        <v>599375.664671288</v>
      </c>
    </row>
    <row r="60" customFormat="false" ht="15" hidden="false" customHeight="true" outlineLevel="0" collapsed="false">
      <c r="A60" s="94" t="s">
        <v>595</v>
      </c>
      <c r="G60" s="198" t="n">
        <f aca="false">Model!E199</f>
        <v>447358.25</v>
      </c>
      <c r="H60" s="198" t="n">
        <f aca="false">Model!F199</f>
        <v>465536.7</v>
      </c>
      <c r="I60" s="198" t="n">
        <f aca="false">Model!G199</f>
        <v>641351.13</v>
      </c>
      <c r="J60" s="198" t="n">
        <f aca="false">Model!H199</f>
        <v>1766649.51</v>
      </c>
      <c r="K60" s="198" t="n">
        <f aca="false">Model!I199</f>
        <v>-132141.505125</v>
      </c>
      <c r="L60" s="198" t="n">
        <f aca="false">Model!J199</f>
        <v>702607.028396964</v>
      </c>
      <c r="M60" s="198" t="n">
        <f aca="false">Model!K199</f>
        <v>770495.389718767</v>
      </c>
      <c r="N60" s="198" t="n">
        <f aca="false">Model!L199</f>
        <v>609302.628116041</v>
      </c>
      <c r="O60" s="198" t="n">
        <f aca="false">Model!M199</f>
        <v>202550.231435551</v>
      </c>
      <c r="P60" s="198" t="n">
        <f aca="false">Model!N199</f>
        <v>921198.021338766</v>
      </c>
      <c r="Q60" s="198" t="n">
        <f aca="false">Model!O199</f>
        <v>831983.497819715</v>
      </c>
      <c r="R60" s="198" t="n">
        <f aca="false">Model!P199</f>
        <v>852806.987819716</v>
      </c>
      <c r="S60" s="198" t="n">
        <f aca="false">Model!Q199</f>
        <v>169427.681211907</v>
      </c>
      <c r="T60" s="198" t="n">
        <f aca="false">Model!R199</f>
        <v>736482.701731266</v>
      </c>
      <c r="U60" s="198" t="n">
        <f aca="false">Model!S199</f>
        <v>861251.627420825</v>
      </c>
      <c r="V60" s="198" t="n">
        <f aca="false">Model!T199</f>
        <v>922973.338934083</v>
      </c>
      <c r="W60" s="198" t="n">
        <f aca="false">Model!U199</f>
        <v>1144080.80498088</v>
      </c>
      <c r="X60" s="198" t="n">
        <f aca="false">Model!V199</f>
        <v>1222659.89498088</v>
      </c>
      <c r="Y60" s="198" t="n">
        <f aca="false">Model!W199</f>
        <v>1110973.59498088</v>
      </c>
      <c r="Z60" s="198" t="n">
        <f aca="false">Model!X199</f>
        <v>1404851.5398398</v>
      </c>
      <c r="AA60" s="198" t="n">
        <f aca="false">Model!Y199</f>
        <v>1243090.7198398</v>
      </c>
      <c r="AB60" s="198" t="n">
        <f aca="false">Model!Z199</f>
        <v>1369436.8998398</v>
      </c>
      <c r="AC60" s="198" t="n">
        <f aca="false">Model!AA199</f>
        <v>1398675.55320094</v>
      </c>
      <c r="AD60" s="198" t="n">
        <f aca="false">Model!AB199</f>
        <v>1212343.83110043</v>
      </c>
      <c r="AE60" s="198" t="n">
        <f aca="false">Model!AC199</f>
        <v>983618.361856878</v>
      </c>
      <c r="AF60" s="198" t="n">
        <f aca="false">Model!AD199</f>
        <v>1006568.27185688</v>
      </c>
      <c r="AG60" s="198" t="n">
        <f aca="false">Model!AE199</f>
        <v>422286.579769761</v>
      </c>
      <c r="AH60" s="198" t="n">
        <f aca="false">Model!AF199</f>
        <v>1324779.73684014</v>
      </c>
      <c r="AI60" s="198" t="n">
        <f aca="false">Model!AG199</f>
        <v>1234876.82509166</v>
      </c>
      <c r="AJ60" s="198" t="n">
        <f aca="false">Model!AH199</f>
        <v>1098183.50212976</v>
      </c>
      <c r="AK60" s="198" t="n">
        <f aca="false">Model!AI199</f>
        <v>1092016.63212976</v>
      </c>
      <c r="AL60" s="198" t="n">
        <f aca="false">Model!AJ199</f>
        <v>1189583.24979076</v>
      </c>
      <c r="AM60" s="198" t="n">
        <f aca="false">Model!AK199</f>
        <v>818983.359672127</v>
      </c>
      <c r="AN60" s="198" t="n">
        <f aca="false">Model!AL199</f>
        <v>808059.470052578</v>
      </c>
      <c r="AO60" s="198" t="n">
        <f aca="false">Model!AM199</f>
        <v>597906.909784677</v>
      </c>
      <c r="AP60" s="198" t="n">
        <f aca="false">Model!AN199</f>
        <v>489424.859784678</v>
      </c>
      <c r="AQ60" s="198" t="n">
        <f aca="false">Model!AO199</f>
        <v>449496.249784678</v>
      </c>
      <c r="AR60" s="198" t="n">
        <f aca="false">Model!AP199</f>
        <v>449496.249784678</v>
      </c>
      <c r="AS60" s="198" t="n">
        <f aca="false">Model!AQ199</f>
        <v>449496.249784677</v>
      </c>
      <c r="AT60" s="198" t="n">
        <f aca="false">Model!AR199</f>
        <v>449496.249784678</v>
      </c>
      <c r="AU60" s="198" t="n">
        <f aca="false">Model!AS199</f>
        <v>449496.249784677</v>
      </c>
      <c r="AV60" s="198" t="n">
        <f aca="false">Model!AT199</f>
        <v>721981.835138177</v>
      </c>
      <c r="AW60" s="198" t="n">
        <f aca="false">Model!AU199</f>
        <v>427569.2939703</v>
      </c>
      <c r="AX60" s="198" t="n">
        <f aca="false">Model!AV199</f>
        <v>157659.640868547</v>
      </c>
      <c r="AY60" s="198" t="n">
        <f aca="false">Model!AW199</f>
        <v>157659.640868547</v>
      </c>
      <c r="AZ60" s="198" t="n">
        <f aca="false">Model!AX199</f>
        <v>157659.640868547</v>
      </c>
      <c r="BA60" s="198" t="n">
        <f aca="false">Model!AY199</f>
        <v>157659.640868547</v>
      </c>
      <c r="BB60" s="198" t="n">
        <f aca="false">Model!AZ199</f>
        <v>157659.640868547</v>
      </c>
      <c r="BC60" s="198" t="n">
        <f aca="false">Model!BA199</f>
        <v>157659.640868547</v>
      </c>
      <c r="BD60" s="198" t="n">
        <f aca="false">Model!BB199</f>
        <v>157659.640868547</v>
      </c>
      <c r="BE60" s="198" t="n">
        <f aca="false">Model!BC199</f>
        <v>157659.640868547</v>
      </c>
      <c r="BF60" s="198" t="n">
        <f aca="false">Model!BD199</f>
        <v>157659.640868547</v>
      </c>
      <c r="BG60" s="198" t="n">
        <f aca="false">Model!BE199</f>
        <v>157659.640868547</v>
      </c>
      <c r="BH60" s="198" t="n">
        <f aca="false">Model!BF199</f>
        <v>157659.640868547</v>
      </c>
      <c r="BI60" s="198" t="n">
        <f aca="false">Model!BG199</f>
        <v>157659.640868547</v>
      </c>
      <c r="BJ60" s="198" t="n">
        <f aca="false">Model!BH199</f>
        <v>406595.915924147</v>
      </c>
      <c r="BK60" s="198" t="n">
        <f aca="false">Model!BI199</f>
        <v>0</v>
      </c>
      <c r="BL60" s="198" t="n">
        <f aca="false">Model!BJ199</f>
        <v>0</v>
      </c>
      <c r="BM60" s="198" t="n">
        <f aca="false">Model!BK199</f>
        <v>0</v>
      </c>
      <c r="BN60" s="198" t="n">
        <f aca="false">Model!BL199</f>
        <v>0</v>
      </c>
      <c r="BO60" s="198" t="n">
        <f aca="false">Model!BM199</f>
        <v>0</v>
      </c>
      <c r="BP60" s="198" t="n">
        <f aca="false">Model!BN199</f>
        <v>0</v>
      </c>
      <c r="BQ60" s="198" t="n">
        <f aca="false">Model!BO199</f>
        <v>0</v>
      </c>
      <c r="BR60" s="198" t="n">
        <f aca="false">Model!BP199</f>
        <v>0</v>
      </c>
      <c r="BS60" s="198" t="n">
        <f aca="false">Model!BQ199</f>
        <v>0</v>
      </c>
      <c r="BT60" s="198" t="n">
        <f aca="false">Model!BR199</f>
        <v>0</v>
      </c>
      <c r="BU60" s="198" t="n">
        <f aca="false">Model!BS199</f>
        <v>0</v>
      </c>
      <c r="BV60" s="198" t="n">
        <f aca="false">Model!BT199</f>
        <v>0</v>
      </c>
      <c r="BW60" s="198" t="n">
        <f aca="false">Model!BU199</f>
        <v>0</v>
      </c>
      <c r="BX60" s="198" t="n">
        <f aca="false">Model!BV199</f>
        <v>0</v>
      </c>
      <c r="BY60" s="198" t="n">
        <f aca="false">Model!BW199</f>
        <v>0</v>
      </c>
      <c r="BZ60" s="198" t="n">
        <f aca="false">Model!BX199</f>
        <v>0</v>
      </c>
      <c r="CA60" s="198" t="n">
        <f aca="false">Model!BY199</f>
        <v>0</v>
      </c>
      <c r="CB60" s="198" t="n">
        <f aca="false">Model!BZ199</f>
        <v>0</v>
      </c>
      <c r="CC60" s="198" t="n">
        <f aca="false">Model!CA199</f>
        <v>0</v>
      </c>
      <c r="CD60" s="198" t="n">
        <f aca="false">Model!CB199</f>
        <v>0</v>
      </c>
      <c r="CE60" s="198" t="n">
        <f aca="false">Model!CC199</f>
        <v>0</v>
      </c>
      <c r="CF60" s="198" t="n">
        <f aca="false">Model!CD199</f>
        <v>0</v>
      </c>
      <c r="CG60" s="198" t="n">
        <f aca="false">Model!CE199</f>
        <v>0</v>
      </c>
      <c r="CH60" s="198" t="n">
        <f aca="false">Model!CF199</f>
        <v>0</v>
      </c>
      <c r="CI60" s="198" t="n">
        <f aca="false">Model!CG199</f>
        <v>0</v>
      </c>
      <c r="CJ60" s="198" t="n">
        <f aca="false">Model!CH199</f>
        <v>0</v>
      </c>
      <c r="CK60" s="198" t="n">
        <f aca="false">Model!CI199</f>
        <v>0</v>
      </c>
      <c r="CL60" s="198" t="n">
        <f aca="false">Model!CJ199</f>
        <v>0</v>
      </c>
      <c r="CM60" s="198" t="n">
        <f aca="false">Model!CK199</f>
        <v>0</v>
      </c>
      <c r="CN60" s="198" t="n">
        <f aca="false">Model!CL199</f>
        <v>0</v>
      </c>
      <c r="CO60" s="198" t="n">
        <f aca="false">Model!CM199</f>
        <v>0</v>
      </c>
      <c r="CP60" s="198" t="n">
        <f aca="false">Model!CN199</f>
        <v>0</v>
      </c>
      <c r="CQ60" s="198" t="n">
        <f aca="false">Model!CO199</f>
        <v>0</v>
      </c>
      <c r="CR60" s="198" t="n">
        <f aca="false">Model!CP199</f>
        <v>0</v>
      </c>
      <c r="CS60" s="198" t="n">
        <f aca="false">Model!CQ199</f>
        <v>0</v>
      </c>
      <c r="CT60" s="198" t="n">
        <f aca="false">Model!CR199</f>
        <v>0</v>
      </c>
      <c r="CU60" s="198" t="n">
        <f aca="false">Model!CS199</f>
        <v>0</v>
      </c>
      <c r="CV60" s="198" t="n">
        <f aca="false">Model!CT199</f>
        <v>0</v>
      </c>
      <c r="CW60" s="198" t="n">
        <f aca="false">Model!CU199</f>
        <v>0</v>
      </c>
      <c r="CX60" s="198" t="n">
        <f aca="false">Model!CV199</f>
        <v>0</v>
      </c>
      <c r="CY60" s="198" t="n">
        <f aca="false">Model!CW199</f>
        <v>0</v>
      </c>
      <c r="CZ60" s="198" t="n">
        <f aca="false">Model!CX199</f>
        <v>0</v>
      </c>
      <c r="DA60" s="198" t="n">
        <f aca="false">Model!CY199</f>
        <v>0</v>
      </c>
      <c r="DB60" s="198" t="n">
        <f aca="false">Model!CZ199</f>
        <v>0</v>
      </c>
    </row>
    <row r="61" customFormat="false" ht="15" hidden="false" customHeight="true" outlineLevel="0" collapsed="false">
      <c r="A61" s="94" t="s">
        <v>596</v>
      </c>
      <c r="G61" s="203" t="n">
        <f aca="false">IFERROR(G60/G56,0)</f>
        <v>0.121157878546931</v>
      </c>
      <c r="H61" s="203" t="n">
        <f aca="false">IFERROR(H60/H56,0)</f>
        <v>0.105418977135063</v>
      </c>
      <c r="I61" s="203" t="n">
        <f aca="false">IFERROR(I60/I56,0)</f>
        <v>0.1025790393097</v>
      </c>
      <c r="J61" s="203" t="n">
        <f aca="false">IFERROR(J60/J56,0)</f>
        <v>0.251459036074756</v>
      </c>
      <c r="K61" s="203" t="n">
        <f aca="false">IFERROR(K60/K56,0)</f>
        <v>-0.0217885116394688</v>
      </c>
      <c r="L61" s="203" t="n">
        <f aca="false">IFERROR(L60/L56,0)</f>
        <v>0.120264568352806</v>
      </c>
      <c r="M61" s="203" t="n">
        <f aca="false">IFERROR(M60/M56,0)</f>
        <v>0.126835733721255</v>
      </c>
      <c r="N61" s="203" t="n">
        <f aca="false">IFERROR(N60/N56,0)</f>
        <v>0.116653336706502</v>
      </c>
      <c r="O61" s="203" t="n">
        <f aca="false">IFERROR(O60/O56,0)</f>
        <v>0.0387636134188943</v>
      </c>
      <c r="P61" s="203" t="n">
        <f aca="false">IFERROR(P60/P56,0)</f>
        <v>0.141753424702375</v>
      </c>
      <c r="Q61" s="203" t="n">
        <f aca="false">IFERROR(Q60/Q56,0)</f>
        <v>0.127602452213543</v>
      </c>
      <c r="R61" s="203" t="n">
        <f aca="false">IFERROR(R60/R56,0)</f>
        <v>0.117826686268274</v>
      </c>
      <c r="S61" s="203" t="n">
        <f aca="false">IFERROR(S60/S56,0)</f>
        <v>0.0214022384976853</v>
      </c>
      <c r="T61" s="203" t="n">
        <f aca="false">IFERROR(T60/T56,0)</f>
        <v>0.0880197737674963</v>
      </c>
      <c r="U61" s="203" t="n">
        <f aca="false">IFERROR(U60/U56,0)</f>
        <v>0.093555535542091</v>
      </c>
      <c r="V61" s="203" t="n">
        <f aca="false">IFERROR(V60/V56,0)</f>
        <v>0.0837030703164793</v>
      </c>
      <c r="W61" s="203" t="n">
        <f aca="false">IFERROR(W60/W56,0)</f>
        <v>0.106877135599552</v>
      </c>
      <c r="X61" s="203" t="n">
        <f aca="false">IFERROR(X60/X56,0)</f>
        <v>0.104813459274355</v>
      </c>
      <c r="Y61" s="203" t="n">
        <f aca="false">IFERROR(Y60/Y56,0)</f>
        <v>0.104999635683923</v>
      </c>
      <c r="Z61" s="203" t="n">
        <f aca="false">IFERROR(Z60/Z56,0)</f>
        <v>0.109101036540359</v>
      </c>
      <c r="AA61" s="203" t="n">
        <f aca="false">IFERROR(AA60/AA56,0)</f>
        <v>0.105142912854175</v>
      </c>
      <c r="AB61" s="203" t="n">
        <f aca="false">IFERROR(AB60/AB56,0)</f>
        <v>0.105504124156408</v>
      </c>
      <c r="AC61" s="203" t="n">
        <f aca="false">IFERROR(AC60/AC56,0)</f>
        <v>0.111654318878868</v>
      </c>
      <c r="AD61" s="203" t="n">
        <f aca="false">IFERROR(AD60/AD56,0)</f>
        <v>0.106674030171934</v>
      </c>
      <c r="AE61" s="203" t="n">
        <f aca="false">IFERROR(AE60/AE56,0)</f>
        <v>0.0951597582403495</v>
      </c>
      <c r="AF61" s="203" t="n">
        <f aca="false">IFERROR(AF60/AF56,0)</f>
        <v>0.0978461310120602</v>
      </c>
      <c r="AG61" s="203" t="n">
        <f aca="false">IFERROR(AG60/AG56,0)</f>
        <v>0.0401389157764948</v>
      </c>
      <c r="AH61" s="203" t="n">
        <f aca="false">IFERROR(AH60/AH56,0)</f>
        <v>0.127144211032609</v>
      </c>
      <c r="AI61" s="203" t="n">
        <f aca="false">IFERROR(AI60/AI56,0)</f>
        <v>0.11740747506868</v>
      </c>
      <c r="AJ61" s="203" t="n">
        <f aca="false">IFERROR(AJ60/AJ56,0)</f>
        <v>0.112657456754643</v>
      </c>
      <c r="AK61" s="203" t="n">
        <f aca="false">IFERROR(AK60/AK56,0)</f>
        <v>0.117514560788305</v>
      </c>
      <c r="AL61" s="203" t="n">
        <f aca="false">IFERROR(AL60/AL56,0)</f>
        <v>0.151476113413486</v>
      </c>
      <c r="AM61" s="203" t="n">
        <f aca="false">IFERROR(AM60/AM56,0)</f>
        <v>0.125975928332969</v>
      </c>
      <c r="AN61" s="203" t="n">
        <f aca="false">IFERROR(AN60/AN56,0)</f>
        <v>0.133562070120486</v>
      </c>
      <c r="AO61" s="203" t="n">
        <f aca="false">IFERROR(AO60/AO56,0)</f>
        <v>0.109166733531839</v>
      </c>
      <c r="AP61" s="203" t="n">
        <f aca="false">IFERROR(AP60/AP56,0)</f>
        <v>0.111233512301814</v>
      </c>
      <c r="AQ61" s="203" t="n">
        <f aca="false">IFERROR(AQ60/AQ56,0)</f>
        <v>0.116222285482949</v>
      </c>
      <c r="AR61" s="203" t="n">
        <f aca="false">IFERROR(AR60/AR56,0)</f>
        <v>0.122973594920028</v>
      </c>
      <c r="AS61" s="203" t="n">
        <f aca="false">IFERROR(AS60/AS56,0)</f>
        <v>0.153880098231695</v>
      </c>
      <c r="AT61" s="203" t="n">
        <f aca="false">IFERROR(AT60/AT56,0)</f>
        <v>0.158456682682318</v>
      </c>
      <c r="AU61" s="203" t="n">
        <f aca="false">IFERROR(AU60/AU56,0)</f>
        <v>0.164090300825439</v>
      </c>
      <c r="AV61" s="203" t="n">
        <f aca="false">IFERROR(AV60/AV56,0)</f>
        <v>0.274526920993962</v>
      </c>
      <c r="AW61" s="203" t="n">
        <f aca="false">IFERROR(AW60/AW56,0)</f>
        <v>0.22716785905323</v>
      </c>
      <c r="AX61" s="203" t="n">
        <f aca="false">IFERROR(AX60/AX56,0)</f>
        <v>0.0854545013038053</v>
      </c>
      <c r="AY61" s="203" t="n">
        <f aca="false">IFERROR(AY60/AY56,0)</f>
        <v>0.0880559340955461</v>
      </c>
      <c r="AZ61" s="203" t="n">
        <f aca="false">IFERROR(AZ60/AZ56,0)</f>
        <v>0.0916459930927827</v>
      </c>
      <c r="BA61" s="203" t="n">
        <f aca="false">IFERROR(BA60/BA56,0)</f>
        <v>0.0963403837730382</v>
      </c>
      <c r="BB61" s="203" t="n">
        <f aca="false">IFERROR(BB60/BB56,0)</f>
        <v>0.102293639933099</v>
      </c>
      <c r="BC61" s="203" t="n">
        <f aca="false">IFERROR(BC60/BC56,0)</f>
        <v>0.109702511126458</v>
      </c>
      <c r="BD61" s="203" t="n">
        <f aca="false">IFERROR(BD60/BD56,0)</f>
        <v>0.118832419009621</v>
      </c>
      <c r="BE61" s="203" t="n">
        <f aca="false">IFERROR(BE60/BE56,0)</f>
        <v>0.130013356978026</v>
      </c>
      <c r="BF61" s="203" t="n">
        <f aca="false">IFERROR(BF60/BF56,0)</f>
        <v>0.143673701400666</v>
      </c>
      <c r="BG61" s="203" t="n">
        <f aca="false">IFERROR(BG60/BG56,0)</f>
        <v>0.160366031492309</v>
      </c>
      <c r="BH61" s="203" t="n">
        <f aca="false">IFERROR(BH60/BH56,0)</f>
        <v>0.180792984619276</v>
      </c>
      <c r="BI61" s="203" t="n">
        <f aca="false">IFERROR(BI60/BI56,0)</f>
        <v>0.205874374482486</v>
      </c>
      <c r="BJ61" s="203" t="n">
        <f aca="false">IFERROR(BJ60/BJ56,0)</f>
        <v>0.610641057491253</v>
      </c>
      <c r="BK61" s="203" t="n">
        <f aca="false">IFERROR(BK60/BK56,0)</f>
        <v>0</v>
      </c>
      <c r="BL61" s="203" t="n">
        <f aca="false">IFERROR(BL60/BL56,0)</f>
        <v>0</v>
      </c>
      <c r="BM61" s="203" t="n">
        <f aca="false">IFERROR(BM60/BM56,0)</f>
        <v>0</v>
      </c>
      <c r="BN61" s="203" t="n">
        <f aca="false">IFERROR(BN60/BN56,0)</f>
        <v>0</v>
      </c>
      <c r="BO61" s="203" t="n">
        <f aca="false">IFERROR(BO60/BO56,0)</f>
        <v>0</v>
      </c>
      <c r="BP61" s="203" t="n">
        <f aca="false">IFERROR(BP60/BP56,0)</f>
        <v>0</v>
      </c>
      <c r="BQ61" s="203" t="n">
        <f aca="false">IFERROR(BQ60/BQ56,0)</f>
        <v>0</v>
      </c>
      <c r="BR61" s="203" t="n">
        <f aca="false">IFERROR(BR60/BR56,0)</f>
        <v>0</v>
      </c>
      <c r="BS61" s="203" t="n">
        <f aca="false">IFERROR(BS60/BS56,0)</f>
        <v>0</v>
      </c>
      <c r="BT61" s="203" t="n">
        <f aca="false">IFERROR(BT60/BT56,0)</f>
        <v>0</v>
      </c>
      <c r="BU61" s="203" t="n">
        <f aca="false">IFERROR(BU60/BU56,0)</f>
        <v>0</v>
      </c>
      <c r="BV61" s="203" t="n">
        <f aca="false">IFERROR(BV60/BV56,0)</f>
        <v>0</v>
      </c>
      <c r="BW61" s="203" t="n">
        <f aca="false">IFERROR(BW60/BW56,0)</f>
        <v>0</v>
      </c>
      <c r="BX61" s="203" t="n">
        <f aca="false">IFERROR(BX60/BX56,0)</f>
        <v>0</v>
      </c>
      <c r="BY61" s="203" t="n">
        <f aca="false">IFERROR(BY60/BY56,0)</f>
        <v>0</v>
      </c>
      <c r="BZ61" s="203" t="n">
        <f aca="false">IFERROR(BZ60/BZ56,0)</f>
        <v>0</v>
      </c>
      <c r="CA61" s="203" t="n">
        <f aca="false">IFERROR(CA60/CA56,0)</f>
        <v>0</v>
      </c>
      <c r="CB61" s="203" t="n">
        <f aca="false">IFERROR(CB60/CB56,0)</f>
        <v>0</v>
      </c>
      <c r="CC61" s="203" t="n">
        <f aca="false">IFERROR(CC60/CC56,0)</f>
        <v>0</v>
      </c>
      <c r="CD61" s="203" t="n">
        <f aca="false">IFERROR(CD60/CD56,0)</f>
        <v>0</v>
      </c>
      <c r="CE61" s="203" t="n">
        <f aca="false">IFERROR(CE60/CE56,0)</f>
        <v>0</v>
      </c>
      <c r="CF61" s="203" t="n">
        <f aca="false">IFERROR(CF60/CF56,0)</f>
        <v>0</v>
      </c>
      <c r="CG61" s="203" t="n">
        <f aca="false">IFERROR(CG60/CG56,0)</f>
        <v>0</v>
      </c>
      <c r="CH61" s="203" t="n">
        <f aca="false">IFERROR(CH60/CH56,0)</f>
        <v>0</v>
      </c>
      <c r="CI61" s="203" t="n">
        <f aca="false">IFERROR(CI60/CI56,0)</f>
        <v>0</v>
      </c>
      <c r="CJ61" s="203" t="n">
        <f aca="false">IFERROR(CJ60/CJ56,0)</f>
        <v>0</v>
      </c>
      <c r="CK61" s="203" t="n">
        <f aca="false">IFERROR(CK60/CK56,0)</f>
        <v>0</v>
      </c>
      <c r="CL61" s="203" t="n">
        <f aca="false">IFERROR(CL60/CL56,0)</f>
        <v>0</v>
      </c>
      <c r="CM61" s="203" t="n">
        <f aca="false">IFERROR(CM60/CM56,0)</f>
        <v>0</v>
      </c>
      <c r="CN61" s="203" t="n">
        <f aca="false">IFERROR(CN60/CN56,0)</f>
        <v>0</v>
      </c>
      <c r="CO61" s="203" t="n">
        <f aca="false">IFERROR(CO60/CO56,0)</f>
        <v>0</v>
      </c>
      <c r="CP61" s="203" t="n">
        <f aca="false">IFERROR(CP60/CP56,0)</f>
        <v>0</v>
      </c>
      <c r="CQ61" s="203" t="n">
        <f aca="false">IFERROR(CQ60/CQ56,0)</f>
        <v>0</v>
      </c>
      <c r="CR61" s="203" t="n">
        <f aca="false">IFERROR(CR60/CR56,0)</f>
        <v>0</v>
      </c>
      <c r="CS61" s="203" t="n">
        <f aca="false">IFERROR(CS60/CS56,0)</f>
        <v>0</v>
      </c>
      <c r="CT61" s="203" t="n">
        <f aca="false">IFERROR(CT60/CT56,0)</f>
        <v>0</v>
      </c>
      <c r="CU61" s="203" t="n">
        <f aca="false">IFERROR(CU60/CU56,0)</f>
        <v>0</v>
      </c>
      <c r="CV61" s="203" t="n">
        <f aca="false">IFERROR(CV60/CV56,0)</f>
        <v>0</v>
      </c>
      <c r="CW61" s="203" t="n">
        <f aca="false">IFERROR(CW60/CW56,0)</f>
        <v>0</v>
      </c>
      <c r="CX61" s="203" t="n">
        <f aca="false">IFERROR(CX60/CX56,0)</f>
        <v>0</v>
      </c>
      <c r="CY61" s="203" t="n">
        <f aca="false">IFERROR(CY60/CY56,0)</f>
        <v>0</v>
      </c>
      <c r="CZ61" s="203" t="n">
        <f aca="false">IFERROR(CZ60/CZ56,0)</f>
        <v>0</v>
      </c>
      <c r="DA61" s="203" t="n">
        <f aca="false">IFERROR(DA60/DA56,0)</f>
        <v>0</v>
      </c>
      <c r="DB61" s="203" t="n">
        <f aca="false">IFERROR(DB60/DB56,0)</f>
        <v>0</v>
      </c>
    </row>
    <row r="62" customFormat="false" ht="13.5" hidden="false" customHeight="true" outlineLevel="0" collapsed="false">
      <c r="A62" s="94" t="s">
        <v>597</v>
      </c>
      <c r="G62" s="198" t="n">
        <f aca="false">IF(G61&gt;0,G59/G61,"n/m")</f>
        <v>2223019.11547314</v>
      </c>
      <c r="H62" s="198" t="n">
        <f aca="false">IF(H61&gt;0,H59/H61,"n/m")</f>
        <v>6525811.46863721</v>
      </c>
      <c r="I62" s="198" t="n">
        <f aca="false">IF(I61&gt;0,I59/I61,"n/m")</f>
        <v>4595428.88266674</v>
      </c>
      <c r="J62" s="198" t="n">
        <f aca="false">IF(J61&gt;0,J59/J61,"n/m")</f>
        <v>2060015.49232854</v>
      </c>
      <c r="K62" s="198" t="str">
        <f aca="false">IF(K61&gt;0,K59/K61,"n/m")</f>
        <v>n/m</v>
      </c>
      <c r="L62" s="198" t="n">
        <f aca="false">IF(L61&gt;0,L59/L61,"n/m")</f>
        <v>4926488.96053273</v>
      </c>
      <c r="M62" s="198" t="n">
        <f aca="false">IF(M61&gt;0,M59/M61,"n/m")</f>
        <v>4592412.96788998</v>
      </c>
      <c r="N62" s="198" t="n">
        <f aca="false">IF(N61&gt;0,N59/N61,"n/m")</f>
        <v>4993273.95836822</v>
      </c>
      <c r="O62" s="198" t="n">
        <f aca="false">IF(O61&gt;0,O59/O61,"n/m")</f>
        <v>16740591.5264089</v>
      </c>
      <c r="P62" s="198" t="n">
        <f aca="false">IF(P61&gt;0,P59/P61,"n/m")</f>
        <v>4776536.46173475</v>
      </c>
      <c r="Q62" s="198" t="n">
        <f aca="false">IF(Q61&gt;0,Q59/Q61,"n/m")</f>
        <v>6205337.30456756</v>
      </c>
      <c r="R62" s="198" t="n">
        <f aca="false">IF(R61&gt;0,R59/R61,"n/m")</f>
        <v>5704076.94798228</v>
      </c>
      <c r="S62" s="198" t="n">
        <f aca="false">IF(S61&gt;0,S59/S61,"n/m")</f>
        <v>35319761.5184858</v>
      </c>
      <c r="T62" s="198" t="n">
        <f aca="false">IF(T61&gt;0,T59/T61,"n/m")</f>
        <v>9142061.78063538</v>
      </c>
      <c r="U62" s="198" t="n">
        <f aca="false">IF(U61&gt;0,U59/U61,"n/m")</f>
        <v>8747615.70716256</v>
      </c>
      <c r="V62" s="198" t="n">
        <f aca="false">IF(V61&gt;0,V59/V61,"n/m")</f>
        <v>9803187.85317545</v>
      </c>
      <c r="W62" s="198" t="n">
        <f aca="false">IF(W61&gt;0,W59/W61,"n/m")</f>
        <v>7668809.40064634</v>
      </c>
      <c r="X62" s="198" t="n">
        <f aca="false">IF(X61&gt;0,X59/X61,"n/m")</f>
        <v>7379905.83513979</v>
      </c>
      <c r="Y62" s="198" t="n">
        <f aca="false">IF(Y61&gt;0,Y59/Y61,"n/m")</f>
        <v>7366820.41477253</v>
      </c>
      <c r="Z62" s="198" t="n">
        <f aca="false">IF(Z61&gt;0,Z59/Z61,"n/m")</f>
        <v>7089881.85839881</v>
      </c>
      <c r="AA62" s="198" t="n">
        <f aca="false">IF(AA61&gt;0,AA59/AA61,"n/m")</f>
        <v>7951836.82336799</v>
      </c>
      <c r="AB62" s="198" t="n">
        <f aca="false">IF(AB61&gt;0,AB59/AB61,"n/m")</f>
        <v>7307422.58162769</v>
      </c>
      <c r="AC62" s="198" t="n">
        <f aca="false">IF(AC61&gt;0,AC59/AC61,"n/m")</f>
        <v>6818794.31395732</v>
      </c>
      <c r="AD62" s="198" t="n">
        <f aca="false">IF(AD61&gt;0,AD59/AD61,"n/m")</f>
        <v>7121842.86680984</v>
      </c>
      <c r="AE62" s="198" t="n">
        <f aca="false">IF(AE61&gt;0,AE59/AE61,"n/m")</f>
        <v>8076240.26800152</v>
      </c>
      <c r="AF62" s="198" t="n">
        <f aca="false">IF(AF61&gt;0,AF59/AF61,"n/m")</f>
        <v>7789411.42520122</v>
      </c>
      <c r="AG62" s="198" t="n">
        <f aca="false">IF(AG61&gt;0,AG59/AG61,"n/m")</f>
        <v>18441970.3316322</v>
      </c>
      <c r="AH62" s="198" t="n">
        <f aca="false">IF(AH61&gt;0,AH59/AH61,"n/m")</f>
        <v>5822055.82056859</v>
      </c>
      <c r="AI62" s="198" t="n">
        <f aca="false">IF(AI61&gt;0,AI59/AI61,"n/m")</f>
        <v>6304885.5574228</v>
      </c>
      <c r="AJ62" s="198" t="n">
        <f aca="false">IF(AJ61&gt;0,AJ59/AJ61,"n/m")</f>
        <v>6538980.79561727</v>
      </c>
      <c r="AK62" s="198" t="n">
        <f aca="false">IF(AK61&gt;0,AK59/AK61,"n/m")</f>
        <v>6163978.73620854</v>
      </c>
      <c r="AL62" s="198" t="n">
        <f aca="false">IF(AL61&gt;0,AL59/AL61,"n/m")</f>
        <v>4781989.96244849</v>
      </c>
      <c r="AM62" s="198" t="n">
        <f aca="false">IF(AM61&gt;0,AM59/AM61,"n/m")</f>
        <v>5749965.59643872</v>
      </c>
      <c r="AN62" s="198" t="n">
        <f aca="false">IF(AN61&gt;0,AN59/AN61,"n/m")</f>
        <v>5409989.37345023</v>
      </c>
      <c r="AO62" s="198" t="n">
        <f aca="false">IF(AO61&gt;0,AO59/AO61,"n/m")</f>
        <v>6433608.52370561</v>
      </c>
      <c r="AP62" s="198" t="n">
        <f aca="false">IF(AP61&gt;0,AP59/AP61,"n/m")</f>
        <v>5821134.0711797</v>
      </c>
      <c r="AQ62" s="198" t="n">
        <f aca="false">IF(AQ61&gt;0,AQ59/AQ61,"n/m")</f>
        <v>5489427.01454172</v>
      </c>
      <c r="AR62" s="198" t="n">
        <f aca="false">IF(AR61&gt;0,AR59/AR61,"n/m")</f>
        <v>5188054.83434701</v>
      </c>
      <c r="AS62" s="198" t="n">
        <f aca="false">IF(AS61&gt;0,AS59/AS61,"n/m")</f>
        <v>4105720.15710564</v>
      </c>
      <c r="AT62" s="198" t="n">
        <f aca="false">IF(AT61&gt;0,AT59/AT61,"n/m")</f>
        <v>3863347.54779131</v>
      </c>
      <c r="AU62" s="198" t="n">
        <f aca="false">IF(AU61&gt;0,AU59/AU61,"n/m")</f>
        <v>3712172.51582266</v>
      </c>
      <c r="AV62" s="198" t="n">
        <f aca="false">IF(AV61&gt;0,AV59/AV61,"n/m")</f>
        <v>2481356.35571005</v>
      </c>
      <c r="AW62" s="198" t="n">
        <f aca="false">IF(AW61&gt;0,AW59/AW61,"n/m")</f>
        <v>2639088.65770224</v>
      </c>
      <c r="AX62" s="198" t="n">
        <f aca="false">IF(AX61&gt;0,AX59/AX61,"n/m")</f>
        <v>7015617.79748147</v>
      </c>
      <c r="AY62" s="198" t="n">
        <f aca="false">IF(AY61&gt;0,AY59/AY61,"n/m")</f>
        <v>7735970.63296993</v>
      </c>
      <c r="AZ62" s="198" t="n">
        <f aca="false">IF(AZ61&gt;0,AZ59/AZ61,"n/m")</f>
        <v>6541651.19488561</v>
      </c>
      <c r="BA62" s="198" t="n">
        <f aca="false">IF(BA61&gt;0,BA59/BA61,"n/m")</f>
        <v>6222895.28796397</v>
      </c>
      <c r="BB62" s="198" t="n">
        <f aca="false">IF(BB61&gt;0,BB59/BB61,"n/m")</f>
        <v>6659242.16468776</v>
      </c>
      <c r="BC62" s="198" t="n">
        <f aca="false">IF(BC61&gt;0,BC59/BC61,"n/m")</f>
        <v>5573313.10239132</v>
      </c>
      <c r="BD62" s="198" t="n">
        <f aca="false">IF(BD61&gt;0,BD59/BD61,"n/m")</f>
        <v>5145114.84089889</v>
      </c>
      <c r="BE62" s="198" t="n">
        <f aca="false">IF(BE61&gt;0,BE59/BE61,"n/m")</f>
        <v>11882836.3372498</v>
      </c>
      <c r="BF62" s="198" t="n">
        <f aca="false">IF(BF61&gt;0,BF59/BF61,"n/m")</f>
        <v>4255520.92460732</v>
      </c>
      <c r="BG62" s="198" t="n">
        <f aca="false">IF(BG61&gt;0,BG59/BG61,"n/m")</f>
        <v>3812568.26608969</v>
      </c>
      <c r="BH62" s="198" t="n">
        <f aca="false">IF(BH61&gt;0,BH59/BH61,"n/m")</f>
        <v>4105714.85497329</v>
      </c>
      <c r="BI62" s="198" t="n">
        <f aca="false">IF(BI61&gt;0,BI59/BI61,"n/m")</f>
        <v>2969803.52296508</v>
      </c>
      <c r="BJ62" s="198" t="n">
        <f aca="false">IF(BJ61&gt;0,BJ59/BJ61,"n/m")</f>
        <v>1001253.41250097</v>
      </c>
      <c r="BK62" s="198" t="str">
        <f aca="false">IF(BK61&gt;0,BK59/BK61,"n/m")</f>
        <v>n/m</v>
      </c>
      <c r="BL62" s="198" t="str">
        <f aca="false">IF(BL61&gt;0,BL59/BL61,"n/m")</f>
        <v>n/m</v>
      </c>
      <c r="BM62" s="198" t="str">
        <f aca="false">IF(BM61&gt;0,BM59/BM61,"n/m")</f>
        <v>n/m</v>
      </c>
      <c r="BN62" s="198" t="str">
        <f aca="false">IF(BN61&gt;0,BN59/BN61,"n/m")</f>
        <v>n/m</v>
      </c>
      <c r="BO62" s="198" t="str">
        <f aca="false">IF(BO61&gt;0,BO59/BO61,"n/m")</f>
        <v>n/m</v>
      </c>
      <c r="BP62" s="198" t="str">
        <f aca="false">IF(BP61&gt;0,BP59/BP61,"n/m")</f>
        <v>n/m</v>
      </c>
      <c r="BQ62" s="198" t="str">
        <f aca="false">IF(BQ61&gt;0,BQ59/BQ61,"n/m")</f>
        <v>n/m</v>
      </c>
      <c r="BR62" s="198" t="str">
        <f aca="false">IF(BR61&gt;0,BR59/BR61,"n/m")</f>
        <v>n/m</v>
      </c>
      <c r="BS62" s="198" t="str">
        <f aca="false">IF(BS61&gt;0,BS59/BS61,"n/m")</f>
        <v>n/m</v>
      </c>
      <c r="BT62" s="198" t="str">
        <f aca="false">IF(BT61&gt;0,BT59/BT61,"n/m")</f>
        <v>n/m</v>
      </c>
      <c r="BU62" s="198" t="str">
        <f aca="false">IF(BU61&gt;0,BU59/BU61,"n/m")</f>
        <v>n/m</v>
      </c>
      <c r="BV62" s="198" t="str">
        <f aca="false">IF(BV61&gt;0,BV59/BV61,"n/m")</f>
        <v>n/m</v>
      </c>
      <c r="BW62" s="198" t="str">
        <f aca="false">IF(BW61&gt;0,BW59/BW61,"n/m")</f>
        <v>n/m</v>
      </c>
      <c r="BX62" s="198" t="str">
        <f aca="false">IF(BX61&gt;0,BX59/BX61,"n/m")</f>
        <v>n/m</v>
      </c>
      <c r="BY62" s="198" t="str">
        <f aca="false">IF(BY61&gt;0,BY59/BY61,"n/m")</f>
        <v>n/m</v>
      </c>
      <c r="BZ62" s="198" t="str">
        <f aca="false">IF(BZ61&gt;0,BZ59/BZ61,"n/m")</f>
        <v>n/m</v>
      </c>
      <c r="CA62" s="198" t="str">
        <f aca="false">IF(CA61&gt;0,CA59/CA61,"n/m")</f>
        <v>n/m</v>
      </c>
      <c r="CB62" s="198" t="str">
        <f aca="false">IF(CB61&gt;0,CB59/CB61,"n/m")</f>
        <v>n/m</v>
      </c>
      <c r="CC62" s="198" t="str">
        <f aca="false">IF(CC61&gt;0,CC59/CC61,"n/m")</f>
        <v>n/m</v>
      </c>
      <c r="CD62" s="198" t="str">
        <f aca="false">IF(CD61&gt;0,CD59/CD61,"n/m")</f>
        <v>n/m</v>
      </c>
      <c r="CE62" s="198" t="str">
        <f aca="false">IF(CE61&gt;0,CE59/CE61,"n/m")</f>
        <v>n/m</v>
      </c>
      <c r="CF62" s="198" t="str">
        <f aca="false">IF(CF61&gt;0,CF59/CF61,"n/m")</f>
        <v>n/m</v>
      </c>
      <c r="CG62" s="198" t="str">
        <f aca="false">IF(CG61&gt;0,CG59/CG61,"n/m")</f>
        <v>n/m</v>
      </c>
      <c r="CH62" s="198" t="str">
        <f aca="false">IF(CH61&gt;0,CH59/CH61,"n/m")</f>
        <v>n/m</v>
      </c>
      <c r="CI62" s="198" t="str">
        <f aca="false">IF(CI61&gt;0,CI59/CI61,"n/m")</f>
        <v>n/m</v>
      </c>
      <c r="CJ62" s="198" t="str">
        <f aca="false">IF(CJ61&gt;0,CJ59/CJ61,"n/m")</f>
        <v>n/m</v>
      </c>
      <c r="CK62" s="198" t="str">
        <f aca="false">IF(CK61&gt;0,CK59/CK61,"n/m")</f>
        <v>n/m</v>
      </c>
      <c r="CL62" s="198" t="str">
        <f aca="false">IF(CL61&gt;0,CL59/CL61,"n/m")</f>
        <v>n/m</v>
      </c>
      <c r="CM62" s="198" t="str">
        <f aca="false">IF(CM61&gt;0,CM59/CM61,"n/m")</f>
        <v>n/m</v>
      </c>
      <c r="CN62" s="198" t="str">
        <f aca="false">IF(CN61&gt;0,CN59/CN61,"n/m")</f>
        <v>n/m</v>
      </c>
      <c r="CO62" s="198" t="str">
        <f aca="false">IF(CO61&gt;0,CO59/CO61,"n/m")</f>
        <v>n/m</v>
      </c>
      <c r="CP62" s="198" t="str">
        <f aca="false">IF(CP61&gt;0,CP59/CP61,"n/m")</f>
        <v>n/m</v>
      </c>
      <c r="CQ62" s="198" t="str">
        <f aca="false">IF(CQ61&gt;0,CQ59/CQ61,"n/m")</f>
        <v>n/m</v>
      </c>
      <c r="CR62" s="198" t="str">
        <f aca="false">IF(CR61&gt;0,CR59/CR61,"n/m")</f>
        <v>n/m</v>
      </c>
      <c r="CS62" s="198" t="str">
        <f aca="false">IF(CS61&gt;0,CS59/CS61,"n/m")</f>
        <v>n/m</v>
      </c>
      <c r="CT62" s="198" t="str">
        <f aca="false">IF(CT61&gt;0,CT59/CT61,"n/m")</f>
        <v>n/m</v>
      </c>
      <c r="CU62" s="198" t="str">
        <f aca="false">IF(CU61&gt;0,CU59/CU61,"n/m")</f>
        <v>n/m</v>
      </c>
      <c r="CV62" s="198" t="str">
        <f aca="false">IF(CV61&gt;0,CV59/CV61,"n/m")</f>
        <v>n/m</v>
      </c>
      <c r="CW62" s="198" t="str">
        <f aca="false">IF(CW61&gt;0,CW59/CW61,"n/m")</f>
        <v>n/m</v>
      </c>
      <c r="CX62" s="198" t="str">
        <f aca="false">IF(CX61&gt;0,CX59/CX61,"n/m")</f>
        <v>n/m</v>
      </c>
      <c r="CY62" s="198" t="str">
        <f aca="false">IF(CY61&gt;0,CY59/CY61,"n/m")</f>
        <v>n/m</v>
      </c>
      <c r="CZ62" s="198" t="str">
        <f aca="false">IF(CZ61&gt;0,CZ59/CZ61,"n/m")</f>
        <v>n/m</v>
      </c>
      <c r="DA62" s="198" t="str">
        <f aca="false">IF(DA61&gt;0,DA59/DA61,"n/m")</f>
        <v>n/m</v>
      </c>
      <c r="DB62" s="198" t="str">
        <f aca="false">IF(DB61&gt;0,DB59/DB61,"n/m")</f>
        <v>n/m</v>
      </c>
    </row>
    <row r="63" customFormat="false" ht="13.5" hidden="false" customHeight="true" outlineLevel="0" collapsed="false">
      <c r="A63" s="94" t="s">
        <v>598</v>
      </c>
      <c r="G63" s="203" t="n">
        <f aca="false">IF(ISNUMBER(G62),G56-G62,G60-G59)</f>
        <v>1469338.78452686</v>
      </c>
      <c r="H63" s="203" t="n">
        <f aca="false">IF(ISNUMBER(H62),H56-H62,H60-H59)</f>
        <v>-2109749.83863721</v>
      </c>
      <c r="I63" s="203" t="n">
        <f aca="false">IF(ISNUMBER(I62),I56-I62,I60-I59)</f>
        <v>1656834.09733327</v>
      </c>
      <c r="J63" s="203" t="n">
        <f aca="false">IF(ISNUMBER(J62),J56-J62,J60-J59)</f>
        <v>4965580.15767146</v>
      </c>
      <c r="K63" s="203" t="n">
        <f aca="false">IF(ISNUMBER(K62),K56-K62,K60-K59)</f>
        <v>-701719.945125</v>
      </c>
      <c r="L63" s="203" t="n">
        <f aca="false">IF(ISNUMBER(L62),L56-L62,L60-L59)</f>
        <v>915689.147451724</v>
      </c>
      <c r="M63" s="203" t="n">
        <f aca="false">IF(ISNUMBER(M62),M56-M62,M60-M59)</f>
        <v>1482337.16058778</v>
      </c>
      <c r="N63" s="203" t="n">
        <f aca="false">IF(ISNUMBER(N62),N56-N62,N60-N59)</f>
        <v>229916.781979305</v>
      </c>
      <c r="O63" s="203" t="n">
        <f aca="false">IF(ISNUMBER(O62),O56-O62,O60-O59)</f>
        <v>-11515324.4893369</v>
      </c>
      <c r="P63" s="203" t="n">
        <f aca="false">IF(ISNUMBER(P62),P56-P62,P60-P59)</f>
        <v>1722058.0044865</v>
      </c>
      <c r="Q63" s="203" t="n">
        <f aca="false">IF(ISNUMBER(Q62),Q56-Q62,Q60-Q59)</f>
        <v>314784.240019894</v>
      </c>
      <c r="R63" s="203" t="n">
        <f aca="false">IF(ISNUMBER(R62),R56-R62,R60-R59)</f>
        <v>1533731.52163727</v>
      </c>
      <c r="S63" s="203" t="n">
        <f aca="false">IF(ISNUMBER(S62),S56-S62,S60-S59)</f>
        <v>-27403408.2253369</v>
      </c>
      <c r="T63" s="203" t="n">
        <f aca="false">IF(ISNUMBER(T62),T56-T62,T60-T59)</f>
        <v>-774820.305138281</v>
      </c>
      <c r="U63" s="203" t="n">
        <f aca="false">IF(ISNUMBER(U62),U56-U62,U60-U59)</f>
        <v>458163.752390044</v>
      </c>
      <c r="V63" s="203" t="n">
        <f aca="false">IF(ISNUMBER(V62),V56-V62,V60-V59)</f>
        <v>1223568.2197421</v>
      </c>
      <c r="W63" s="203" t="n">
        <f aca="false">IF(ISNUMBER(W62),W56-W62,W60-W59)</f>
        <v>3035826.33423646</v>
      </c>
      <c r="X63" s="203" t="n">
        <f aca="false">IF(ISNUMBER(X62),X56-X62,X60-X59)</f>
        <v>4285198.08801667</v>
      </c>
      <c r="Y63" s="203" t="n">
        <f aca="false">IF(ISNUMBER(Y62),Y56-Y62,Y60-Y59)</f>
        <v>3213917.20154848</v>
      </c>
      <c r="Z63" s="203" t="n">
        <f aca="false">IF(ISNUMBER(Z62),Z56-Z62,Z60-Z59)</f>
        <v>5786728.52394255</v>
      </c>
      <c r="AA63" s="203" t="n">
        <f aca="false">IF(ISNUMBER(AA62),AA56-AA62,AA60-AA59)</f>
        <v>3871030.60625959</v>
      </c>
      <c r="AB63" s="203" t="n">
        <f aca="false">IF(ISNUMBER(AB62),AB56-AB62,AB60-AB59)</f>
        <v>5672514.56101552</v>
      </c>
      <c r="AC63" s="203" t="n">
        <f aca="false">IF(ISNUMBER(AC62),AC56-AC62,AC60-AC59)</f>
        <v>5708043.58398679</v>
      </c>
      <c r="AD63" s="203" t="n">
        <f aca="false">IF(ISNUMBER(AD62),AD56-AD62,AD60-AD59)</f>
        <v>4243095.99550195</v>
      </c>
      <c r="AE63" s="203" t="n">
        <f aca="false">IF(ISNUMBER(AE62),AE56-AE62,AE60-AE59)</f>
        <v>2260254.69631424</v>
      </c>
      <c r="AF63" s="203" t="n">
        <f aca="false">IF(ISNUMBER(AF62),AF56-AF62,AF60-AF59)</f>
        <v>2497845.32624674</v>
      </c>
      <c r="AG63" s="203" t="n">
        <f aca="false">IF(ISNUMBER(AG62),AG56-AG62,AG60-AG59)</f>
        <v>-7921342.86572912</v>
      </c>
      <c r="AH63" s="203" t="n">
        <f aca="false">IF(ISNUMBER(AH62),AH56-AH62,AH60-AH59)</f>
        <v>4597449.13432372</v>
      </c>
      <c r="AI63" s="203" t="n">
        <f aca="false">IF(ISNUMBER(AI62),AI56-AI62,AI60-AI59)</f>
        <v>4212986.7021526</v>
      </c>
      <c r="AJ63" s="203" t="n">
        <f aca="false">IF(ISNUMBER(AJ62),AJ56-AJ62,AJ60-AJ59)</f>
        <v>3209006.89881029</v>
      </c>
      <c r="AK63" s="203" t="n">
        <f aca="false">IF(ISNUMBER(AK62),AK56-AK62,AK60-AK59)</f>
        <v>3128628.28035478</v>
      </c>
      <c r="AL63" s="203" t="n">
        <f aca="false">IF(ISNUMBER(AL62),AL56-AL62,AL60-AL59)</f>
        <v>3071282.89347397</v>
      </c>
      <c r="AM63" s="203" t="n">
        <f aca="false">IF(ISNUMBER(AM62),AM56-AM62,AM60-AM59)</f>
        <v>751144.341862041</v>
      </c>
      <c r="AN63" s="203" t="n">
        <f aca="false">IF(ISNUMBER(AN62),AN56-AN62,AN60-AN59)</f>
        <v>640077.605323209</v>
      </c>
      <c r="AO63" s="203" t="n">
        <f aca="false">IF(ISNUMBER(AO62),AO56-AO62,AO60-AO59)</f>
        <v>-956602.017778647</v>
      </c>
      <c r="AP63" s="203" t="n">
        <f aca="false">IF(ISNUMBER(AP62),AP56-AP62,AP60-AP59)</f>
        <v>-1421157.39457614</v>
      </c>
      <c r="AQ63" s="203" t="n">
        <f aca="false">IF(ISNUMBER(AQ62),AQ56-AQ62,AQ60-AQ59)</f>
        <v>-1621870.56513234</v>
      </c>
      <c r="AR63" s="203" t="n">
        <f aca="false">IF(ISNUMBER(AR62),AR56-AR62,AR60-AR59)</f>
        <v>-1532829.09196715</v>
      </c>
      <c r="AS63" s="203" t="n">
        <f aca="false">IF(ISNUMBER(AS62),AS56-AS62,AS60-AS59)</f>
        <v>-1184639.03647964</v>
      </c>
      <c r="AT63" s="203" t="n">
        <f aca="false">IF(ISNUMBER(AT62),AT56-AT62,AT60-AT59)</f>
        <v>-1026633.80258531</v>
      </c>
      <c r="AU63" s="203" t="n">
        <f aca="false">IF(ISNUMBER(AU62),AU56-AU62,AU60-AU59)</f>
        <v>-972850.035922656</v>
      </c>
      <c r="AV63" s="203" t="n">
        <f aca="false">IF(ISNUMBER(AV62),AV56-AV62,AV60-AV59)</f>
        <v>148556.341099947</v>
      </c>
      <c r="AW63" s="203" t="n">
        <f aca="false">IF(ISNUMBER(AW62),AW56-AW62,AW60-AW59)</f>
        <v>-756915.291486237</v>
      </c>
      <c r="AX63" s="203" t="n">
        <f aca="false">IF(ISNUMBER(AX62),AX56-AX62,AX60-AX59)</f>
        <v>-5170663.60006547</v>
      </c>
      <c r="AY63" s="203" t="n">
        <f aca="false">IF(ISNUMBER(AY62),AY56-AY62,AY60-AY59)</f>
        <v>-5945521.84052993</v>
      </c>
      <c r="AZ63" s="203" t="n">
        <f aca="false">IF(ISNUMBER(AZ62),AZ56-AZ62,AZ60-AZ59)</f>
        <v>-4821339.85831761</v>
      </c>
      <c r="BA63" s="203" t="n">
        <f aca="false">IF(ISNUMBER(BA62),BA56-BA62,BA60-BA59)</f>
        <v>-4586409.79045997</v>
      </c>
      <c r="BB63" s="203" t="n">
        <f aca="false">IF(ISNUMBER(BB62),BB56-BB62,BB60-BB59)</f>
        <v>-5117996.38467976</v>
      </c>
      <c r="BC63" s="203" t="n">
        <f aca="false">IF(ISNUMBER(BC62),BC56-BC62,BC60-BC59)</f>
        <v>-4136156.93112732</v>
      </c>
      <c r="BD63" s="203" t="n">
        <f aca="false">IF(ISNUMBER(BD62),BD56-BD62,BD60-BD59)</f>
        <v>-3818375.53707489</v>
      </c>
      <c r="BE63" s="203" t="n">
        <f aca="false">IF(ISNUMBER(BE62),BE56-BE62,BE60-BE59)</f>
        <v>-10670194.4631138</v>
      </c>
      <c r="BF63" s="203" t="n">
        <f aca="false">IF(ISNUMBER(BF62),BF56-BF62,BF60-BF59)</f>
        <v>-3158175.76448732</v>
      </c>
      <c r="BG63" s="203" t="n">
        <f aca="false">IF(ISNUMBER(BG62),BG56-BG62,BG60-BG59)</f>
        <v>-2829444.59955369</v>
      </c>
      <c r="BH63" s="203" t="n">
        <f aca="false">IF(ISNUMBER(BH62),BH56-BH62,BH60-BH59)</f>
        <v>-3233669.72998929</v>
      </c>
      <c r="BI63" s="203" t="n">
        <f aca="false">IF(ISNUMBER(BI62),BI56-BI62,BI60-BI59)</f>
        <v>-2203998.44758908</v>
      </c>
      <c r="BJ63" s="203" t="n">
        <f aca="false">IF(ISNUMBER(BJ62),BJ56-BJ62,BJ60-BJ59)</f>
        <v>-335402.482668969</v>
      </c>
      <c r="BK63" s="203" t="n">
        <f aca="false">IF(ISNUMBER(BK62),BK56-BK62,BK60-BK59)</f>
        <v>-742282.442626318</v>
      </c>
      <c r="BL63" s="203" t="n">
        <f aca="false">IF(ISNUMBER(BL62),BL56-BL62,BL60-BL59)</f>
        <v>-611406.442626318</v>
      </c>
      <c r="BM63" s="203" t="n">
        <f aca="false">IF(ISNUMBER(BM62),BM56-BM62,BM60-BM59)</f>
        <v>-611406.442626318</v>
      </c>
      <c r="BN63" s="203" t="n">
        <f aca="false">IF(ISNUMBER(BN62),BN56-BN62,BN60-BN59)</f>
        <v>-742282.442626318</v>
      </c>
      <c r="BO63" s="203" t="n">
        <f aca="false">IF(ISNUMBER(BO62),BO56-BO62,BO60-BO59)</f>
        <v>-623534.571478844</v>
      </c>
      <c r="BP63" s="203" t="n">
        <f aca="false">IF(ISNUMBER(BP62),BP56-BP62,BP60-BP59)</f>
        <v>-623534.571478844</v>
      </c>
      <c r="BQ63" s="203" t="n">
        <f aca="false">IF(ISNUMBER(BQ62),BQ56-BQ62,BQ60-BQ59)</f>
        <v>-754410.571478844</v>
      </c>
      <c r="BR63" s="203" t="n">
        <f aca="false">IF(ISNUMBER(BR62),BR56-BR62,BR60-BR59)</f>
        <v>-623534.571478844</v>
      </c>
      <c r="BS63" s="203" t="n">
        <f aca="false">IF(ISNUMBER(BS62),BS56-BS62,BS60-BS59)</f>
        <v>-623534.571478844</v>
      </c>
      <c r="BT63" s="203" t="n">
        <f aca="false">IF(ISNUMBER(BT62),BT56-BT62,BT60-BT59)</f>
        <v>-712690.221478844</v>
      </c>
      <c r="BU63" s="203" t="n">
        <f aca="false">IF(ISNUMBER(BU62),BU56-BU62,BU60-BU59)</f>
        <v>-623534.571478844</v>
      </c>
      <c r="BV63" s="203" t="n">
        <f aca="false">IF(ISNUMBER(BV62),BV56-BV62,BV60-BV59)</f>
        <v>-623534.571478844</v>
      </c>
      <c r="BW63" s="203" t="n">
        <f aca="false">IF(ISNUMBER(BW62),BW56-BW62,BW60-BW59)</f>
        <v>-698174.571478844</v>
      </c>
      <c r="BX63" s="203" t="n">
        <f aca="false">IF(ISNUMBER(BX62),BX56-BX62,BX60-BX59)</f>
        <v>-623534.571478844</v>
      </c>
      <c r="BY63" s="203" t="n">
        <f aca="false">IF(ISNUMBER(BY62),BY56-BY62,BY60-BY59)</f>
        <v>-623534.571478844</v>
      </c>
      <c r="BZ63" s="203" t="n">
        <f aca="false">IF(ISNUMBER(BZ62),BZ56-BZ62,BZ60-BZ59)</f>
        <v>-698174.571478844</v>
      </c>
      <c r="CA63" s="203" t="n">
        <f aca="false">IF(ISNUMBER(CA62),CA56-CA62,CA60-CA59)</f>
        <v>-635905.262908421</v>
      </c>
      <c r="CB63" s="203" t="n">
        <f aca="false">IF(ISNUMBER(CB62),CB56-CB62,CB60-CB59)</f>
        <v>-635905.262908421</v>
      </c>
      <c r="CC63" s="203" t="n">
        <f aca="false">IF(ISNUMBER(CC62),CC56-CC62,CC60-CC59)</f>
        <v>-783701.262908421</v>
      </c>
      <c r="CD63" s="203" t="n">
        <f aca="false">IF(ISNUMBER(CD62),CD56-CD62,CD60-CD59)</f>
        <v>-635905.262908421</v>
      </c>
      <c r="CE63" s="203" t="n">
        <f aca="false">IF(ISNUMBER(CE62),CE56-CE62,CE60-CE59)</f>
        <v>-635905.262908421</v>
      </c>
      <c r="CF63" s="203" t="n">
        <f aca="false">IF(ISNUMBER(CF62),CF56-CF62,CF60-CF59)</f>
        <v>-790423.262908421</v>
      </c>
      <c r="CG63" s="203" t="n">
        <f aca="false">IF(ISNUMBER(CG62),CG56-CG62,CG60-CG59)</f>
        <v>-635905.262908421</v>
      </c>
      <c r="CH63" s="203" t="n">
        <f aca="false">IF(ISNUMBER(CH62),CH56-CH62,CH60-CH59)</f>
        <v>-635905.262908421</v>
      </c>
      <c r="CI63" s="203" t="n">
        <f aca="false">IF(ISNUMBER(CI62),CI56-CI62,CI60-CI59)</f>
        <v>-790422.262908421</v>
      </c>
      <c r="CJ63" s="203" t="n">
        <f aca="false">IF(ISNUMBER(CJ62),CJ56-CJ62,CJ60-CJ59)</f>
        <v>-635905.262908421</v>
      </c>
      <c r="CK63" s="203" t="n">
        <f aca="false">IF(ISNUMBER(CK62),CK56-CK62,CK60-CK59)</f>
        <v>-635905.262908421</v>
      </c>
      <c r="CL63" s="203" t="n">
        <f aca="false">IF(ISNUMBER(CL62),CL56-CL62,CL60-CL59)</f>
        <v>-783814.236301942</v>
      </c>
      <c r="CM63" s="203" t="n">
        <f aca="false">IF(ISNUMBER(CM62),CM56-CM62,CM60-CM59)</f>
        <v>-721678.368166589</v>
      </c>
      <c r="CN63" s="203" t="n">
        <f aca="false">IF(ISNUMBER(CN62),CN56-CN62,CN60-CN59)</f>
        <v>-721678.368166589</v>
      </c>
      <c r="CO63" s="203" t="n">
        <f aca="false">IF(ISNUMBER(CO62),CO56-CO62,CO60-CO59)</f>
        <v>-721678.368166589</v>
      </c>
      <c r="CP63" s="203" t="n">
        <f aca="false">IF(ISNUMBER(CP62),CP56-CP62,CP60-CP59)</f>
        <v>-721678.368166589</v>
      </c>
      <c r="CQ63" s="203" t="n">
        <f aca="false">IF(ISNUMBER(CQ62),CQ56-CQ62,CQ60-CQ59)</f>
        <v>-721678.368166589</v>
      </c>
      <c r="CR63" s="203" t="n">
        <f aca="false">IF(ISNUMBER(CR62),CR56-CR62,CR60-CR59)</f>
        <v>-721678.368166589</v>
      </c>
      <c r="CS63" s="203" t="n">
        <f aca="false">IF(ISNUMBER(CS62),CS56-CS62,CS60-CS59)</f>
        <v>-721678.368166589</v>
      </c>
      <c r="CT63" s="203" t="n">
        <f aca="false">IF(ISNUMBER(CT62),CT56-CT62,CT60-CT59)</f>
        <v>-721678.368166589</v>
      </c>
      <c r="CU63" s="203" t="n">
        <f aca="false">IF(ISNUMBER(CU62),CU56-CU62,CU60-CU59)</f>
        <v>-721678.368166589</v>
      </c>
      <c r="CV63" s="203" t="n">
        <f aca="false">IF(ISNUMBER(CV62),CV56-CV62,CV60-CV59)</f>
        <v>-660876.239873812</v>
      </c>
      <c r="CW63" s="203" t="n">
        <f aca="false">IF(ISNUMBER(CW62),CW56-CW62,CW60-CW59)</f>
        <v>-660876.239873812</v>
      </c>
      <c r="CX63" s="203" t="n">
        <f aca="false">IF(ISNUMBER(CX62),CX56-CX62,CX60-CX59)</f>
        <v>-660876.239873812</v>
      </c>
      <c r="CY63" s="203" t="n">
        <f aca="false">IF(ISNUMBER(CY62),CY56-CY62,CY60-CY59)</f>
        <v>-616822.513607695</v>
      </c>
      <c r="CZ63" s="203" t="n">
        <f aca="false">IF(ISNUMBER(CZ62),CZ56-CZ62,CZ60-CZ59)</f>
        <v>-599375.664671288</v>
      </c>
      <c r="DA63" s="203" t="n">
        <f aca="false">IF(ISNUMBER(DA62),DA56-DA62,DA60-DA59)</f>
        <v>-599375.664671288</v>
      </c>
      <c r="DB63" s="203" t="n">
        <f aca="false">IF(ISNUMBER(DB62),DB56-DB62,DB60-DB59)</f>
        <v>-599375.664671288</v>
      </c>
    </row>
    <row r="64" customFormat="false" ht="13.5" hidden="false" customHeight="true" outlineLevel="0" collapsed="false">
      <c r="A64" s="94" t="s">
        <v>599</v>
      </c>
      <c r="G64" s="204" t="n">
        <f aca="false">IFERROR(G60/G59,"")</f>
        <v>1.66096542953664</v>
      </c>
      <c r="H64" s="204" t="n">
        <f aca="false">IFERROR(H60/H59,"")</f>
        <v>0.676706897099834</v>
      </c>
      <c r="I64" s="204" t="n">
        <f aca="false">IFERROR(I60/I59,"")</f>
        <v>1.36053960133789</v>
      </c>
      <c r="J64" s="204" t="n">
        <f aca="false">IFERROR(J60/J59,"")</f>
        <v>3.41045767673262</v>
      </c>
      <c r="K64" s="204" t="n">
        <f aca="false">IFERROR(K60/K59,"")</f>
        <v>-0.231998783389695</v>
      </c>
      <c r="L64" s="204" t="n">
        <f aca="false">IFERROR(L60/L59,"")</f>
        <v>1.1858705367631</v>
      </c>
      <c r="M64" s="204" t="n">
        <f aca="false">IFERROR(M60/M59,"")</f>
        <v>1.32277958688651</v>
      </c>
      <c r="N64" s="204" t="n">
        <f aca="false">IFERROR(N60/N59,"")</f>
        <v>1.04604529691266</v>
      </c>
      <c r="O64" s="204" t="n">
        <f aca="false">IFERROR(O60/O59,"")</f>
        <v>0.312131565293194</v>
      </c>
      <c r="P64" s="204" t="n">
        <f aca="false">IFERROR(P60/P59,"")</f>
        <v>1.36052441309347</v>
      </c>
      <c r="Q64" s="204" t="n">
        <f aca="false">IFERROR(Q60/Q59,"")</f>
        <v>1.05072798214985</v>
      </c>
      <c r="R64" s="204" t="n">
        <f aca="false">IFERROR(R60/R59,"")</f>
        <v>1.2688833856247</v>
      </c>
      <c r="S64" s="204" t="n">
        <f aca="false">IFERROR(S60/S59,"")</f>
        <v>0.224133826300201</v>
      </c>
      <c r="T64" s="204" t="n">
        <f aca="false">IFERROR(T60/T59,"")</f>
        <v>0.915246656199645</v>
      </c>
      <c r="U64" s="204" t="n">
        <f aca="false">IFERROR(U60/U59,"")</f>
        <v>1.0523758436273</v>
      </c>
      <c r="V64" s="204" t="n">
        <f aca="false">IFERROR(V60/V59,"")</f>
        <v>1.12481329931322</v>
      </c>
      <c r="W64" s="204" t="n">
        <f aca="false">IFERROR(W60/W59,"")</f>
        <v>1.39586670832901</v>
      </c>
      <c r="X64" s="204" t="n">
        <f aca="false">IFERROR(X60/X59,"")</f>
        <v>1.58065755630817</v>
      </c>
      <c r="Y64" s="204" t="n">
        <f aca="false">IFERROR(Y60/Y59,"")</f>
        <v>1.43626924787031</v>
      </c>
      <c r="Z64" s="204" t="n">
        <f aca="false">IFERROR(Z60/Z59,"")</f>
        <v>1.81619533858487</v>
      </c>
      <c r="AA64" s="204" t="n">
        <f aca="false">IFERROR(AA60/AA59,"")</f>
        <v>1.48680961295431</v>
      </c>
      <c r="AB64" s="204" t="n">
        <f aca="false">IFERROR(AB60/AB59,"")</f>
        <v>1.77626748660702</v>
      </c>
      <c r="AC64" s="204" t="n">
        <f aca="false">IFERROR(AC60/AC59,"")</f>
        <v>1.83710452628012</v>
      </c>
      <c r="AD64" s="204" t="n">
        <f aca="false">IFERROR(AD60/AD59,"")</f>
        <v>1.59578624168699</v>
      </c>
      <c r="AE64" s="204" t="n">
        <f aca="false">IFERROR(AE60/AE59,"")</f>
        <v>1.27986471691159</v>
      </c>
      <c r="AF64" s="204" t="n">
        <f aca="false">IFERROR(AF60/AF59,"")</f>
        <v>1.32067189546124</v>
      </c>
      <c r="AG64" s="204" t="n">
        <f aca="false">IFERROR(AG60/AG59,"")</f>
        <v>0.570471987359062</v>
      </c>
      <c r="AH64" s="204" t="n">
        <f aca="false">IFERROR(AH60/AH59,"")</f>
        <v>1.78966077894367</v>
      </c>
      <c r="AI64" s="204" t="n">
        <f aca="false">IFERROR(AI60/AI59,"")</f>
        <v>1.66820986103271</v>
      </c>
      <c r="AJ64" s="204" t="n">
        <f aca="false">IFERROR(AJ60/AJ59,"")</f>
        <v>1.49075031707711</v>
      </c>
      <c r="AK64" s="204" t="n">
        <f aca="false">IFERROR(AK60/AK59,"")</f>
        <v>1.50756636488321</v>
      </c>
      <c r="AL64" s="204" t="n">
        <f aca="false">IFERROR(AL60/AL59,"")</f>
        <v>1.6422604224584</v>
      </c>
      <c r="AM64" s="204" t="n">
        <f aca="false">IFERROR(AM60/AM59,"")</f>
        <v>1.13063458020119</v>
      </c>
      <c r="AN64" s="204" t="n">
        <f aca="false">IFERROR(AN60/AN59,"")</f>
        <v>1.11831402266045</v>
      </c>
      <c r="AO64" s="204" t="n">
        <f aca="false">IFERROR(AO60/AO59,"")</f>
        <v>0.851311746082482</v>
      </c>
      <c r="AP64" s="204" t="n">
        <f aca="false">IFERROR(AP60/AP59,"")</f>
        <v>0.755862452711361</v>
      </c>
      <c r="AQ64" s="204" t="n">
        <f aca="false">IFERROR(AQ60/AQ59,"")</f>
        <v>0.70454647437047</v>
      </c>
      <c r="AR64" s="204" t="n">
        <f aca="false">IFERROR(AR60/AR59,"")</f>
        <v>0.70454647437047</v>
      </c>
      <c r="AS64" s="204" t="n">
        <f aca="false">IFERROR(AS60/AS59,"")</f>
        <v>0.711466200532585</v>
      </c>
      <c r="AT64" s="204" t="n">
        <f aca="false">IFERROR(AT60/AT59,"")</f>
        <v>0.734263151351154</v>
      </c>
      <c r="AU64" s="204" t="n">
        <f aca="false">IFERROR(AU60/AU59,"")</f>
        <v>0.737929734737271</v>
      </c>
      <c r="AV64" s="204" t="n">
        <f aca="false">IFERROR(AV60/AV59,"")</f>
        <v>1.05986900702839</v>
      </c>
      <c r="AW64" s="204" t="n">
        <f aca="false">IFERROR(AW60/AW59,"")</f>
        <v>0.713190654176333</v>
      </c>
      <c r="AX64" s="204" t="n">
        <f aca="false">IFERROR(AX60/AX59,"")</f>
        <v>0.262978151129943</v>
      </c>
      <c r="AY64" s="204" t="n">
        <f aca="false">IFERROR(AY60/AY59,"")</f>
        <v>0.23144462115837</v>
      </c>
      <c r="AZ64" s="204" t="n">
        <f aca="false">IFERROR(AZ60/AZ59,"")</f>
        <v>0.262978151129943</v>
      </c>
      <c r="BA64" s="204" t="n">
        <f aca="false">IFERROR(BA60/BA59,"")</f>
        <v>0.262978151129943</v>
      </c>
      <c r="BB64" s="204" t="n">
        <f aca="false">IFERROR(BB60/BB59,"")</f>
        <v>0.23144462115837</v>
      </c>
      <c r="BC64" s="204" t="n">
        <f aca="false">IFERROR(BC60/BC59,"")</f>
        <v>0.257863885423441</v>
      </c>
      <c r="BD64" s="204" t="n">
        <f aca="false">IFERROR(BD60/BD59,"")</f>
        <v>0.257863885423441</v>
      </c>
      <c r="BE64" s="204" t="n">
        <f aca="false">IFERROR(BE60/BE59,"")</f>
        <v>0.102049867533281</v>
      </c>
      <c r="BF64" s="204" t="n">
        <f aca="false">IFERROR(BF60/BF59,"")</f>
        <v>0.257863885423441</v>
      </c>
      <c r="BG64" s="204" t="n">
        <f aca="false">IFERROR(BG60/BG59,"")</f>
        <v>0.257863885423441</v>
      </c>
      <c r="BH64" s="204" t="n">
        <f aca="false">IFERROR(BH60/BH59,"")</f>
        <v>0.212397878515037</v>
      </c>
      <c r="BI64" s="204" t="n">
        <f aca="false">IFERROR(BI60/BI59,"")</f>
        <v>0.257863885423441</v>
      </c>
      <c r="BJ64" s="204" t="n">
        <f aca="false">IFERROR(BJ60/BJ59,"")</f>
        <v>0.665017388723612</v>
      </c>
      <c r="BK64" s="204" t="n">
        <f aca="false">IFERROR(BK60/BK59,"")</f>
        <v>0</v>
      </c>
      <c r="BL64" s="204" t="n">
        <f aca="false">IFERROR(BL60/BL59,"")</f>
        <v>0</v>
      </c>
      <c r="BM64" s="204" t="n">
        <f aca="false">IFERROR(BM60/BM59,"")</f>
        <v>0</v>
      </c>
      <c r="BN64" s="204" t="n">
        <f aca="false">IFERROR(BN60/BN59,"")</f>
        <v>0</v>
      </c>
      <c r="BO64" s="204" t="n">
        <f aca="false">IFERROR(BO60/BO59,"")</f>
        <v>0</v>
      </c>
      <c r="BP64" s="204" t="n">
        <f aca="false">IFERROR(BP60/BP59,"")</f>
        <v>0</v>
      </c>
      <c r="BQ64" s="204" t="n">
        <f aca="false">IFERROR(BQ60/BQ59,"")</f>
        <v>0</v>
      </c>
      <c r="BR64" s="204" t="n">
        <f aca="false">IFERROR(BR60/BR59,"")</f>
        <v>0</v>
      </c>
      <c r="BS64" s="204" t="n">
        <f aca="false">IFERROR(BS60/BS59,"")</f>
        <v>0</v>
      </c>
      <c r="BT64" s="204" t="n">
        <f aca="false">IFERROR(BT60/BT59,"")</f>
        <v>0</v>
      </c>
      <c r="BU64" s="204" t="n">
        <f aca="false">IFERROR(BU60/BU59,"")</f>
        <v>0</v>
      </c>
      <c r="BV64" s="204" t="n">
        <f aca="false">IFERROR(BV60/BV59,"")</f>
        <v>0</v>
      </c>
      <c r="BW64" s="204" t="n">
        <f aca="false">IFERROR(BW60/BW59,"")</f>
        <v>0</v>
      </c>
      <c r="BX64" s="204" t="n">
        <f aca="false">IFERROR(BX60/BX59,"")</f>
        <v>0</v>
      </c>
      <c r="BY64" s="204" t="n">
        <f aca="false">IFERROR(BY60/BY59,"")</f>
        <v>0</v>
      </c>
      <c r="BZ64" s="204" t="n">
        <f aca="false">IFERROR(BZ60/BZ59,"")</f>
        <v>0</v>
      </c>
      <c r="CA64" s="204" t="n">
        <f aca="false">IFERROR(CA60/CA59,"")</f>
        <v>0</v>
      </c>
      <c r="CB64" s="204" t="n">
        <f aca="false">IFERROR(CB60/CB59,"")</f>
        <v>0</v>
      </c>
      <c r="CC64" s="204" t="n">
        <f aca="false">IFERROR(CC60/CC59,"")</f>
        <v>0</v>
      </c>
      <c r="CD64" s="204" t="n">
        <f aca="false">IFERROR(CD60/CD59,"")</f>
        <v>0</v>
      </c>
      <c r="CE64" s="204" t="n">
        <f aca="false">IFERROR(CE60/CE59,"")</f>
        <v>0</v>
      </c>
      <c r="CF64" s="204" t="n">
        <f aca="false">IFERROR(CF60/CF59,"")</f>
        <v>0</v>
      </c>
      <c r="CG64" s="204" t="n">
        <f aca="false">IFERROR(CG60/CG59,"")</f>
        <v>0</v>
      </c>
      <c r="CH64" s="204" t="n">
        <f aca="false">IFERROR(CH60/CH59,"")</f>
        <v>0</v>
      </c>
      <c r="CI64" s="204" t="n">
        <f aca="false">IFERROR(CI60/CI59,"")</f>
        <v>0</v>
      </c>
      <c r="CJ64" s="204" t="n">
        <f aca="false">IFERROR(CJ60/CJ59,"")</f>
        <v>0</v>
      </c>
      <c r="CK64" s="204" t="n">
        <f aca="false">IFERROR(CK60/CK59,"")</f>
        <v>0</v>
      </c>
      <c r="CL64" s="204" t="n">
        <f aca="false">IFERROR(CL60/CL59,"")</f>
        <v>0</v>
      </c>
      <c r="CM64" s="204" t="n">
        <f aca="false">IFERROR(CM60/CM59,"")</f>
        <v>0</v>
      </c>
      <c r="CN64" s="204" t="n">
        <f aca="false">IFERROR(CN60/CN59,"")</f>
        <v>0</v>
      </c>
      <c r="CO64" s="204" t="n">
        <f aca="false">IFERROR(CO60/CO59,"")</f>
        <v>0</v>
      </c>
      <c r="CP64" s="204" t="n">
        <f aca="false">IFERROR(CP60/CP59,"")</f>
        <v>0</v>
      </c>
      <c r="CQ64" s="204" t="n">
        <f aca="false">IFERROR(CQ60/CQ59,"")</f>
        <v>0</v>
      </c>
      <c r="CR64" s="204" t="n">
        <f aca="false">IFERROR(CR60/CR59,"")</f>
        <v>0</v>
      </c>
      <c r="CS64" s="204" t="n">
        <f aca="false">IFERROR(CS60/CS59,"")</f>
        <v>0</v>
      </c>
      <c r="CT64" s="204" t="n">
        <f aca="false">IFERROR(CT60/CT59,"")</f>
        <v>0</v>
      </c>
      <c r="CU64" s="204" t="n">
        <f aca="false">IFERROR(CU60/CU59,"")</f>
        <v>0</v>
      </c>
      <c r="CV64" s="204" t="n">
        <f aca="false">IFERROR(CV60/CV59,"")</f>
        <v>0</v>
      </c>
      <c r="CW64" s="204" t="n">
        <f aca="false">IFERROR(CW60/CW59,"")</f>
        <v>0</v>
      </c>
      <c r="CX64" s="204" t="n">
        <f aca="false">IFERROR(CX60/CX59,"")</f>
        <v>0</v>
      </c>
      <c r="CY64" s="204" t="n">
        <f aca="false">IFERROR(CY60/CY59,"")</f>
        <v>0</v>
      </c>
      <c r="CZ64" s="204" t="n">
        <f aca="false">IFERROR(CZ60/CZ59,"")</f>
        <v>0</v>
      </c>
      <c r="DA64" s="204" t="n">
        <f aca="false">IFERROR(DA60/DA59,"")</f>
        <v>0</v>
      </c>
      <c r="DB64" s="204" t="n">
        <f aca="false">IFERROR(DB60/DB59,"")</f>
        <v>0</v>
      </c>
    </row>
    <row r="65" customFormat="false" ht="13.5" hidden="false" customHeight="true" outlineLevel="0" collapsed="false">
      <c r="A65" s="94" t="s">
        <v>600</v>
      </c>
      <c r="G65" s="205" t="n">
        <f aca="false">ROUND(G56-Model!E58,0)</f>
        <v>0</v>
      </c>
      <c r="H65" s="205" t="n">
        <f aca="false">ROUND(H56-Model!F58,0)</f>
        <v>0</v>
      </c>
      <c r="I65" s="205" t="n">
        <f aca="false">ROUND(I56-Model!G58,0)</f>
        <v>0</v>
      </c>
      <c r="J65" s="205" t="n">
        <f aca="false">ROUND(J56-Model!H58,0)</f>
        <v>0</v>
      </c>
      <c r="K65" s="205" t="n">
        <f aca="false">ROUND(K56-Model!I58,0)</f>
        <v>0</v>
      </c>
      <c r="L65" s="205" t="n">
        <f aca="false">ROUND(L56-Model!J58,0)</f>
        <v>0</v>
      </c>
      <c r="M65" s="205" t="n">
        <f aca="false">ROUND(M56-Model!K58,0)</f>
        <v>0</v>
      </c>
      <c r="N65" s="205" t="n">
        <f aca="false">ROUND(N56-Model!L58,0)</f>
        <v>0</v>
      </c>
      <c r="O65" s="205" t="n">
        <f aca="false">ROUND(O56-Model!M58,0)</f>
        <v>0</v>
      </c>
      <c r="P65" s="205" t="n">
        <f aca="false">ROUND(P56-Model!N58,0)</f>
        <v>0</v>
      </c>
      <c r="Q65" s="205" t="n">
        <f aca="false">ROUND(Q56-Model!O58,0)</f>
        <v>0</v>
      </c>
      <c r="R65" s="205" t="n">
        <f aca="false">ROUND(R56-Model!P58,0)</f>
        <v>0</v>
      </c>
      <c r="S65" s="205" t="n">
        <f aca="false">ROUND(S56-Model!Q58,0)</f>
        <v>0</v>
      </c>
      <c r="T65" s="205" t="n">
        <f aca="false">ROUND(T56-Model!R58,0)</f>
        <v>0</v>
      </c>
      <c r="U65" s="205" t="n">
        <f aca="false">ROUND(U56-Model!S58,0)</f>
        <v>0</v>
      </c>
      <c r="V65" s="205" t="n">
        <f aca="false">ROUND(V56-Model!T58,0)</f>
        <v>0</v>
      </c>
      <c r="W65" s="205" t="n">
        <f aca="false">ROUND(W56-Model!U58,0)</f>
        <v>0</v>
      </c>
      <c r="X65" s="205" t="n">
        <f aca="false">ROUND(X56-Model!V58,0)</f>
        <v>0</v>
      </c>
      <c r="Y65" s="205" t="n">
        <f aca="false">ROUND(Y56-Model!W58,0)</f>
        <v>0</v>
      </c>
      <c r="Z65" s="205" t="n">
        <f aca="false">ROUND(Z56-Model!X58,0)</f>
        <v>0</v>
      </c>
      <c r="AA65" s="205" t="n">
        <f aca="false">ROUND(AA56-Model!Y58,0)</f>
        <v>0</v>
      </c>
      <c r="AB65" s="205" t="n">
        <f aca="false">ROUND(AB56-Model!Z58,0)</f>
        <v>0</v>
      </c>
      <c r="AC65" s="205" t="n">
        <f aca="false">ROUND(AC56-Model!AA58,0)</f>
        <v>0</v>
      </c>
      <c r="AD65" s="205" t="n">
        <f aca="false">ROUND(AD56-Model!AB58,0)</f>
        <v>0</v>
      </c>
      <c r="AE65" s="205" t="n">
        <f aca="false">ROUND(AE56-Model!AC58,0)</f>
        <v>0</v>
      </c>
      <c r="AF65" s="205" t="n">
        <f aca="false">ROUND(AF56-Model!AD58,0)</f>
        <v>0</v>
      </c>
      <c r="AG65" s="205" t="n">
        <f aca="false">ROUND(AG56-Model!AE58,0)</f>
        <v>0</v>
      </c>
      <c r="AH65" s="205" t="n">
        <f aca="false">ROUND(AH56-Model!AF58,0)</f>
        <v>0</v>
      </c>
      <c r="AI65" s="205" t="n">
        <f aca="false">ROUND(AI56-Model!AG58,0)</f>
        <v>0</v>
      </c>
      <c r="AJ65" s="205" t="n">
        <f aca="false">ROUND(AJ56-Model!AH58,0)</f>
        <v>0</v>
      </c>
      <c r="AK65" s="205" t="n">
        <f aca="false">ROUND(AK56-Model!AI58,0)</f>
        <v>0</v>
      </c>
      <c r="AL65" s="205" t="n">
        <f aca="false">ROUND(AL56-Model!AJ58,0)</f>
        <v>0</v>
      </c>
      <c r="AM65" s="205" t="n">
        <f aca="false">ROUND(AM56-Model!AK58,0)</f>
        <v>0</v>
      </c>
      <c r="AN65" s="205" t="n">
        <f aca="false">ROUND(AN56-Model!AL58,0)</f>
        <v>0</v>
      </c>
      <c r="AO65" s="205" t="n">
        <f aca="false">ROUND(AO56-Model!AM58,0)</f>
        <v>0</v>
      </c>
      <c r="AP65" s="205" t="n">
        <f aca="false">ROUND(AP56-Model!AN58,0)</f>
        <v>0</v>
      </c>
      <c r="AQ65" s="205" t="n">
        <f aca="false">ROUND(AQ56-Model!AO58,0)</f>
        <v>0</v>
      </c>
      <c r="AR65" s="205" t="n">
        <f aca="false">ROUND(AR56-Model!AP58,0)</f>
        <v>0</v>
      </c>
      <c r="AS65" s="205" t="n">
        <f aca="false">ROUND(AS56-Model!AQ58,0)</f>
        <v>0</v>
      </c>
      <c r="AT65" s="205" t="n">
        <f aca="false">ROUND(AT56-Model!AR58,0)</f>
        <v>0</v>
      </c>
      <c r="AU65" s="205" t="n">
        <f aca="false">ROUND(AU56-Model!AS58,0)</f>
        <v>0</v>
      </c>
      <c r="AV65" s="205" t="n">
        <f aca="false">ROUND(AV56-Model!AT58,0)</f>
        <v>0</v>
      </c>
      <c r="AW65" s="205" t="n">
        <f aca="false">ROUND(AW56-Model!AU58,0)</f>
        <v>0</v>
      </c>
      <c r="AX65" s="205" t="n">
        <f aca="false">ROUND(AX56-Model!AV58,0)</f>
        <v>0</v>
      </c>
      <c r="AY65" s="205" t="n">
        <f aca="false">ROUND(AY56-Model!AW58,0)</f>
        <v>0</v>
      </c>
      <c r="AZ65" s="205" t="n">
        <f aca="false">ROUND(AZ56-Model!AX58,0)</f>
        <v>0</v>
      </c>
      <c r="BA65" s="205" t="n">
        <f aca="false">ROUND(BA56-Model!AY58,0)</f>
        <v>0</v>
      </c>
      <c r="BB65" s="205" t="n">
        <f aca="false">ROUND(BB56-Model!AZ58,0)</f>
        <v>0</v>
      </c>
      <c r="BC65" s="205" t="n">
        <f aca="false">ROUND(BC56-Model!BA58,0)</f>
        <v>0</v>
      </c>
      <c r="BD65" s="205" t="n">
        <f aca="false">ROUND(BD56-Model!BB58,0)</f>
        <v>0</v>
      </c>
      <c r="BE65" s="205" t="n">
        <f aca="false">ROUND(BE56-Model!BC58,0)</f>
        <v>0</v>
      </c>
      <c r="BF65" s="205" t="n">
        <f aca="false">ROUND(BF56-Model!BD58,0)</f>
        <v>0</v>
      </c>
      <c r="BG65" s="205" t="n">
        <f aca="false">ROUND(BG56-Model!BE58,0)</f>
        <v>0</v>
      </c>
      <c r="BH65" s="205" t="n">
        <f aca="false">ROUND(BH56-Model!BF58,0)</f>
        <v>0</v>
      </c>
      <c r="BI65" s="205" t="n">
        <f aca="false">ROUND(BI56-Model!BG58,0)</f>
        <v>0</v>
      </c>
      <c r="BJ65" s="205" t="n">
        <f aca="false">ROUND(BJ56-Model!BH58,0)</f>
        <v>0</v>
      </c>
      <c r="BK65" s="205" t="n">
        <f aca="false">ROUND(BK56-Model!BI58,0)</f>
        <v>0</v>
      </c>
      <c r="BL65" s="205" t="n">
        <f aca="false">ROUND(BL56-Model!BJ58,0)</f>
        <v>0</v>
      </c>
      <c r="BM65" s="205" t="n">
        <f aca="false">ROUND(BM56-Model!BK58,0)</f>
        <v>0</v>
      </c>
      <c r="BN65" s="205" t="n">
        <f aca="false">ROUND(BN56-Model!BL58,0)</f>
        <v>0</v>
      </c>
      <c r="BO65" s="205" t="n">
        <f aca="false">ROUND(BO56-Model!BM58,0)</f>
        <v>0</v>
      </c>
      <c r="BP65" s="205" t="n">
        <f aca="false">ROUND(BP56-Model!BN58,0)</f>
        <v>0</v>
      </c>
      <c r="BQ65" s="205" t="n">
        <f aca="false">ROUND(BQ56-Model!BO58,0)</f>
        <v>0</v>
      </c>
      <c r="BR65" s="205" t="n">
        <f aca="false">ROUND(BR56-Model!BP58,0)</f>
        <v>0</v>
      </c>
      <c r="BS65" s="205" t="n">
        <f aca="false">ROUND(BS56-Model!BQ58,0)</f>
        <v>0</v>
      </c>
      <c r="BT65" s="205" t="n">
        <f aca="false">ROUND(BT56-Model!BR58,0)</f>
        <v>0</v>
      </c>
      <c r="BU65" s="205" t="n">
        <f aca="false">ROUND(BU56-Model!BS58,0)</f>
        <v>0</v>
      </c>
      <c r="BV65" s="205" t="n">
        <f aca="false">ROUND(BV56-Model!BT58,0)</f>
        <v>0</v>
      </c>
      <c r="BW65" s="205" t="n">
        <f aca="false">ROUND(BW56-Model!BU58,0)</f>
        <v>0</v>
      </c>
      <c r="BX65" s="205" t="n">
        <f aca="false">ROUND(BX56-Model!BV58,0)</f>
        <v>0</v>
      </c>
      <c r="BY65" s="205" t="n">
        <f aca="false">ROUND(BY56-Model!BW58,0)</f>
        <v>0</v>
      </c>
      <c r="BZ65" s="205" t="n">
        <f aca="false">ROUND(BZ56-Model!BX58,0)</f>
        <v>0</v>
      </c>
      <c r="CA65" s="205" t="n">
        <f aca="false">ROUND(CA56-Model!BY58,0)</f>
        <v>0</v>
      </c>
      <c r="CB65" s="205" t="n">
        <f aca="false">ROUND(CB56-Model!BZ58,0)</f>
        <v>0</v>
      </c>
      <c r="CC65" s="205" t="n">
        <f aca="false">ROUND(CC56-Model!CA58,0)</f>
        <v>0</v>
      </c>
      <c r="CD65" s="205" t="n">
        <f aca="false">ROUND(CD56-Model!CB58,0)</f>
        <v>0</v>
      </c>
      <c r="CE65" s="205" t="n">
        <f aca="false">ROUND(CE56-Model!CC58,0)</f>
        <v>0</v>
      </c>
      <c r="CF65" s="205" t="n">
        <f aca="false">ROUND(CF56-Model!CD58,0)</f>
        <v>0</v>
      </c>
      <c r="CG65" s="205" t="n">
        <f aca="false">ROUND(CG56-Model!CE58,0)</f>
        <v>0</v>
      </c>
      <c r="CH65" s="205" t="n">
        <f aca="false">ROUND(CH56-Model!CF58,0)</f>
        <v>0</v>
      </c>
      <c r="CI65" s="205" t="n">
        <f aca="false">ROUND(CI56-Model!CG58,0)</f>
        <v>0</v>
      </c>
      <c r="CJ65" s="205" t="n">
        <f aca="false">ROUND(CJ56-Model!CH58,0)</f>
        <v>0</v>
      </c>
      <c r="CK65" s="205" t="n">
        <f aca="false">ROUND(CK56-Model!CI58,0)</f>
        <v>0</v>
      </c>
      <c r="CL65" s="205" t="n">
        <f aca="false">ROUND(CL56-Model!CJ58,0)</f>
        <v>0</v>
      </c>
      <c r="CM65" s="205" t="n">
        <f aca="false">ROUND(CM56-Model!CK58,0)</f>
        <v>0</v>
      </c>
      <c r="CN65" s="205" t="n">
        <f aca="false">ROUND(CN56-Model!CL58,0)</f>
        <v>0</v>
      </c>
      <c r="CO65" s="205" t="n">
        <f aca="false">ROUND(CO56-Model!CM58,0)</f>
        <v>0</v>
      </c>
      <c r="CP65" s="205" t="n">
        <f aca="false">ROUND(CP56-Model!CN58,0)</f>
        <v>0</v>
      </c>
      <c r="CQ65" s="205" t="n">
        <f aca="false">ROUND(CQ56-Model!CO58,0)</f>
        <v>0</v>
      </c>
      <c r="CR65" s="205" t="n">
        <f aca="false">ROUND(CR56-Model!CP58,0)</f>
        <v>0</v>
      </c>
      <c r="CS65" s="205" t="n">
        <f aca="false">ROUND(CS56-Model!CQ58,0)</f>
        <v>0</v>
      </c>
      <c r="CT65" s="205" t="n">
        <f aca="false">ROUND(CT56-Model!CR58,0)</f>
        <v>0</v>
      </c>
      <c r="CU65" s="205" t="n">
        <f aca="false">ROUND(CU56-Model!CS58,0)</f>
        <v>0</v>
      </c>
      <c r="CV65" s="205" t="n">
        <f aca="false">ROUND(CV56-Model!CT58,0)</f>
        <v>0</v>
      </c>
      <c r="CW65" s="205" t="n">
        <f aca="false">ROUND(CW56-Model!CU58,0)</f>
        <v>0</v>
      </c>
      <c r="CX65" s="205" t="n">
        <f aca="false">ROUND(CX56-Model!CV58,0)</f>
        <v>0</v>
      </c>
      <c r="CY65" s="205" t="n">
        <f aca="false">ROUND(CY56-Model!CW58,0)</f>
        <v>0</v>
      </c>
      <c r="CZ65" s="205" t="n">
        <f aca="false">ROUND(CZ56-Model!CX58,0)</f>
        <v>0</v>
      </c>
      <c r="DA65" s="205" t="n">
        <f aca="false">ROUND(DA56-Model!CY58,0)</f>
        <v>0</v>
      </c>
      <c r="DB65" s="205"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37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6" t="s">
        <v>601</v>
      </c>
    </row>
    <row r="2" customFormat="false" ht="13.5" hidden="false" customHeight="true" outlineLevel="0" collapsed="false">
      <c r="A2" s="207" t="s">
        <v>602</v>
      </c>
    </row>
    <row r="3" customFormat="false" ht="13.5" hidden="false" customHeight="true" outlineLevel="0" collapsed="false">
      <c r="C3" s="208" t="s">
        <v>603</v>
      </c>
      <c r="D3" s="208" t="s">
        <v>604</v>
      </c>
    </row>
    <row r="4" customFormat="false" ht="13.5" hidden="false" customHeight="true" outlineLevel="0" collapsed="false">
      <c r="A4" s="125" t="s">
        <v>605</v>
      </c>
      <c r="C4" s="120" t="n">
        <f aca="false">COUNTIFS($F$9:$F$100,"GC",$L$9:$L$100,"Current*")-COUNTIFS($A$9:$A$100,"*(Corporate)*",$F$9:$F$100,"GC")</f>
        <v>25</v>
      </c>
      <c r="D4" s="209" t="n">
        <f aca="false">SUMIFS($C$9:$C$100,$F$9:$F$100,"GC",$L$9:$L$100,"Current*")</f>
        <v>3440572</v>
      </c>
    </row>
    <row r="5" customFormat="false" ht="13.5" hidden="false" customHeight="true" outlineLevel="0" collapsed="false">
      <c r="A5" s="125" t="s">
        <v>606</v>
      </c>
      <c r="C5" s="120" t="n">
        <f aca="false">COUNTIFS($F$9:$F$100,"SixPeak",$L$9:$L$100,"Current*")</f>
        <v>7</v>
      </c>
      <c r="D5" s="209" t="n">
        <f aca="false">SUMIFS($C$9:$C$100,$F$9:$F$100,"SixPeak",$L$9:$L$100,"Current*")</f>
        <v>1787000</v>
      </c>
    </row>
    <row r="6" customFormat="false" ht="13.5" hidden="false" customHeight="true" outlineLevel="0" collapsed="false">
      <c r="A6" s="210" t="s">
        <v>607</v>
      </c>
    </row>
    <row r="8" customFormat="false" ht="27" hidden="false" customHeight="true" outlineLevel="0" collapsed="false">
      <c r="A8" s="176" t="s">
        <v>608</v>
      </c>
      <c r="B8" s="176" t="s">
        <v>609</v>
      </c>
      <c r="C8" s="176" t="s">
        <v>610</v>
      </c>
      <c r="D8" s="176" t="s">
        <v>611</v>
      </c>
      <c r="E8" s="176" t="s">
        <v>552</v>
      </c>
      <c r="F8" s="176" t="s">
        <v>561</v>
      </c>
      <c r="G8" s="176" t="s">
        <v>556</v>
      </c>
      <c r="H8" s="176" t="s">
        <v>612</v>
      </c>
      <c r="I8" s="176" t="s">
        <v>613</v>
      </c>
      <c r="J8" s="176" t="s">
        <v>614</v>
      </c>
      <c r="K8" s="176" t="s">
        <v>570</v>
      </c>
      <c r="L8" s="176" t="s">
        <v>615</v>
      </c>
      <c r="M8" s="176" t="s">
        <v>616</v>
      </c>
      <c r="N8" s="176" t="s">
        <v>617</v>
      </c>
      <c r="O8" s="176" t="s">
        <v>618</v>
      </c>
      <c r="P8" s="176" t="s">
        <v>619</v>
      </c>
      <c r="Q8" s="176" t="s">
        <v>620</v>
      </c>
    </row>
    <row r="9" customFormat="false" ht="13.5" hidden="false" customHeight="true" outlineLevel="0" collapsed="false">
      <c r="A9" s="211" t="s">
        <v>621</v>
      </c>
      <c r="B9" s="212"/>
      <c r="C9" s="212"/>
      <c r="D9" s="212"/>
      <c r="E9" s="212"/>
      <c r="F9" s="212"/>
      <c r="G9" s="212"/>
      <c r="H9" s="212"/>
      <c r="I9" s="212"/>
      <c r="J9" s="212"/>
      <c r="K9" s="212"/>
      <c r="L9" s="212"/>
      <c r="M9" s="212"/>
      <c r="N9" s="212"/>
      <c r="O9" s="212"/>
      <c r="P9" s="212"/>
    </row>
    <row r="10" customFormat="false" ht="13.5" hidden="false" customHeight="true" outlineLevel="0" collapsed="false">
      <c r="A10" s="110" t="s">
        <v>622</v>
      </c>
      <c r="B10" s="110" t="s">
        <v>623</v>
      </c>
      <c r="C10" s="213" t="n">
        <v>70000</v>
      </c>
      <c r="D10" s="213" t="n">
        <f aca="false">C10/12</f>
        <v>5833.33333333333</v>
      </c>
      <c r="E10" s="182" t="n">
        <v>1</v>
      </c>
      <c r="F10" s="110" t="s">
        <v>624</v>
      </c>
      <c r="G10" s="182" t="s">
        <v>572</v>
      </c>
      <c r="H10" s="214" t="n">
        <v>0</v>
      </c>
      <c r="I10" s="214" t="n">
        <v>0</v>
      </c>
      <c r="J10" s="110" t="s">
        <v>625</v>
      </c>
      <c r="K10" s="182"/>
      <c r="L10" s="110" t="s">
        <v>626</v>
      </c>
      <c r="M10" s="110"/>
      <c r="N10" s="110"/>
      <c r="O10" s="110" t="s">
        <v>624</v>
      </c>
      <c r="P10" s="110" t="s">
        <v>627</v>
      </c>
      <c r="Q10" s="1" t="s">
        <v>572</v>
      </c>
    </row>
    <row r="11" customFormat="false" ht="13.5" hidden="false" customHeight="true" outlineLevel="0" collapsed="false">
      <c r="A11" s="215" t="s">
        <v>628</v>
      </c>
      <c r="B11" s="215" t="s">
        <v>629</v>
      </c>
      <c r="C11" s="216" t="n">
        <v>80000</v>
      </c>
      <c r="D11" s="216" t="n">
        <f aca="false">C11/12</f>
        <v>6666.66666666667</v>
      </c>
      <c r="E11" s="217" t="n">
        <v>1</v>
      </c>
      <c r="F11" s="215" t="s">
        <v>624</v>
      </c>
      <c r="G11" s="217" t="s">
        <v>572</v>
      </c>
      <c r="H11" s="218" t="n">
        <v>0.5</v>
      </c>
      <c r="I11" s="218" t="n">
        <v>0</v>
      </c>
      <c r="J11" s="215" t="s">
        <v>625</v>
      </c>
      <c r="K11" s="217"/>
      <c r="L11" s="215" t="s">
        <v>626</v>
      </c>
      <c r="M11" s="215"/>
      <c r="N11" s="215"/>
      <c r="O11" s="215" t="s">
        <v>624</v>
      </c>
      <c r="P11" s="215" t="s">
        <v>627</v>
      </c>
      <c r="Q11" s="1" t="s">
        <v>572</v>
      </c>
    </row>
    <row r="12" customFormat="false" ht="13.5" hidden="false" customHeight="true" outlineLevel="0" collapsed="false">
      <c r="A12" s="110" t="s">
        <v>630</v>
      </c>
      <c r="B12" s="110" t="s">
        <v>631</v>
      </c>
      <c r="C12" s="213" t="n">
        <v>25000</v>
      </c>
      <c r="D12" s="213" t="n">
        <f aca="false">C12/12</f>
        <v>2083.33333333333</v>
      </c>
      <c r="E12" s="182" t="n">
        <v>1</v>
      </c>
      <c r="F12" s="110" t="s">
        <v>624</v>
      </c>
      <c r="G12" s="182" t="s">
        <v>572</v>
      </c>
      <c r="H12" s="214" t="n">
        <v>0.5</v>
      </c>
      <c r="I12" s="214" t="n">
        <v>0</v>
      </c>
      <c r="J12" s="110" t="s">
        <v>625</v>
      </c>
      <c r="K12" s="182" t="n">
        <v>9</v>
      </c>
      <c r="L12" s="110" t="s">
        <v>632</v>
      </c>
      <c r="M12" s="110"/>
      <c r="N12" s="110" t="s">
        <v>633</v>
      </c>
      <c r="O12" s="110" t="s">
        <v>624</v>
      </c>
      <c r="P12" s="110" t="s">
        <v>627</v>
      </c>
      <c r="Q12" s="1" t="s">
        <v>572</v>
      </c>
    </row>
    <row r="13" customFormat="false" ht="13.5" hidden="false" customHeight="true" outlineLevel="0" collapsed="false">
      <c r="A13" s="215" t="s">
        <v>634</v>
      </c>
      <c r="B13" s="215" t="s">
        <v>631</v>
      </c>
      <c r="C13" s="216" t="n">
        <v>10000</v>
      </c>
      <c r="D13" s="216" t="n">
        <f aca="false">C13/12</f>
        <v>833.333333333333</v>
      </c>
      <c r="E13" s="217" t="n">
        <v>1</v>
      </c>
      <c r="F13" s="215" t="s">
        <v>624</v>
      </c>
      <c r="G13" s="217" t="s">
        <v>572</v>
      </c>
      <c r="H13" s="218" t="n">
        <v>0</v>
      </c>
      <c r="I13" s="218" t="n">
        <v>0</v>
      </c>
      <c r="J13" s="215" t="s">
        <v>625</v>
      </c>
      <c r="K13" s="217"/>
      <c r="L13" s="215" t="s">
        <v>626</v>
      </c>
      <c r="M13" s="215"/>
      <c r="N13" s="215"/>
      <c r="O13" s="215" t="s">
        <v>624</v>
      </c>
      <c r="P13" s="215" t="s">
        <v>627</v>
      </c>
      <c r="Q13" s="1" t="s">
        <v>572</v>
      </c>
    </row>
    <row r="14" customFormat="false" ht="13.5" hidden="false" customHeight="true" outlineLevel="0" collapsed="false">
      <c r="A14" s="110" t="s">
        <v>635</v>
      </c>
      <c r="B14" s="110" t="s">
        <v>636</v>
      </c>
      <c r="C14" s="213" t="n">
        <v>20000</v>
      </c>
      <c r="D14" s="213" t="n">
        <f aca="false">C14/12</f>
        <v>1666.66666666667</v>
      </c>
      <c r="E14" s="182" t="n">
        <v>1</v>
      </c>
      <c r="F14" s="110" t="s">
        <v>624</v>
      </c>
      <c r="G14" s="182" t="s">
        <v>572</v>
      </c>
      <c r="H14" s="214" t="n">
        <v>0</v>
      </c>
      <c r="I14" s="214" t="n">
        <v>0</v>
      </c>
      <c r="J14" s="110" t="s">
        <v>625</v>
      </c>
      <c r="K14" s="182"/>
      <c r="L14" s="110" t="s">
        <v>626</v>
      </c>
      <c r="M14" s="110"/>
      <c r="N14" s="110"/>
      <c r="O14" s="110" t="s">
        <v>624</v>
      </c>
      <c r="P14" s="110" t="s">
        <v>627</v>
      </c>
      <c r="Q14" s="1" t="s">
        <v>572</v>
      </c>
    </row>
    <row r="16" customFormat="false" ht="13.5" hidden="false" customHeight="true" outlineLevel="0" collapsed="false">
      <c r="A16" s="211" t="s">
        <v>637</v>
      </c>
      <c r="B16" s="212"/>
      <c r="C16" s="212"/>
      <c r="D16" s="212"/>
      <c r="E16" s="212"/>
      <c r="F16" s="212"/>
      <c r="G16" s="212"/>
      <c r="H16" s="212"/>
      <c r="I16" s="212"/>
      <c r="J16" s="212"/>
      <c r="K16" s="212"/>
      <c r="L16" s="212"/>
      <c r="M16" s="212"/>
      <c r="N16" s="212"/>
      <c r="O16" s="212"/>
      <c r="P16" s="212"/>
    </row>
    <row r="17" customFormat="false" ht="13.5" hidden="false" customHeight="true" outlineLevel="0" collapsed="false">
      <c r="A17" s="110" t="s">
        <v>638</v>
      </c>
      <c r="B17" s="110" t="s">
        <v>629</v>
      </c>
      <c r="C17" s="213" t="n">
        <v>320000</v>
      </c>
      <c r="D17" s="213" t="n">
        <f aca="false">C17/12</f>
        <v>26666.6666666667</v>
      </c>
      <c r="E17" s="182" t="n">
        <v>1</v>
      </c>
      <c r="F17" s="110" t="s">
        <v>624</v>
      </c>
      <c r="G17" s="182" t="s">
        <v>572</v>
      </c>
      <c r="H17" s="214" t="n">
        <v>0.5</v>
      </c>
      <c r="I17" s="214" t="n">
        <v>0</v>
      </c>
      <c r="J17" s="110" t="s">
        <v>639</v>
      </c>
      <c r="K17" s="182"/>
      <c r="L17" s="110" t="s">
        <v>626</v>
      </c>
      <c r="M17" s="110"/>
      <c r="N17" s="110"/>
      <c r="O17" s="110" t="s">
        <v>624</v>
      </c>
      <c r="P17" s="110" t="s">
        <v>627</v>
      </c>
      <c r="Q17" s="1" t="s">
        <v>572</v>
      </c>
    </row>
    <row r="18" customFormat="false" ht="13.5" hidden="false" customHeight="true" outlineLevel="0" collapsed="false">
      <c r="A18" s="215" t="s">
        <v>640</v>
      </c>
      <c r="B18" s="215" t="s">
        <v>631</v>
      </c>
      <c r="C18" s="216" t="n">
        <v>225000</v>
      </c>
      <c r="D18" s="216" t="n">
        <f aca="false">C18/12</f>
        <v>18750</v>
      </c>
      <c r="E18" s="217" t="n">
        <v>1</v>
      </c>
      <c r="F18" s="215" t="s">
        <v>624</v>
      </c>
      <c r="G18" s="217" t="s">
        <v>572</v>
      </c>
      <c r="H18" s="218" t="n">
        <v>0.5</v>
      </c>
      <c r="I18" s="218" t="n">
        <v>0</v>
      </c>
      <c r="J18" s="215" t="s">
        <v>639</v>
      </c>
      <c r="K18" s="217" t="n">
        <v>9</v>
      </c>
      <c r="L18" s="215" t="s">
        <v>632</v>
      </c>
      <c r="M18" s="215"/>
      <c r="N18" s="215" t="s">
        <v>633</v>
      </c>
      <c r="O18" s="215" t="s">
        <v>624</v>
      </c>
      <c r="P18" s="215" t="s">
        <v>627</v>
      </c>
      <c r="Q18" s="1" t="s">
        <v>572</v>
      </c>
    </row>
    <row r="19" customFormat="false" ht="13.5" hidden="false" customHeight="true" outlineLevel="0" collapsed="false">
      <c r="A19" s="110" t="s">
        <v>641</v>
      </c>
      <c r="B19" s="110" t="s">
        <v>631</v>
      </c>
      <c r="C19" s="213" t="n">
        <v>180000</v>
      </c>
      <c r="D19" s="213" t="n">
        <f aca="false">C19/12</f>
        <v>15000</v>
      </c>
      <c r="E19" s="182" t="n">
        <v>1</v>
      </c>
      <c r="F19" s="110" t="s">
        <v>624</v>
      </c>
      <c r="G19" s="182" t="s">
        <v>572</v>
      </c>
      <c r="H19" s="214" t="n">
        <v>0</v>
      </c>
      <c r="I19" s="214" t="n">
        <v>0</v>
      </c>
      <c r="J19" s="110" t="s">
        <v>639</v>
      </c>
      <c r="K19" s="182"/>
      <c r="L19" s="110" t="s">
        <v>626</v>
      </c>
      <c r="M19" s="110"/>
      <c r="N19" s="110"/>
      <c r="O19" s="110" t="s">
        <v>624</v>
      </c>
      <c r="P19" s="110" t="s">
        <v>642</v>
      </c>
      <c r="Q19" s="1" t="s">
        <v>572</v>
      </c>
    </row>
    <row r="20" customFormat="false" ht="13.5" hidden="false" customHeight="true" outlineLevel="0" collapsed="false">
      <c r="A20" s="215" t="s">
        <v>643</v>
      </c>
      <c r="B20" s="215" t="s">
        <v>636</v>
      </c>
      <c r="C20" s="216" t="n">
        <v>180000</v>
      </c>
      <c r="D20" s="216" t="n">
        <f aca="false">C20/12</f>
        <v>15000</v>
      </c>
      <c r="E20" s="217" t="n">
        <v>1</v>
      </c>
      <c r="F20" s="215" t="s">
        <v>624</v>
      </c>
      <c r="G20" s="217" t="s">
        <v>572</v>
      </c>
      <c r="H20" s="218" t="n">
        <v>0</v>
      </c>
      <c r="I20" s="218" t="n">
        <v>0</v>
      </c>
      <c r="J20" s="215" t="s">
        <v>639</v>
      </c>
      <c r="K20" s="217"/>
      <c r="L20" s="215" t="s">
        <v>626</v>
      </c>
      <c r="M20" s="215"/>
      <c r="N20" s="215"/>
      <c r="O20" s="215" t="s">
        <v>624</v>
      </c>
      <c r="P20" s="215" t="s">
        <v>642</v>
      </c>
      <c r="Q20" s="1" t="s">
        <v>572</v>
      </c>
    </row>
    <row r="21" customFormat="false" ht="13.5" hidden="false" customHeight="true" outlineLevel="0" collapsed="false">
      <c r="A21" s="110" t="s">
        <v>644</v>
      </c>
      <c r="B21" s="110" t="s">
        <v>645</v>
      </c>
      <c r="C21" s="213" t="n">
        <v>105000</v>
      </c>
      <c r="D21" s="213" t="n">
        <f aca="false">C21/12</f>
        <v>8750</v>
      </c>
      <c r="E21" s="182" t="n">
        <v>3</v>
      </c>
      <c r="F21" s="110" t="s">
        <v>624</v>
      </c>
      <c r="G21" s="182" t="s">
        <v>572</v>
      </c>
      <c r="H21" s="214" t="n">
        <v>0</v>
      </c>
      <c r="I21" s="214" t="n">
        <v>0</v>
      </c>
      <c r="J21" s="110" t="s">
        <v>639</v>
      </c>
      <c r="K21" s="182"/>
      <c r="L21" s="110" t="s">
        <v>626</v>
      </c>
      <c r="M21" s="110"/>
      <c r="N21" s="110"/>
      <c r="O21" s="110" t="s">
        <v>624</v>
      </c>
      <c r="P21" s="110" t="s">
        <v>646</v>
      </c>
      <c r="Q21" s="1" t="s">
        <v>572</v>
      </c>
    </row>
    <row r="22" customFormat="false" ht="13.5" hidden="false" customHeight="true" outlineLevel="0" collapsed="false">
      <c r="A22" s="215" t="s">
        <v>647</v>
      </c>
      <c r="B22" s="215" t="s">
        <v>648</v>
      </c>
      <c r="C22" s="216" t="n">
        <v>155000</v>
      </c>
      <c r="D22" s="216" t="n">
        <f aca="false">C22/12</f>
        <v>12916.6666666667</v>
      </c>
      <c r="E22" s="217" t="n">
        <v>1</v>
      </c>
      <c r="F22" s="215" t="s">
        <v>624</v>
      </c>
      <c r="G22" s="217" t="s">
        <v>572</v>
      </c>
      <c r="H22" s="218" t="n">
        <v>0</v>
      </c>
      <c r="I22" s="218" t="n">
        <v>0</v>
      </c>
      <c r="J22" s="215" t="s">
        <v>639</v>
      </c>
      <c r="K22" s="217"/>
      <c r="L22" s="215" t="s">
        <v>626</v>
      </c>
      <c r="M22" s="215"/>
      <c r="N22" s="215"/>
      <c r="O22" s="215" t="s">
        <v>624</v>
      </c>
      <c r="P22" s="215" t="s">
        <v>642</v>
      </c>
      <c r="Q22" s="1" t="s">
        <v>572</v>
      </c>
    </row>
    <row r="23" customFormat="false" ht="13.5" hidden="false" customHeight="true" outlineLevel="0" collapsed="false">
      <c r="A23" s="110" t="s">
        <v>649</v>
      </c>
      <c r="B23" s="110" t="s">
        <v>650</v>
      </c>
      <c r="C23" s="213" t="n">
        <v>185000</v>
      </c>
      <c r="D23" s="213" t="n">
        <f aca="false">C23/12</f>
        <v>15416.6666666667</v>
      </c>
      <c r="E23" s="182" t="n">
        <v>1</v>
      </c>
      <c r="F23" s="110" t="s">
        <v>624</v>
      </c>
      <c r="G23" s="182" t="s">
        <v>572</v>
      </c>
      <c r="H23" s="214" t="n">
        <v>0</v>
      </c>
      <c r="I23" s="214" t="n">
        <v>0</v>
      </c>
      <c r="J23" s="110" t="s">
        <v>639</v>
      </c>
      <c r="K23" s="182"/>
      <c r="L23" s="110" t="s">
        <v>626</v>
      </c>
      <c r="M23" s="110"/>
      <c r="N23" s="110"/>
      <c r="O23" s="110" t="s">
        <v>624</v>
      </c>
      <c r="P23" s="110" t="s">
        <v>651</v>
      </c>
      <c r="Q23" s="1" t="s">
        <v>572</v>
      </c>
    </row>
    <row r="24" customFormat="false" ht="13.5" hidden="false" customHeight="true" outlineLevel="0" collapsed="false">
      <c r="A24" s="215" t="s">
        <v>652</v>
      </c>
      <c r="B24" s="215" t="s">
        <v>653</v>
      </c>
      <c r="C24" s="216" t="n">
        <v>90000</v>
      </c>
      <c r="D24" s="216" t="n">
        <f aca="false">C24/12</f>
        <v>7500</v>
      </c>
      <c r="E24" s="217" t="n">
        <v>3</v>
      </c>
      <c r="F24" s="215" t="s">
        <v>624</v>
      </c>
      <c r="G24" s="217" t="s">
        <v>572</v>
      </c>
      <c r="H24" s="218" t="n">
        <v>0</v>
      </c>
      <c r="I24" s="218" t="n">
        <v>0</v>
      </c>
      <c r="J24" s="215" t="s">
        <v>639</v>
      </c>
      <c r="K24" s="217"/>
      <c r="L24" s="215" t="s">
        <v>626</v>
      </c>
      <c r="M24" s="215"/>
      <c r="N24" s="215"/>
      <c r="O24" s="215" t="s">
        <v>624</v>
      </c>
      <c r="P24" s="215" t="s">
        <v>654</v>
      </c>
      <c r="Q24" s="1" t="s">
        <v>572</v>
      </c>
    </row>
    <row r="25" customFormat="false" ht="13.5" hidden="false" customHeight="true" outlineLevel="0" collapsed="false">
      <c r="A25" s="110" t="s">
        <v>655</v>
      </c>
      <c r="B25" s="110" t="s">
        <v>653</v>
      </c>
      <c r="C25" s="213" t="n">
        <v>97500</v>
      </c>
      <c r="D25" s="213" t="n">
        <f aca="false">C25/12</f>
        <v>8125</v>
      </c>
      <c r="E25" s="182" t="n">
        <v>1</v>
      </c>
      <c r="F25" s="110" t="s">
        <v>624</v>
      </c>
      <c r="G25" s="182" t="s">
        <v>572</v>
      </c>
      <c r="H25" s="214" t="n">
        <v>0</v>
      </c>
      <c r="I25" s="214" t="n">
        <v>0</v>
      </c>
      <c r="J25" s="110" t="s">
        <v>639</v>
      </c>
      <c r="K25" s="182"/>
      <c r="L25" s="110" t="s">
        <v>626</v>
      </c>
      <c r="M25" s="110"/>
      <c r="N25" s="110"/>
      <c r="O25" s="110" t="s">
        <v>624</v>
      </c>
      <c r="P25" s="110" t="s">
        <v>654</v>
      </c>
      <c r="Q25" s="1" t="s">
        <v>572</v>
      </c>
    </row>
    <row r="26" customFormat="false" ht="13.5" hidden="false" customHeight="true" outlineLevel="0" collapsed="false">
      <c r="A26" s="215" t="s">
        <v>656</v>
      </c>
      <c r="B26" s="215" t="s">
        <v>650</v>
      </c>
      <c r="C26" s="216" t="n">
        <v>150000</v>
      </c>
      <c r="D26" s="216" t="n">
        <f aca="false">C26/12</f>
        <v>12500</v>
      </c>
      <c r="E26" s="217" t="n">
        <v>1</v>
      </c>
      <c r="F26" s="215" t="s">
        <v>624</v>
      </c>
      <c r="G26" s="217" t="s">
        <v>572</v>
      </c>
      <c r="H26" s="218" t="n">
        <v>0</v>
      </c>
      <c r="I26" s="218" t="n">
        <v>0</v>
      </c>
      <c r="J26" s="215" t="s">
        <v>639</v>
      </c>
      <c r="K26" s="217"/>
      <c r="L26" s="215" t="s">
        <v>626</v>
      </c>
      <c r="M26" s="215"/>
      <c r="N26" s="215"/>
      <c r="O26" s="215" t="s">
        <v>624</v>
      </c>
      <c r="P26" s="215" t="s">
        <v>651</v>
      </c>
      <c r="Q26" s="1" t="s">
        <v>572</v>
      </c>
    </row>
    <row r="27" customFormat="false" ht="13.5" hidden="false" customHeight="true" outlineLevel="0" collapsed="false">
      <c r="A27" s="110" t="s">
        <v>657</v>
      </c>
      <c r="B27" s="110" t="s">
        <v>650</v>
      </c>
      <c r="C27" s="213" t="n">
        <v>150000</v>
      </c>
      <c r="D27" s="213" t="n">
        <f aca="false">C27/12</f>
        <v>12500</v>
      </c>
      <c r="E27" s="182" t="n">
        <v>1</v>
      </c>
      <c r="F27" s="110" t="s">
        <v>624</v>
      </c>
      <c r="G27" s="182" t="s">
        <v>572</v>
      </c>
      <c r="H27" s="214" t="n">
        <v>0</v>
      </c>
      <c r="I27" s="214" t="n">
        <v>0</v>
      </c>
      <c r="J27" s="110" t="s">
        <v>639</v>
      </c>
      <c r="K27" s="182"/>
      <c r="L27" s="110" t="s">
        <v>626</v>
      </c>
      <c r="M27" s="110"/>
      <c r="N27" s="110"/>
      <c r="O27" s="110" t="s">
        <v>624</v>
      </c>
      <c r="P27" s="110" t="s">
        <v>651</v>
      </c>
      <c r="Q27" s="1" t="s">
        <v>572</v>
      </c>
    </row>
    <row r="28" customFormat="false" ht="13.5" hidden="false" customHeight="true" outlineLevel="0" collapsed="false">
      <c r="A28" s="215" t="s">
        <v>658</v>
      </c>
      <c r="B28" s="215" t="s">
        <v>650</v>
      </c>
      <c r="C28" s="216" t="n">
        <v>170000</v>
      </c>
      <c r="D28" s="216" t="n">
        <f aca="false">C28/12</f>
        <v>14166.6666666667</v>
      </c>
      <c r="E28" s="217" t="n">
        <v>2</v>
      </c>
      <c r="F28" s="215" t="s">
        <v>624</v>
      </c>
      <c r="G28" s="217" t="s">
        <v>572</v>
      </c>
      <c r="H28" s="218" t="n">
        <v>0</v>
      </c>
      <c r="I28" s="218" t="n">
        <v>0</v>
      </c>
      <c r="J28" s="215" t="s">
        <v>639</v>
      </c>
      <c r="K28" s="217"/>
      <c r="L28" s="215" t="s">
        <v>626</v>
      </c>
      <c r="M28" s="215"/>
      <c r="N28" s="215"/>
      <c r="O28" s="215" t="s">
        <v>624</v>
      </c>
      <c r="P28" s="215" t="s">
        <v>651</v>
      </c>
      <c r="Q28" s="1" t="s">
        <v>572</v>
      </c>
    </row>
    <row r="29" customFormat="false" ht="13.5" hidden="false" customHeight="true" outlineLevel="0" collapsed="false">
      <c r="A29" s="110" t="s">
        <v>659</v>
      </c>
      <c r="B29" s="110" t="s">
        <v>650</v>
      </c>
      <c r="C29" s="213" t="n">
        <v>170000</v>
      </c>
      <c r="D29" s="213" t="n">
        <f aca="false">C29/12</f>
        <v>14166.6666666667</v>
      </c>
      <c r="E29" s="182" t="n">
        <v>4</v>
      </c>
      <c r="F29" s="110" t="s">
        <v>624</v>
      </c>
      <c r="G29" s="182" t="s">
        <v>572</v>
      </c>
      <c r="H29" s="214" t="n">
        <v>0</v>
      </c>
      <c r="I29" s="214" t="n">
        <v>0</v>
      </c>
      <c r="J29" s="110" t="s">
        <v>639</v>
      </c>
      <c r="K29" s="182"/>
      <c r="L29" s="110" t="s">
        <v>626</v>
      </c>
      <c r="M29" s="110"/>
      <c r="N29" s="110"/>
      <c r="O29" s="110" t="s">
        <v>624</v>
      </c>
      <c r="P29" s="110" t="s">
        <v>651</v>
      </c>
      <c r="Q29" s="1" t="s">
        <v>572</v>
      </c>
    </row>
    <row r="30" customFormat="false" ht="13.5" hidden="false" customHeight="true" outlineLevel="0" collapsed="false">
      <c r="A30" s="215" t="s">
        <v>660</v>
      </c>
      <c r="B30" s="215" t="s">
        <v>650</v>
      </c>
      <c r="C30" s="216" t="n">
        <v>130000</v>
      </c>
      <c r="D30" s="216" t="n">
        <f aca="false">C30/12</f>
        <v>10833.3333333333</v>
      </c>
      <c r="E30" s="217" t="n">
        <v>5</v>
      </c>
      <c r="F30" s="215" t="s">
        <v>624</v>
      </c>
      <c r="G30" s="217" t="s">
        <v>572</v>
      </c>
      <c r="H30" s="218" t="n">
        <v>0</v>
      </c>
      <c r="I30" s="218" t="n">
        <v>0</v>
      </c>
      <c r="J30" s="215" t="s">
        <v>639</v>
      </c>
      <c r="K30" s="217"/>
      <c r="L30" s="215" t="s">
        <v>626</v>
      </c>
      <c r="M30" s="215"/>
      <c r="N30" s="215"/>
      <c r="O30" s="215" t="s">
        <v>624</v>
      </c>
      <c r="P30" s="215" t="s">
        <v>651</v>
      </c>
      <c r="Q30" s="1" t="s">
        <v>572</v>
      </c>
    </row>
    <row r="31" customFormat="false" ht="13.5" hidden="false" customHeight="true" outlineLevel="0" collapsed="false">
      <c r="A31" s="110" t="s">
        <v>661</v>
      </c>
      <c r="B31" s="110" t="s">
        <v>650</v>
      </c>
      <c r="C31" s="213" t="n">
        <v>160000</v>
      </c>
      <c r="D31" s="213" t="n">
        <f aca="false">C31/12</f>
        <v>13333.3333333333</v>
      </c>
      <c r="E31" s="182" t="n">
        <v>6</v>
      </c>
      <c r="F31" s="110" t="s">
        <v>624</v>
      </c>
      <c r="G31" s="182" t="s">
        <v>572</v>
      </c>
      <c r="H31" s="214" t="n">
        <v>0</v>
      </c>
      <c r="I31" s="214" t="n">
        <v>0</v>
      </c>
      <c r="J31" s="110" t="s">
        <v>639</v>
      </c>
      <c r="K31" s="182"/>
      <c r="L31" s="110" t="s">
        <v>626</v>
      </c>
      <c r="M31" s="110" t="s">
        <v>15</v>
      </c>
      <c r="N31" s="110" t="s">
        <v>662</v>
      </c>
      <c r="O31" s="110" t="s">
        <v>624</v>
      </c>
      <c r="P31" s="110" t="s">
        <v>651</v>
      </c>
      <c r="Q31" s="1" t="s">
        <v>571</v>
      </c>
    </row>
    <row r="32" customFormat="false" ht="13.5" hidden="false" customHeight="true" outlineLevel="0" collapsed="false">
      <c r="A32" s="215" t="s">
        <v>663</v>
      </c>
      <c r="B32" s="215" t="s">
        <v>664</v>
      </c>
      <c r="C32" s="216" t="n">
        <v>75000</v>
      </c>
      <c r="D32" s="216" t="n">
        <f aca="false">C32/12</f>
        <v>6250</v>
      </c>
      <c r="E32" s="217" t="n">
        <v>1</v>
      </c>
      <c r="F32" s="215" t="s">
        <v>624</v>
      </c>
      <c r="G32" s="217" t="s">
        <v>572</v>
      </c>
      <c r="H32" s="218" t="n">
        <v>0</v>
      </c>
      <c r="I32" s="218" t="n">
        <v>0</v>
      </c>
      <c r="J32" s="215" t="s">
        <v>639</v>
      </c>
      <c r="K32" s="217"/>
      <c r="L32" s="215" t="s">
        <v>626</v>
      </c>
      <c r="M32" s="215"/>
      <c r="N32" s="215"/>
      <c r="O32" s="215" t="s">
        <v>624</v>
      </c>
      <c r="P32" s="215" t="s">
        <v>646</v>
      </c>
      <c r="Q32" s="1" t="s">
        <v>572</v>
      </c>
    </row>
    <row r="33" customFormat="false" ht="13.5" hidden="false" customHeight="true" outlineLevel="0" collapsed="false">
      <c r="A33" s="110" t="s">
        <v>665</v>
      </c>
      <c r="B33" s="110" t="s">
        <v>645</v>
      </c>
      <c r="C33" s="213" t="n">
        <v>105000</v>
      </c>
      <c r="D33" s="213" t="n">
        <f aca="false">C33/12</f>
        <v>8750</v>
      </c>
      <c r="E33" s="182" t="n">
        <v>3</v>
      </c>
      <c r="F33" s="110" t="s">
        <v>624</v>
      </c>
      <c r="G33" s="182" t="s">
        <v>572</v>
      </c>
      <c r="H33" s="214" t="n">
        <v>0</v>
      </c>
      <c r="I33" s="214" t="n">
        <v>0</v>
      </c>
      <c r="J33" s="110" t="s">
        <v>639</v>
      </c>
      <c r="K33" s="182"/>
      <c r="L33" s="110" t="s">
        <v>626</v>
      </c>
      <c r="M33" s="110"/>
      <c r="N33" s="110"/>
      <c r="O33" s="110" t="s">
        <v>624</v>
      </c>
      <c r="P33" s="110" t="s">
        <v>646</v>
      </c>
      <c r="Q33" s="1" t="s">
        <v>572</v>
      </c>
    </row>
    <row r="34" customFormat="false" ht="13.5" hidden="false" customHeight="true" outlineLevel="0" collapsed="false">
      <c r="A34" s="215" t="s">
        <v>666</v>
      </c>
      <c r="B34" s="215" t="s">
        <v>667</v>
      </c>
      <c r="C34" s="216" t="n">
        <v>62400</v>
      </c>
      <c r="D34" s="216" t="n">
        <f aca="false">C34/12</f>
        <v>5200</v>
      </c>
      <c r="E34" s="217" t="n">
        <v>1</v>
      </c>
      <c r="F34" s="215" t="s">
        <v>624</v>
      </c>
      <c r="G34" s="217" t="s">
        <v>572</v>
      </c>
      <c r="H34" s="218" t="n">
        <v>0</v>
      </c>
      <c r="I34" s="218" t="n">
        <v>0</v>
      </c>
      <c r="J34" s="215" t="s">
        <v>639</v>
      </c>
      <c r="K34" s="217"/>
      <c r="L34" s="215" t="s">
        <v>626</v>
      </c>
      <c r="M34" s="215"/>
      <c r="N34" s="215"/>
      <c r="O34" s="215" t="s">
        <v>624</v>
      </c>
      <c r="P34" s="215" t="s">
        <v>668</v>
      </c>
      <c r="Q34" s="1" t="s">
        <v>572</v>
      </c>
    </row>
    <row r="35" customFormat="false" ht="13.5" hidden="false" customHeight="true" outlineLevel="0" collapsed="false">
      <c r="A35" s="110" t="s">
        <v>669</v>
      </c>
      <c r="B35" s="110" t="s">
        <v>670</v>
      </c>
      <c r="C35" s="213" t="n">
        <v>115000</v>
      </c>
      <c r="D35" s="213" t="n">
        <f aca="false">C35/12</f>
        <v>9583.33333333333</v>
      </c>
      <c r="E35" s="182" t="n">
        <v>1</v>
      </c>
      <c r="F35" s="110" t="s">
        <v>624</v>
      </c>
      <c r="G35" s="182" t="s">
        <v>572</v>
      </c>
      <c r="H35" s="214" t="n">
        <v>0</v>
      </c>
      <c r="I35" s="214" t="n">
        <v>0</v>
      </c>
      <c r="J35" s="110" t="s">
        <v>639</v>
      </c>
      <c r="K35" s="182"/>
      <c r="L35" s="110" t="s">
        <v>626</v>
      </c>
      <c r="M35" s="110"/>
      <c r="N35" s="110"/>
      <c r="O35" s="110" t="s">
        <v>624</v>
      </c>
      <c r="P35" s="110" t="s">
        <v>671</v>
      </c>
      <c r="Q35" s="1" t="s">
        <v>572</v>
      </c>
    </row>
    <row r="36" customFormat="false" ht="13.5" hidden="false" customHeight="true" outlineLevel="0" collapsed="false">
      <c r="A36" s="215" t="s">
        <v>672</v>
      </c>
      <c r="B36" s="215" t="s">
        <v>673</v>
      </c>
      <c r="C36" s="216" t="n">
        <v>69992</v>
      </c>
      <c r="D36" s="216" t="n">
        <f aca="false">C36/12</f>
        <v>5832.66666666667</v>
      </c>
      <c r="E36" s="217" t="n">
        <v>1</v>
      </c>
      <c r="F36" s="215" t="s">
        <v>624</v>
      </c>
      <c r="G36" s="217" t="s">
        <v>572</v>
      </c>
      <c r="H36" s="218" t="n">
        <v>0</v>
      </c>
      <c r="I36" s="218" t="n">
        <v>0</v>
      </c>
      <c r="J36" s="215" t="s">
        <v>639</v>
      </c>
      <c r="K36" s="217"/>
      <c r="L36" s="215" t="s">
        <v>626</v>
      </c>
      <c r="M36" s="215"/>
      <c r="N36" s="215"/>
      <c r="O36" s="215" t="s">
        <v>624</v>
      </c>
      <c r="P36" s="215" t="s">
        <v>674</v>
      </c>
      <c r="Q36" s="1" t="s">
        <v>572</v>
      </c>
    </row>
    <row r="37" customFormat="false" ht="13.5" hidden="false" customHeight="true" outlineLevel="0" collapsed="false">
      <c r="A37" s="110" t="s">
        <v>675</v>
      </c>
      <c r="B37" s="110" t="s">
        <v>673</v>
      </c>
      <c r="C37" s="213" t="n">
        <v>52000</v>
      </c>
      <c r="D37" s="213" t="n">
        <f aca="false">C37/12</f>
        <v>4333.33333333333</v>
      </c>
      <c r="E37" s="182" t="n">
        <v>1</v>
      </c>
      <c r="F37" s="110" t="s">
        <v>624</v>
      </c>
      <c r="G37" s="182" t="s">
        <v>572</v>
      </c>
      <c r="H37" s="214" t="n">
        <v>0</v>
      </c>
      <c r="I37" s="214" t="n">
        <v>0</v>
      </c>
      <c r="J37" s="110" t="s">
        <v>639</v>
      </c>
      <c r="K37" s="182"/>
      <c r="L37" s="110" t="s">
        <v>626</v>
      </c>
      <c r="M37" s="110"/>
      <c r="N37" s="110"/>
      <c r="O37" s="110" t="s">
        <v>624</v>
      </c>
      <c r="P37" s="110" t="s">
        <v>674</v>
      </c>
      <c r="Q37" s="1" t="s">
        <v>572</v>
      </c>
    </row>
    <row r="38" customFormat="false" ht="13.5" hidden="false" customHeight="true" outlineLevel="0" collapsed="false">
      <c r="A38" s="215" t="s">
        <v>676</v>
      </c>
      <c r="B38" s="215" t="s">
        <v>677</v>
      </c>
      <c r="C38" s="216" t="n">
        <v>43680</v>
      </c>
      <c r="D38" s="216" t="n">
        <f aca="false">C38/12</f>
        <v>3640</v>
      </c>
      <c r="E38" s="217" t="n">
        <v>1</v>
      </c>
      <c r="F38" s="215" t="s">
        <v>624</v>
      </c>
      <c r="G38" s="217" t="s">
        <v>572</v>
      </c>
      <c r="H38" s="218" t="n">
        <v>0</v>
      </c>
      <c r="I38" s="218" t="n">
        <v>0</v>
      </c>
      <c r="J38" s="215" t="s">
        <v>639</v>
      </c>
      <c r="K38" s="217"/>
      <c r="L38" s="215" t="s">
        <v>626</v>
      </c>
      <c r="M38" s="215"/>
      <c r="N38" s="215"/>
      <c r="O38" s="215" t="s">
        <v>624</v>
      </c>
      <c r="P38" s="215" t="s">
        <v>674</v>
      </c>
      <c r="Q38" s="1" t="s">
        <v>572</v>
      </c>
    </row>
    <row r="40" customFormat="false" ht="13.5" hidden="false" customHeight="true" outlineLevel="0" collapsed="false">
      <c r="A40" s="211" t="s">
        <v>678</v>
      </c>
      <c r="B40" s="212"/>
      <c r="C40" s="212"/>
      <c r="D40" s="212"/>
      <c r="E40" s="212"/>
      <c r="F40" s="212"/>
      <c r="G40" s="212"/>
      <c r="H40" s="212"/>
      <c r="I40" s="212"/>
      <c r="J40" s="212"/>
      <c r="K40" s="212"/>
      <c r="L40" s="212"/>
      <c r="M40" s="212"/>
      <c r="N40" s="212"/>
      <c r="O40" s="212"/>
      <c r="P40" s="212"/>
    </row>
    <row r="41" customFormat="false" ht="13.5" hidden="false" customHeight="true" outlineLevel="0" collapsed="false">
      <c r="A41" s="110" t="s">
        <v>679</v>
      </c>
      <c r="B41" s="110" t="s">
        <v>653</v>
      </c>
      <c r="C41" s="213" t="n">
        <v>90000</v>
      </c>
      <c r="D41" s="213" t="n">
        <f aca="false">C41/12</f>
        <v>7500</v>
      </c>
      <c r="E41" s="182" t="n">
        <v>10</v>
      </c>
      <c r="F41" s="110" t="s">
        <v>624</v>
      </c>
      <c r="G41" s="182" t="s">
        <v>572</v>
      </c>
      <c r="H41" s="214" t="n">
        <v>0</v>
      </c>
      <c r="I41" s="214" t="n">
        <v>0</v>
      </c>
      <c r="J41" s="110" t="s">
        <v>639</v>
      </c>
      <c r="K41" s="182"/>
      <c r="L41" s="110" t="s">
        <v>680</v>
      </c>
      <c r="M41" s="110" t="s">
        <v>681</v>
      </c>
      <c r="N41" s="110" t="s">
        <v>682</v>
      </c>
      <c r="O41" s="110" t="s">
        <v>624</v>
      </c>
      <c r="P41" s="110" t="s">
        <v>654</v>
      </c>
      <c r="Q41" s="1" t="s">
        <v>572</v>
      </c>
    </row>
    <row r="43" customFormat="false" ht="13.5" hidden="false" customHeight="true" outlineLevel="0" collapsed="false">
      <c r="A43" s="211" t="s">
        <v>683</v>
      </c>
      <c r="B43" s="212"/>
      <c r="C43" s="212"/>
      <c r="D43" s="212"/>
      <c r="E43" s="212"/>
      <c r="F43" s="212"/>
      <c r="G43" s="212"/>
      <c r="H43" s="212"/>
      <c r="I43" s="212"/>
      <c r="J43" s="212"/>
      <c r="K43" s="212"/>
      <c r="L43" s="212"/>
      <c r="M43" s="212"/>
      <c r="N43" s="212"/>
      <c r="O43" s="212"/>
      <c r="P43" s="212"/>
    </row>
    <row r="44" customFormat="false" ht="13.5" hidden="false" customHeight="true" outlineLevel="0" collapsed="false">
      <c r="A44" s="110" t="s">
        <v>684</v>
      </c>
      <c r="B44" s="110" t="s">
        <v>685</v>
      </c>
      <c r="C44" s="213" t="n">
        <v>400000</v>
      </c>
      <c r="D44" s="213" t="n">
        <f aca="false">C44/12</f>
        <v>33333.3333333333</v>
      </c>
      <c r="E44" s="182" t="n">
        <v>1</v>
      </c>
      <c r="F44" s="110" t="s">
        <v>686</v>
      </c>
      <c r="G44" s="182" t="s">
        <v>572</v>
      </c>
      <c r="H44" s="214" t="n">
        <v>1</v>
      </c>
      <c r="I44" s="214" t="n">
        <v>0</v>
      </c>
      <c r="J44" s="110" t="s">
        <v>687</v>
      </c>
      <c r="K44" s="182"/>
      <c r="L44" s="110" t="s">
        <v>626</v>
      </c>
      <c r="M44" s="110"/>
      <c r="N44" s="110"/>
      <c r="O44" s="110" t="s">
        <v>688</v>
      </c>
      <c r="P44" s="110" t="s">
        <v>687</v>
      </c>
      <c r="Q44" s="1" t="s">
        <v>572</v>
      </c>
    </row>
    <row r="45" customFormat="false" ht="13.5" hidden="false" customHeight="true" outlineLevel="0" collapsed="false">
      <c r="A45" s="215" t="s">
        <v>689</v>
      </c>
      <c r="B45" s="215" t="s">
        <v>685</v>
      </c>
      <c r="C45" s="216" t="n">
        <v>400000</v>
      </c>
      <c r="D45" s="216" t="n">
        <f aca="false">C45/12</f>
        <v>33333.3333333333</v>
      </c>
      <c r="E45" s="217" t="n">
        <v>1</v>
      </c>
      <c r="F45" s="215" t="s">
        <v>686</v>
      </c>
      <c r="G45" s="217" t="s">
        <v>572</v>
      </c>
      <c r="H45" s="218" t="n">
        <v>1</v>
      </c>
      <c r="I45" s="218" t="n">
        <v>0</v>
      </c>
      <c r="J45" s="215" t="s">
        <v>687</v>
      </c>
      <c r="K45" s="217"/>
      <c r="L45" s="215" t="s">
        <v>626</v>
      </c>
      <c r="M45" s="215"/>
      <c r="N45" s="215"/>
      <c r="O45" s="215" t="s">
        <v>688</v>
      </c>
      <c r="P45" s="215" t="s">
        <v>687</v>
      </c>
      <c r="Q45" s="1" t="s">
        <v>572</v>
      </c>
    </row>
    <row r="46" customFormat="false" ht="13.5" hidden="false" customHeight="true" outlineLevel="0" collapsed="false">
      <c r="A46" s="110" t="s">
        <v>690</v>
      </c>
      <c r="B46" s="110" t="s">
        <v>691</v>
      </c>
      <c r="C46" s="213" t="n">
        <v>222000</v>
      </c>
      <c r="D46" s="213" t="n">
        <f aca="false">C46/12</f>
        <v>18500</v>
      </c>
      <c r="E46" s="182" t="n">
        <v>1</v>
      </c>
      <c r="F46" s="110" t="s">
        <v>686</v>
      </c>
      <c r="G46" s="182" t="s">
        <v>572</v>
      </c>
      <c r="H46" s="214" t="n">
        <v>1</v>
      </c>
      <c r="I46" s="214" t="n">
        <v>0</v>
      </c>
      <c r="J46" s="110" t="s">
        <v>687</v>
      </c>
      <c r="K46" s="182"/>
      <c r="L46" s="110" t="s">
        <v>626</v>
      </c>
      <c r="M46" s="110"/>
      <c r="N46" s="110"/>
      <c r="O46" s="110" t="s">
        <v>692</v>
      </c>
      <c r="P46" s="110" t="s">
        <v>687</v>
      </c>
      <c r="Q46" s="1" t="s">
        <v>572</v>
      </c>
    </row>
    <row r="47" customFormat="false" ht="13.5" hidden="false" customHeight="true" outlineLevel="0" collapsed="false">
      <c r="A47" s="215" t="s">
        <v>693</v>
      </c>
      <c r="B47" s="215" t="s">
        <v>694</v>
      </c>
      <c r="C47" s="216" t="n">
        <v>115000</v>
      </c>
      <c r="D47" s="216" t="n">
        <f aca="false">C47/12</f>
        <v>9583.33333333333</v>
      </c>
      <c r="E47" s="217" t="n">
        <v>1</v>
      </c>
      <c r="F47" s="215" t="s">
        <v>686</v>
      </c>
      <c r="G47" s="217" t="s">
        <v>572</v>
      </c>
      <c r="H47" s="218" t="n">
        <v>1</v>
      </c>
      <c r="I47" s="218" t="n">
        <v>0</v>
      </c>
      <c r="J47" s="215" t="s">
        <v>687</v>
      </c>
      <c r="K47" s="217"/>
      <c r="L47" s="215" t="s">
        <v>626</v>
      </c>
      <c r="M47" s="215"/>
      <c r="N47" s="215"/>
      <c r="O47" s="215" t="s">
        <v>692</v>
      </c>
      <c r="P47" s="215" t="s">
        <v>687</v>
      </c>
      <c r="Q47" s="1" t="s">
        <v>572</v>
      </c>
    </row>
    <row r="48" customFormat="false" ht="13.5" hidden="false" customHeight="true" outlineLevel="0" collapsed="false">
      <c r="A48" s="110" t="s">
        <v>695</v>
      </c>
      <c r="B48" s="110" t="s">
        <v>696</v>
      </c>
      <c r="C48" s="213" t="n">
        <v>250000</v>
      </c>
      <c r="D48" s="213" t="n">
        <f aca="false">C48/12</f>
        <v>20833.3333333333</v>
      </c>
      <c r="E48" s="182" t="n">
        <v>1</v>
      </c>
      <c r="F48" s="110" t="s">
        <v>686</v>
      </c>
      <c r="G48" s="182" t="s">
        <v>572</v>
      </c>
      <c r="H48" s="214" t="n">
        <v>0</v>
      </c>
      <c r="I48" s="214" t="n">
        <v>0</v>
      </c>
      <c r="J48" s="110" t="s">
        <v>687</v>
      </c>
      <c r="K48" s="182"/>
      <c r="L48" s="110" t="s">
        <v>626</v>
      </c>
      <c r="M48" s="110"/>
      <c r="N48" s="110"/>
      <c r="O48" s="110" t="s">
        <v>697</v>
      </c>
      <c r="P48" s="110" t="s">
        <v>687</v>
      </c>
      <c r="Q48" s="1" t="s">
        <v>572</v>
      </c>
    </row>
    <row r="49" customFormat="false" ht="13.5" hidden="false" customHeight="true" outlineLevel="0" collapsed="false">
      <c r="A49" s="215" t="s">
        <v>698</v>
      </c>
      <c r="B49" s="215" t="s">
        <v>699</v>
      </c>
      <c r="C49" s="216" t="n">
        <v>150000</v>
      </c>
      <c r="D49" s="216" t="n">
        <f aca="false">C49/12</f>
        <v>12500</v>
      </c>
      <c r="E49" s="217" t="n">
        <v>1</v>
      </c>
      <c r="F49" s="215" t="s">
        <v>686</v>
      </c>
      <c r="G49" s="217" t="s">
        <v>572</v>
      </c>
      <c r="H49" s="218" t="n">
        <v>0</v>
      </c>
      <c r="I49" s="218" t="n">
        <v>0</v>
      </c>
      <c r="J49" s="215" t="s">
        <v>687</v>
      </c>
      <c r="K49" s="217"/>
      <c r="L49" s="215" t="s">
        <v>626</v>
      </c>
      <c r="M49" s="215"/>
      <c r="N49" s="215"/>
      <c r="O49" s="215" t="s">
        <v>697</v>
      </c>
      <c r="P49" s="215" t="s">
        <v>687</v>
      </c>
      <c r="Q49" s="1" t="s">
        <v>572</v>
      </c>
    </row>
    <row r="50" customFormat="false" ht="13.5" hidden="false" customHeight="true" outlineLevel="0" collapsed="false">
      <c r="A50" s="110" t="s">
        <v>700</v>
      </c>
      <c r="B50" s="110" t="s">
        <v>701</v>
      </c>
      <c r="C50" s="213" t="n">
        <v>250000</v>
      </c>
      <c r="D50" s="213" t="n">
        <f aca="false">C50/12</f>
        <v>20833.3333333333</v>
      </c>
      <c r="E50" s="182" t="n">
        <v>1</v>
      </c>
      <c r="F50" s="110" t="s">
        <v>686</v>
      </c>
      <c r="G50" s="182" t="s">
        <v>572</v>
      </c>
      <c r="H50" s="214" t="n">
        <v>0</v>
      </c>
      <c r="I50" s="214" t="n">
        <v>0</v>
      </c>
      <c r="J50" s="110" t="s">
        <v>687</v>
      </c>
      <c r="K50" s="182"/>
      <c r="L50" s="110" t="s">
        <v>626</v>
      </c>
      <c r="M50" s="110"/>
      <c r="N50" s="110"/>
      <c r="O50" s="110" t="s">
        <v>697</v>
      </c>
      <c r="P50" s="110" t="s">
        <v>687</v>
      </c>
      <c r="Q50" s="1" t="s">
        <v>572</v>
      </c>
    </row>
    <row r="52" customFormat="false" ht="13.5" hidden="false" customHeight="true" outlineLevel="0" collapsed="false">
      <c r="A52" s="211" t="s">
        <v>702</v>
      </c>
      <c r="B52" s="212"/>
      <c r="C52" s="212"/>
      <c r="D52" s="212"/>
      <c r="E52" s="212"/>
      <c r="F52" s="212"/>
      <c r="G52" s="212"/>
      <c r="H52" s="212"/>
      <c r="I52" s="212"/>
      <c r="J52" s="212"/>
      <c r="K52" s="212"/>
      <c r="L52" s="212"/>
      <c r="M52" s="212"/>
      <c r="N52" s="212"/>
      <c r="O52" s="212"/>
      <c r="P52" s="212"/>
    </row>
    <row r="53" customFormat="false" ht="13.5" hidden="false" customHeight="true" outlineLevel="0" collapsed="false">
      <c r="A53" s="110" t="s">
        <v>703</v>
      </c>
      <c r="B53" s="110" t="s">
        <v>704</v>
      </c>
      <c r="C53" s="213" t="n">
        <v>125000</v>
      </c>
      <c r="D53" s="213" t="n">
        <f aca="false">C53/12</f>
        <v>10416.6666666667</v>
      </c>
      <c r="E53" s="182" t="n">
        <v>2</v>
      </c>
      <c r="F53" s="110" t="s">
        <v>624</v>
      </c>
      <c r="G53" s="182" t="s">
        <v>572</v>
      </c>
      <c r="H53" s="214" t="n">
        <v>0</v>
      </c>
      <c r="I53" s="214" t="n">
        <v>0</v>
      </c>
      <c r="J53" s="110" t="s">
        <v>639</v>
      </c>
      <c r="K53" s="182" t="n">
        <v>4</v>
      </c>
      <c r="L53" s="110" t="s">
        <v>705</v>
      </c>
      <c r="M53" s="110"/>
      <c r="N53" s="110" t="s">
        <v>706</v>
      </c>
      <c r="O53" s="110" t="s">
        <v>624</v>
      </c>
      <c r="P53" s="110" t="s">
        <v>671</v>
      </c>
      <c r="Q53" s="1" t="s">
        <v>572</v>
      </c>
    </row>
    <row r="54" customFormat="false" ht="13.5" hidden="false" customHeight="true" outlineLevel="0" collapsed="false">
      <c r="A54" s="215" t="s">
        <v>707</v>
      </c>
      <c r="B54" s="215" t="s">
        <v>708</v>
      </c>
      <c r="C54" s="216" t="n">
        <v>110000</v>
      </c>
      <c r="D54" s="216" t="n">
        <f aca="false">C54/12</f>
        <v>9166.66666666667</v>
      </c>
      <c r="E54" s="217" t="n">
        <v>1</v>
      </c>
      <c r="F54" s="215" t="s">
        <v>624</v>
      </c>
      <c r="G54" s="217" t="s">
        <v>572</v>
      </c>
      <c r="H54" s="218" t="n">
        <v>0</v>
      </c>
      <c r="I54" s="218" t="n">
        <v>0</v>
      </c>
      <c r="J54" s="215" t="s">
        <v>639</v>
      </c>
      <c r="K54" s="217" t="n">
        <v>4</v>
      </c>
      <c r="L54" s="215" t="s">
        <v>705</v>
      </c>
      <c r="M54" s="215"/>
      <c r="N54" s="215" t="s">
        <v>706</v>
      </c>
      <c r="O54" s="215" t="s">
        <v>624</v>
      </c>
      <c r="P54" s="215" t="s">
        <v>651</v>
      </c>
      <c r="Q54" s="1" t="s">
        <v>572</v>
      </c>
    </row>
    <row r="56" customFormat="false" ht="13.5" hidden="false" customHeight="true" outlineLevel="0" collapsed="false">
      <c r="A56" s="211" t="s">
        <v>709</v>
      </c>
      <c r="B56" s="212"/>
      <c r="C56" s="212"/>
      <c r="D56" s="212"/>
      <c r="E56" s="212"/>
      <c r="F56" s="212"/>
      <c r="G56" s="212"/>
      <c r="H56" s="212"/>
      <c r="I56" s="212"/>
      <c r="J56" s="212"/>
      <c r="K56" s="212"/>
      <c r="L56" s="212"/>
      <c r="M56" s="212"/>
      <c r="N56" s="212"/>
      <c r="O56" s="212"/>
      <c r="P56" s="212"/>
    </row>
    <row r="57" customFormat="false" ht="13.5" hidden="false" customHeight="true" outlineLevel="0" collapsed="false">
      <c r="A57" s="215" t="s">
        <v>710</v>
      </c>
      <c r="B57" s="215" t="s">
        <v>645</v>
      </c>
      <c r="C57" s="216" t="n">
        <v>120000</v>
      </c>
      <c r="D57" s="216" t="n">
        <f aca="false">C57/12</f>
        <v>10000</v>
      </c>
      <c r="E57" s="217" t="n">
        <v>5</v>
      </c>
      <c r="F57" s="215" t="s">
        <v>624</v>
      </c>
      <c r="G57" s="217" t="s">
        <v>572</v>
      </c>
      <c r="H57" s="218" t="n">
        <v>0</v>
      </c>
      <c r="I57" s="218" t="n">
        <v>0</v>
      </c>
      <c r="J57" s="215" t="s">
        <v>639</v>
      </c>
      <c r="K57" s="217"/>
      <c r="L57" s="215" t="s">
        <v>626</v>
      </c>
      <c r="M57" s="215"/>
      <c r="N57" s="215" t="s">
        <v>711</v>
      </c>
      <c r="O57" s="215" t="s">
        <v>624</v>
      </c>
      <c r="P57" s="215" t="s">
        <v>646</v>
      </c>
      <c r="Q57" s="1" t="s">
        <v>571</v>
      </c>
    </row>
    <row r="58" customFormat="false" ht="13.5" hidden="false" customHeight="true" outlineLevel="0" collapsed="false">
      <c r="A58" s="215" t="s">
        <v>712</v>
      </c>
      <c r="B58" s="215" t="s">
        <v>670</v>
      </c>
      <c r="C58" s="216" t="n">
        <v>125000</v>
      </c>
      <c r="D58" s="216" t="n">
        <f aca="false">C58/12</f>
        <v>10416.6666666667</v>
      </c>
      <c r="E58" s="217" t="n">
        <v>6</v>
      </c>
      <c r="F58" s="215" t="s">
        <v>624</v>
      </c>
      <c r="G58" s="217" t="s">
        <v>572</v>
      </c>
      <c r="H58" s="218" t="n">
        <v>0</v>
      </c>
      <c r="I58" s="218" t="n">
        <v>0</v>
      </c>
      <c r="J58" s="215" t="s">
        <v>639</v>
      </c>
      <c r="K58" s="217"/>
      <c r="L58" s="215" t="s">
        <v>626</v>
      </c>
      <c r="M58" s="215"/>
      <c r="N58" s="215" t="s">
        <v>711</v>
      </c>
      <c r="O58" s="215" t="s">
        <v>624</v>
      </c>
      <c r="P58" s="215" t="s">
        <v>671</v>
      </c>
      <c r="Q58" s="1" t="s">
        <v>571</v>
      </c>
    </row>
    <row r="59" customFormat="false" ht="13.5" hidden="false" customHeight="true" outlineLevel="0" collapsed="false">
      <c r="A59" s="110"/>
      <c r="B59" s="110"/>
      <c r="C59" s="213"/>
      <c r="D59" s="213"/>
      <c r="E59" s="182"/>
      <c r="F59" s="110"/>
      <c r="G59" s="182"/>
      <c r="H59" s="214"/>
      <c r="I59" s="214"/>
      <c r="J59" s="110"/>
      <c r="K59" s="182"/>
      <c r="L59" s="110"/>
      <c r="M59" s="110"/>
      <c r="N59" s="110"/>
      <c r="O59" s="110"/>
      <c r="P59" s="110"/>
    </row>
    <row r="60" customFormat="false" ht="13.5" hidden="false" customHeight="true" outlineLevel="0" collapsed="false">
      <c r="A60" s="215"/>
      <c r="B60" s="215"/>
      <c r="C60" s="216"/>
      <c r="D60" s="216"/>
      <c r="E60" s="217"/>
      <c r="F60" s="215"/>
      <c r="G60" s="217"/>
      <c r="H60" s="218"/>
      <c r="I60" s="218"/>
      <c r="J60" s="215"/>
      <c r="K60" s="217"/>
      <c r="L60" s="215"/>
      <c r="M60" s="215"/>
      <c r="N60" s="215"/>
      <c r="O60" s="215"/>
      <c r="P60" s="215"/>
    </row>
    <row r="61" customFormat="false" ht="13.5" hidden="false" customHeight="true" outlineLevel="0" collapsed="false">
      <c r="A61" s="110"/>
      <c r="B61" s="110"/>
      <c r="C61" s="213"/>
      <c r="D61" s="213"/>
      <c r="E61" s="182"/>
      <c r="F61" s="110"/>
      <c r="G61" s="182"/>
      <c r="H61" s="214"/>
      <c r="I61" s="214"/>
      <c r="J61" s="110"/>
      <c r="K61" s="182"/>
      <c r="L61" s="110"/>
      <c r="M61" s="110"/>
      <c r="N61" s="110"/>
      <c r="O61" s="110"/>
      <c r="P61" s="110"/>
    </row>
    <row r="62" customFormat="false" ht="13.5" hidden="false" customHeight="true" outlineLevel="0" collapsed="false">
      <c r="A62" s="215"/>
      <c r="B62" s="215"/>
      <c r="C62" s="216"/>
      <c r="D62" s="216"/>
      <c r="E62" s="217"/>
      <c r="F62" s="215"/>
      <c r="G62" s="217"/>
      <c r="H62" s="218"/>
      <c r="I62" s="218"/>
      <c r="J62" s="215"/>
      <c r="K62" s="217"/>
      <c r="L62" s="215"/>
      <c r="M62" s="215"/>
      <c r="N62" s="215"/>
      <c r="O62" s="215"/>
      <c r="P62" s="215"/>
    </row>
    <row r="63" customFormat="false" ht="13.5" hidden="false" customHeight="true" outlineLevel="0" collapsed="false">
      <c r="A63" s="110"/>
      <c r="B63" s="110"/>
      <c r="C63" s="213"/>
      <c r="D63" s="213"/>
      <c r="E63" s="182"/>
      <c r="F63" s="110"/>
      <c r="G63" s="182"/>
      <c r="H63" s="214"/>
      <c r="I63" s="214"/>
      <c r="J63" s="110"/>
      <c r="K63" s="182"/>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H1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86" min="2" style="1" width="27"/>
  </cols>
  <sheetData>
    <row r="1" customFormat="false" ht="15" hidden="false" customHeight="true" outlineLevel="0" collapsed="false">
      <c r="A1" s="97" t="s">
        <v>713</v>
      </c>
    </row>
    <row r="2" customFormat="false" ht="15" hidden="false" customHeight="true" outlineLevel="0" collapsed="false">
      <c r="A2" s="90" t="s">
        <v>556</v>
      </c>
      <c r="B2" s="97" t="s">
        <v>572</v>
      </c>
    </row>
    <row r="4" customFormat="false" ht="15" hidden="false" customHeight="true" outlineLevel="0" collapsed="false">
      <c r="A4" s="189" t="s">
        <v>714</v>
      </c>
      <c r="B4" s="189"/>
      <c r="C4" s="189"/>
      <c r="D4" s="189"/>
      <c r="E4" s="189"/>
      <c r="F4" s="189"/>
      <c r="G4" s="189"/>
      <c r="H4" s="189"/>
      <c r="I4" s="189"/>
      <c r="J4" s="189"/>
      <c r="K4" s="189"/>
    </row>
    <row r="5" customFormat="false" ht="15" hidden="false" customHeight="true" outlineLevel="0" collapsed="false">
      <c r="A5" s="90" t="s">
        <v>715</v>
      </c>
      <c r="B5" s="90" t="s">
        <v>713</v>
      </c>
    </row>
    <row r="6" customFormat="false" ht="15" hidden="false" customHeight="true" outlineLevel="0" collapsed="false">
      <c r="A6" s="90" t="s">
        <v>716</v>
      </c>
      <c r="B6" s="90" t="s">
        <v>717</v>
      </c>
    </row>
    <row r="7" customFormat="false" ht="15" hidden="false" customHeight="true" outlineLevel="0" collapsed="false">
      <c r="A7" s="90" t="s">
        <v>718</v>
      </c>
      <c r="B7" s="219" t="n">
        <v>60</v>
      </c>
    </row>
    <row r="8" customFormat="false" ht="15" hidden="false" customHeight="true" outlineLevel="0" collapsed="false">
      <c r="A8" s="90" t="s">
        <v>719</v>
      </c>
      <c r="B8" s="90" t="s">
        <v>720</v>
      </c>
    </row>
    <row r="9" customFormat="false" ht="15" hidden="false" customHeight="true" outlineLevel="0" collapsed="false">
      <c r="A9" s="90" t="s">
        <v>721</v>
      </c>
      <c r="B9" s="220" t="n">
        <v>1400000</v>
      </c>
    </row>
    <row r="10" customFormat="false" ht="15" hidden="false" customHeight="true" outlineLevel="0" collapsed="false">
      <c r="A10" s="90" t="s">
        <v>722</v>
      </c>
      <c r="B10" s="220" t="n">
        <v>1609391</v>
      </c>
    </row>
    <row r="11" customFormat="false" ht="15" hidden="false" customHeight="true" outlineLevel="0" collapsed="false">
      <c r="A11" s="90" t="s">
        <v>723</v>
      </c>
      <c r="B11" s="220" t="n">
        <v>3419763</v>
      </c>
    </row>
    <row r="12" customFormat="false" ht="15" hidden="false" customHeight="true" outlineLevel="0" collapsed="false">
      <c r="A12" s="90" t="s">
        <v>565</v>
      </c>
      <c r="B12" s="221" t="n">
        <f aca="false">B16</f>
        <v>9009665</v>
      </c>
    </row>
    <row r="14" customFormat="false" ht="15" hidden="false" customHeight="true" outlineLevel="0" collapsed="false">
      <c r="A14" s="222" t="s">
        <v>724</v>
      </c>
      <c r="B14" s="222"/>
      <c r="C14" s="222"/>
      <c r="D14" s="222"/>
      <c r="E14" s="222"/>
      <c r="F14" s="222"/>
      <c r="G14" s="222"/>
      <c r="H14" s="222"/>
      <c r="I14" s="222"/>
      <c r="J14" s="222"/>
      <c r="K14" s="222"/>
    </row>
    <row r="15" customFormat="false" ht="15" hidden="false" customHeight="true" outlineLevel="0" collapsed="false">
      <c r="B15" s="223" t="s">
        <v>476</v>
      </c>
      <c r="C15" s="223" t="s">
        <v>268</v>
      </c>
      <c r="D15" s="223" t="s">
        <v>269</v>
      </c>
      <c r="E15" s="223" t="s">
        <v>270</v>
      </c>
      <c r="F15" s="223" t="s">
        <v>271</v>
      </c>
      <c r="G15" s="223" t="s">
        <v>272</v>
      </c>
      <c r="H15" s="223" t="s">
        <v>273</v>
      </c>
      <c r="I15" s="223" t="s">
        <v>274</v>
      </c>
      <c r="J15" s="223" t="s">
        <v>275</v>
      </c>
    </row>
    <row r="16" customFormat="false" ht="15" hidden="false" customHeight="true" outlineLevel="0" collapsed="false">
      <c r="A16" s="90" t="s">
        <v>565</v>
      </c>
      <c r="B16" s="221" t="n">
        <f aca="false">C16+D16+E16+F16+G16+H16+I16+J16</f>
        <v>9009665</v>
      </c>
      <c r="C16" s="220" t="n">
        <f aca="false">SUM(C99:K99)</f>
        <v>0</v>
      </c>
      <c r="D16" s="220" t="n">
        <f aca="false">SUM(L99:W99)</f>
        <v>560818.2</v>
      </c>
      <c r="E16" s="220" t="n">
        <f aca="false">SUM(X99:AI99)</f>
        <v>3251765.36</v>
      </c>
      <c r="F16" s="220" t="n">
        <f aca="false">SUM(AJ99:AU99)</f>
        <v>2911623.7</v>
      </c>
      <c r="G16" s="220" t="n">
        <f aca="false">SUM(AV99:BG99)</f>
        <v>1523048.59</v>
      </c>
      <c r="H16" s="220" t="n">
        <f aca="false">SUM(BH99:BS99)</f>
        <v>762409.15</v>
      </c>
      <c r="I16" s="220" t="n">
        <f aca="false">SUM(BT99:CE99)</f>
        <v>0</v>
      </c>
      <c r="J16" s="220" t="n">
        <f aca="false">SUM(CF99:CH99)</f>
        <v>0</v>
      </c>
    </row>
    <row r="17" customFormat="false" ht="15" hidden="false" customHeight="true" outlineLevel="0" collapsed="false">
      <c r="A17" s="90" t="s">
        <v>725</v>
      </c>
      <c r="B17" s="221" t="n">
        <f aca="false">C17+D17+E17+F17+G17+H17+I17+J17</f>
        <v>-1500039</v>
      </c>
      <c r="C17" s="220" t="n">
        <f aca="false">SUM(C100:K100)</f>
        <v>0</v>
      </c>
      <c r="D17" s="220" t="n">
        <f aca="false">SUM(L100:W100)</f>
        <v>-120836</v>
      </c>
      <c r="E17" s="220" t="n">
        <f aca="false">SUM(X100:AI100)</f>
        <v>-366676</v>
      </c>
      <c r="F17" s="220" t="n">
        <f aca="false">SUM(AJ100:AU100)</f>
        <v>-450012</v>
      </c>
      <c r="G17" s="220" t="n">
        <f aca="false">SUM(AV100:BG100)</f>
        <v>-450012</v>
      </c>
      <c r="H17" s="220" t="n">
        <f aca="false">SUM(BH100:BS100)</f>
        <v>-112503</v>
      </c>
      <c r="I17" s="220" t="n">
        <f aca="false">SUM(BT100:CE100)</f>
        <v>0</v>
      </c>
      <c r="J17" s="220" t="n">
        <f aca="false">SUM(CF100:CH100)</f>
        <v>0</v>
      </c>
    </row>
    <row r="18" customFormat="false" ht="15" hidden="false" customHeight="true" outlineLevel="0" collapsed="false">
      <c r="A18" s="90" t="s">
        <v>726</v>
      </c>
      <c r="B18" s="221" t="n">
        <f aca="false">C18+D18+E18+F18+G18+H18+I18+J18</f>
        <v>-456000</v>
      </c>
      <c r="C18" s="220" t="n">
        <f aca="false">SUM(C101:K101)</f>
        <v>0</v>
      </c>
      <c r="D18" s="220" t="n">
        <f aca="false">SUM(L101:W101)</f>
        <v>-85500</v>
      </c>
      <c r="E18" s="220" t="n">
        <f aca="false">SUM(X101:AI101)</f>
        <v>-114000</v>
      </c>
      <c r="F18" s="220" t="n">
        <f aca="false">SUM(AJ101:AU101)</f>
        <v>-114000</v>
      </c>
      <c r="G18" s="220" t="n">
        <f aca="false">SUM(AV101:BG101)</f>
        <v>-114000</v>
      </c>
      <c r="H18" s="220" t="n">
        <f aca="false">SUM(BH101:BS101)</f>
        <v>-28500</v>
      </c>
      <c r="I18" s="220" t="n">
        <f aca="false">SUM(BT101:CE101)</f>
        <v>0</v>
      </c>
      <c r="J18" s="220" t="n">
        <f aca="false">SUM(CF101:CH101)</f>
        <v>0</v>
      </c>
    </row>
    <row r="19" customFormat="false" ht="15" hidden="false" customHeight="true" outlineLevel="0" collapsed="false">
      <c r="A19" s="224" t="s">
        <v>727</v>
      </c>
      <c r="B19" s="225" t="n">
        <f aca="false">C19+D19+E19+F19+G19+H19+I19+J19</f>
        <v>7053626</v>
      </c>
      <c r="C19" s="225" t="n">
        <f aca="false">SUM(C102:K102)</f>
        <v>0</v>
      </c>
      <c r="D19" s="225" t="n">
        <f aca="false">SUM(L102:W102)</f>
        <v>354482.2</v>
      </c>
      <c r="E19" s="225" t="n">
        <f aca="false">SUM(X102:AI102)</f>
        <v>2771089.36</v>
      </c>
      <c r="F19" s="225" t="n">
        <f aca="false">SUM(AJ102:AU102)</f>
        <v>2347611.7</v>
      </c>
      <c r="G19" s="225" t="n">
        <f aca="false">SUM(AV102:BG102)</f>
        <v>959036.59</v>
      </c>
      <c r="H19" s="225" t="n">
        <f aca="false">SUM(BH102:BS102)</f>
        <v>621406.15</v>
      </c>
      <c r="I19" s="225" t="n">
        <f aca="false">SUM(BT102:CE102)</f>
        <v>0</v>
      </c>
      <c r="J19" s="225" t="n">
        <f aca="false">SUM(CF102:CH102)</f>
        <v>0</v>
      </c>
    </row>
    <row r="20" customFormat="false" ht="15" hidden="false" customHeight="true" outlineLevel="0" collapsed="false">
      <c r="A20" s="90" t="s">
        <v>728</v>
      </c>
      <c r="B20" s="221" t="n">
        <f aca="false">C20+D20+E20+F20+G20+H20+I20+J20</f>
        <v>563192.617</v>
      </c>
      <c r="C20" s="220" t="n">
        <f aca="false">SUM(C103:K103)</f>
        <v>0</v>
      </c>
      <c r="D20" s="220" t="n">
        <f aca="false">SUM(L103:W103)</f>
        <v>56081.82</v>
      </c>
      <c r="E20" s="220" t="n">
        <f aca="false">SUM(X103:AI103)</f>
        <v>150000</v>
      </c>
      <c r="F20" s="220" t="n">
        <f aca="false">SUM(AJ103:AU103)</f>
        <v>149030.827</v>
      </c>
      <c r="G20" s="220" t="n">
        <f aca="false">SUM(AV103:BG103)</f>
        <v>140675.254</v>
      </c>
      <c r="H20" s="220" t="n">
        <f aca="false">SUM(BH103:BS103)</f>
        <v>67404.716</v>
      </c>
      <c r="I20" s="220" t="n">
        <f aca="false">SUM(BT103:CE103)</f>
        <v>0</v>
      </c>
      <c r="J20" s="220" t="n">
        <f aca="false">SUM(CF103:CH103)</f>
        <v>0</v>
      </c>
    </row>
    <row r="21" customFormat="false" ht="15" hidden="false" customHeight="true" outlineLevel="0" collapsed="false">
      <c r="A21" s="224" t="s">
        <v>729</v>
      </c>
      <c r="B21" s="225" t="n">
        <f aca="false">C21+D21+E21+F21+G21+H21+I21+J21</f>
        <v>6490433.383</v>
      </c>
      <c r="C21" s="225" t="n">
        <f aca="false">SUM(C104:K104)</f>
        <v>0</v>
      </c>
      <c r="D21" s="225" t="n">
        <f aca="false">SUM(L104:W104)</f>
        <v>298400.38</v>
      </c>
      <c r="E21" s="225" t="n">
        <f aca="false">SUM(X104:AI104)</f>
        <v>2621089.36</v>
      </c>
      <c r="F21" s="225" t="n">
        <f aca="false">SUM(AJ104:AU104)</f>
        <v>2198580.873</v>
      </c>
      <c r="G21" s="225" t="n">
        <f aca="false">SUM(AV104:BG104)</f>
        <v>818361.336</v>
      </c>
      <c r="H21" s="225" t="n">
        <f aca="false">SUM(BH104:BS104)</f>
        <v>554001.434</v>
      </c>
      <c r="I21" s="225" t="n">
        <f aca="false">SUM(BT104:CE104)</f>
        <v>0</v>
      </c>
      <c r="J21" s="225" t="n">
        <f aca="false">SUM(CF104:CH104)</f>
        <v>0</v>
      </c>
    </row>
    <row r="22" customFormat="false" ht="15" hidden="false" customHeight="true" outlineLevel="0" collapsed="false">
      <c r="A22" s="90" t="s">
        <v>730</v>
      </c>
      <c r="B22" s="221" t="n">
        <f aca="false">C22+D22+E22+F22+G22+H22+I22+J22</f>
        <v>2951665.926</v>
      </c>
      <c r="C22" s="220" t="n">
        <f aca="false">SUM(C105:K105)</f>
        <v>0</v>
      </c>
      <c r="D22" s="220" t="n">
        <f aca="false">SUM(L105:W105)</f>
        <v>119360.152</v>
      </c>
      <c r="E22" s="220" t="n">
        <f aca="false">SUM(X105:AI105)</f>
        <v>1130206.6955</v>
      </c>
      <c r="F22" s="220" t="n">
        <f aca="false">SUM(AJ105:AU105)</f>
        <v>1015917.6935</v>
      </c>
      <c r="G22" s="220" t="n">
        <f aca="false">SUM(AV105:BG105)</f>
        <v>409180.668</v>
      </c>
      <c r="H22" s="220" t="n">
        <f aca="false">SUM(BH105:BS105)</f>
        <v>277000.717</v>
      </c>
      <c r="I22" s="220" t="n">
        <f aca="false">SUM(BT105:CE105)</f>
        <v>0</v>
      </c>
      <c r="J22" s="220" t="n">
        <f aca="false">SUM(CF105:CH105)</f>
        <v>0</v>
      </c>
    </row>
    <row r="23" customFormat="false" ht="15" hidden="false" customHeight="true" outlineLevel="0" collapsed="false">
      <c r="A23" s="90" t="s">
        <v>731</v>
      </c>
      <c r="B23" s="221" t="n">
        <f aca="false">C23+D23+E23+F23+G23+H23+I23+J23</f>
        <v>3538767.457</v>
      </c>
      <c r="C23" s="220" t="n">
        <f aca="false">SUM(C106:K106)</f>
        <v>0</v>
      </c>
      <c r="D23" s="220" t="n">
        <f aca="false">SUM(L106:W106)</f>
        <v>179040.228</v>
      </c>
      <c r="E23" s="220" t="n">
        <f aca="false">SUM(X106:AI106)</f>
        <v>1490882.6645</v>
      </c>
      <c r="F23" s="220" t="n">
        <f aca="false">SUM(AJ106:AU106)</f>
        <v>1182663.1795</v>
      </c>
      <c r="G23" s="220" t="n">
        <f aca="false">SUM(AV106:BG106)</f>
        <v>409180.668</v>
      </c>
      <c r="H23" s="220" t="n">
        <f aca="false">SUM(BH106:BS106)</f>
        <v>277000.717</v>
      </c>
      <c r="I23" s="220" t="n">
        <f aca="false">SUM(BT106:CE106)</f>
        <v>0</v>
      </c>
      <c r="J23" s="220" t="n">
        <f aca="false">SUM(CF106:CH106)</f>
        <v>0</v>
      </c>
    </row>
    <row r="24" customFormat="false" ht="15" hidden="false" customHeight="true" outlineLevel="0" collapsed="false">
      <c r="A24" s="226" t="s">
        <v>732</v>
      </c>
      <c r="B24" s="227" t="n">
        <f aca="false">C24+D24+E24+F24+G24+H24+I24+J24</f>
        <v>4101960.074</v>
      </c>
      <c r="C24" s="227" t="n">
        <f aca="false">SUM(C107:K107)</f>
        <v>0</v>
      </c>
      <c r="D24" s="227" t="n">
        <f aca="false">SUM(L107:W107)</f>
        <v>235122.048</v>
      </c>
      <c r="E24" s="227" t="n">
        <f aca="false">SUM(X107:AI107)</f>
        <v>1640882.6645</v>
      </c>
      <c r="F24" s="227" t="n">
        <f aca="false">SUM(AJ107:AU107)</f>
        <v>1331694.0065</v>
      </c>
      <c r="G24" s="227" t="n">
        <f aca="false">SUM(AV107:BG107)</f>
        <v>549855.922</v>
      </c>
      <c r="H24" s="227" t="n">
        <f aca="false">SUM(BH107:BS107)</f>
        <v>344405.433</v>
      </c>
      <c r="I24" s="227" t="n">
        <f aca="false">SUM(BT107:CE107)</f>
        <v>0</v>
      </c>
      <c r="J24" s="227" t="n">
        <f aca="false">SUM(CF107:CH107)</f>
        <v>0</v>
      </c>
    </row>
    <row r="26" customFormat="false" ht="15" hidden="false" customHeight="true" outlineLevel="0" collapsed="false">
      <c r="A26" s="228" t="s">
        <v>733</v>
      </c>
      <c r="B26" s="228"/>
      <c r="C26" s="228"/>
      <c r="D26" s="228"/>
      <c r="E26" s="228"/>
      <c r="F26" s="228"/>
      <c r="G26" s="228"/>
      <c r="H26" s="228"/>
      <c r="I26" s="228"/>
      <c r="J26" s="228"/>
      <c r="K26" s="228"/>
    </row>
    <row r="27" customFormat="false" ht="15" hidden="false" customHeight="true" outlineLevel="0" collapsed="false">
      <c r="A27" s="229" t="s">
        <v>734</v>
      </c>
      <c r="B27" s="229" t="s">
        <v>735</v>
      </c>
      <c r="C27" s="229" t="s">
        <v>736</v>
      </c>
      <c r="D27" s="229" t="s">
        <v>721</v>
      </c>
      <c r="E27" s="229" t="s">
        <v>615</v>
      </c>
    </row>
    <row r="28" customFormat="false" ht="15" hidden="false" customHeight="true" outlineLevel="0" collapsed="false">
      <c r="A28" s="90" t="s">
        <v>737</v>
      </c>
      <c r="B28" s="219" t="n">
        <v>6</v>
      </c>
      <c r="C28" s="90" t="s">
        <v>738</v>
      </c>
      <c r="D28" s="220" t="n">
        <v>1400000</v>
      </c>
      <c r="E28" s="230" t="s">
        <v>739</v>
      </c>
    </row>
    <row r="29" customFormat="false" ht="15" hidden="false" customHeight="true" outlineLevel="0" collapsed="false">
      <c r="A29" s="90" t="s">
        <v>740</v>
      </c>
      <c r="B29" s="219" t="n">
        <v>18</v>
      </c>
      <c r="C29" s="90" t="s">
        <v>741</v>
      </c>
      <c r="D29" s="220" t="n">
        <v>1400000</v>
      </c>
      <c r="E29" s="230" t="s">
        <v>742</v>
      </c>
    </row>
    <row r="30" customFormat="false" ht="15" hidden="false" customHeight="true" outlineLevel="0" collapsed="false">
      <c r="A30" s="90" t="s">
        <v>743</v>
      </c>
      <c r="B30" s="219" t="n">
        <v>18</v>
      </c>
      <c r="C30" s="90" t="s">
        <v>744</v>
      </c>
      <c r="D30" s="220" t="n">
        <v>1400000</v>
      </c>
      <c r="E30" s="230" t="s">
        <v>745</v>
      </c>
    </row>
    <row r="31" customFormat="false" ht="15" hidden="false" customHeight="true" outlineLevel="0" collapsed="false">
      <c r="A31" s="90" t="s">
        <v>746</v>
      </c>
      <c r="B31" s="219" t="n">
        <v>18</v>
      </c>
      <c r="C31" s="90" t="s">
        <v>747</v>
      </c>
      <c r="D31" s="220" t="n">
        <v>1400000</v>
      </c>
      <c r="E31" s="230" t="s">
        <v>748</v>
      </c>
    </row>
    <row r="32" customFormat="false" ht="15" hidden="false" customHeight="true" outlineLevel="0" collapsed="false">
      <c r="A32" s="229" t="s">
        <v>476</v>
      </c>
      <c r="B32" s="231" t="n">
        <v>60</v>
      </c>
      <c r="C32" s="229" t="s">
        <v>749</v>
      </c>
      <c r="D32" s="232" t="n">
        <v>1400000</v>
      </c>
    </row>
    <row r="34" customFormat="false" ht="15" hidden="false" customHeight="true" outlineLevel="0" collapsed="false">
      <c r="A34" s="233" t="s">
        <v>750</v>
      </c>
      <c r="B34" s="233"/>
      <c r="C34" s="233"/>
      <c r="D34" s="233"/>
      <c r="E34" s="233"/>
      <c r="F34" s="233"/>
      <c r="G34" s="233"/>
      <c r="H34" s="233"/>
      <c r="I34" s="233"/>
      <c r="J34" s="233"/>
      <c r="K34" s="233"/>
    </row>
    <row r="35" customFormat="false" ht="15" hidden="false" customHeight="true" outlineLevel="0" collapsed="false">
      <c r="A35" s="234" t="s">
        <v>751</v>
      </c>
      <c r="B35" s="234" t="s">
        <v>752</v>
      </c>
      <c r="C35" s="234" t="s">
        <v>753</v>
      </c>
      <c r="D35" s="234" t="s">
        <v>754</v>
      </c>
      <c r="E35" s="234" t="s">
        <v>755</v>
      </c>
      <c r="F35" s="234" t="s">
        <v>756</v>
      </c>
    </row>
    <row r="36" customFormat="false" ht="15" hidden="false" customHeight="true" outlineLevel="0" collapsed="false">
      <c r="A36" s="90" t="s">
        <v>757</v>
      </c>
      <c r="B36" s="90" t="s">
        <v>758</v>
      </c>
      <c r="C36" s="90" t="s">
        <v>759</v>
      </c>
      <c r="D36" s="220" t="n">
        <v>14000</v>
      </c>
      <c r="E36" s="220" t="n">
        <v>840000</v>
      </c>
      <c r="F36" s="90" t="s">
        <v>760</v>
      </c>
    </row>
    <row r="37" customFormat="false" ht="15" hidden="false" customHeight="true" outlineLevel="0" collapsed="false">
      <c r="A37" s="90" t="s">
        <v>761</v>
      </c>
      <c r="B37" s="90" t="s">
        <v>762</v>
      </c>
      <c r="C37" s="90" t="s">
        <v>763</v>
      </c>
      <c r="D37" s="220" t="n">
        <v>96563</v>
      </c>
      <c r="E37" s="220" t="n">
        <v>5793808</v>
      </c>
      <c r="F37" s="90" t="s">
        <v>764</v>
      </c>
    </row>
    <row r="38" customFormat="false" ht="15" hidden="false" customHeight="true" outlineLevel="0" collapsed="false">
      <c r="A38" s="90" t="s">
        <v>765</v>
      </c>
      <c r="B38" s="90" t="s">
        <v>766</v>
      </c>
      <c r="C38" s="90" t="s">
        <v>767</v>
      </c>
      <c r="D38" s="220" t="n">
        <v>5400</v>
      </c>
      <c r="E38" s="220" t="n">
        <v>324000</v>
      </c>
      <c r="F38" s="90" t="s">
        <v>768</v>
      </c>
    </row>
    <row r="39" customFormat="false" ht="15" hidden="false" customHeight="true" outlineLevel="0" collapsed="false">
      <c r="A39" s="90" t="s">
        <v>769</v>
      </c>
      <c r="B39" s="90" t="s">
        <v>758</v>
      </c>
      <c r="C39" s="90" t="s">
        <v>770</v>
      </c>
      <c r="D39" s="220" t="n">
        <v>34198</v>
      </c>
      <c r="E39" s="220" t="n">
        <v>2051858</v>
      </c>
      <c r="F39" s="90" t="s">
        <v>771</v>
      </c>
    </row>
    <row r="40" customFormat="false" ht="15" hidden="false" customHeight="true" outlineLevel="0" collapsed="false">
      <c r="A40" s="234" t="s">
        <v>565</v>
      </c>
      <c r="D40" s="235" t="n">
        <v>150161</v>
      </c>
      <c r="E40" s="235" t="n">
        <v>9009665</v>
      </c>
    </row>
    <row r="42" customFormat="false" ht="15" hidden="false" customHeight="true" outlineLevel="0" collapsed="false">
      <c r="A42" s="236" t="s">
        <v>772</v>
      </c>
      <c r="B42" s="236"/>
      <c r="C42" s="236"/>
      <c r="D42" s="236"/>
      <c r="E42" s="236"/>
      <c r="F42" s="236"/>
      <c r="G42" s="236"/>
      <c r="H42" s="236"/>
      <c r="I42" s="236"/>
      <c r="J42" s="236"/>
      <c r="K42" s="236"/>
    </row>
    <row r="43" customFormat="false" ht="15" hidden="false" customHeight="true" outlineLevel="0" collapsed="false">
      <c r="A43" s="237" t="s">
        <v>609</v>
      </c>
      <c r="B43" s="237" t="s">
        <v>773</v>
      </c>
      <c r="C43" s="237" t="s">
        <v>774</v>
      </c>
      <c r="D43" s="237" t="s">
        <v>581</v>
      </c>
      <c r="E43" s="237" t="s">
        <v>775</v>
      </c>
      <c r="F43" s="237" t="s">
        <v>776</v>
      </c>
      <c r="G43" s="237" t="s">
        <v>777</v>
      </c>
    </row>
    <row r="44" customFormat="false" ht="15" hidden="false" customHeight="true" outlineLevel="0" collapsed="false">
      <c r="A44" s="90" t="s">
        <v>778</v>
      </c>
      <c r="B44" s="220" t="n">
        <v>125000</v>
      </c>
      <c r="C44" s="220" t="n">
        <v>10417</v>
      </c>
      <c r="D44" s="90" t="s">
        <v>779</v>
      </c>
      <c r="E44" s="90" t="s">
        <v>780</v>
      </c>
      <c r="F44" s="90" t="n">
        <v>47</v>
      </c>
      <c r="G44" s="220" t="n">
        <f aca="false">C44*F44</f>
        <v>489599</v>
      </c>
    </row>
    <row r="45" customFormat="false" ht="15" hidden="false" customHeight="true" outlineLevel="0" collapsed="false">
      <c r="A45" s="90" t="s">
        <v>653</v>
      </c>
      <c r="B45" s="220" t="n">
        <v>90000</v>
      </c>
      <c r="C45" s="220" t="n">
        <v>7500</v>
      </c>
      <c r="D45" s="90" t="s">
        <v>781</v>
      </c>
      <c r="E45" s="90" t="s">
        <v>780</v>
      </c>
      <c r="F45" s="90" t="n">
        <v>44</v>
      </c>
      <c r="G45" s="220" t="n">
        <f aca="false">C45*F45</f>
        <v>330000</v>
      </c>
    </row>
    <row r="46" customFormat="false" ht="15" hidden="false" customHeight="true" outlineLevel="0" collapsed="false">
      <c r="A46" s="90" t="s">
        <v>782</v>
      </c>
      <c r="B46" s="220" t="n">
        <v>110000</v>
      </c>
      <c r="C46" s="220" t="n">
        <v>9167</v>
      </c>
      <c r="D46" s="90" t="s">
        <v>783</v>
      </c>
      <c r="E46" s="90" t="s">
        <v>780</v>
      </c>
      <c r="F46" s="90" t="n">
        <v>39</v>
      </c>
      <c r="G46" s="220" t="n">
        <f aca="false">C46*F46</f>
        <v>357513</v>
      </c>
    </row>
    <row r="47" customFormat="false" ht="15" hidden="false" customHeight="true" outlineLevel="0" collapsed="false">
      <c r="A47" s="90" t="s">
        <v>784</v>
      </c>
      <c r="B47" s="220" t="n">
        <v>125000</v>
      </c>
      <c r="C47" s="220" t="n">
        <v>10417</v>
      </c>
      <c r="D47" s="90" t="s">
        <v>785</v>
      </c>
      <c r="E47" s="90" t="s">
        <v>780</v>
      </c>
      <c r="F47" s="90" t="n">
        <v>31</v>
      </c>
      <c r="G47" s="220" t="n">
        <f aca="false">C47*F47</f>
        <v>322927</v>
      </c>
    </row>
    <row r="48" customFormat="false" ht="15" hidden="false" customHeight="true" outlineLevel="0" collapsed="false">
      <c r="A48" s="237" t="s">
        <v>786</v>
      </c>
      <c r="G48" s="238" t="n">
        <f aca="false">SUM(G44:G47)</f>
        <v>1500039</v>
      </c>
    </row>
    <row r="50" customFormat="false" ht="15" hidden="false" customHeight="true" outlineLevel="0" collapsed="false">
      <c r="A50" s="239" t="s">
        <v>787</v>
      </c>
      <c r="B50" s="239"/>
      <c r="C50" s="239"/>
      <c r="D50" s="239"/>
      <c r="E50" s="239"/>
      <c r="F50" s="239"/>
      <c r="G50" s="239"/>
      <c r="H50" s="239"/>
      <c r="I50" s="239"/>
      <c r="J50" s="239"/>
      <c r="K50" s="239"/>
    </row>
    <row r="51" customFormat="false" ht="15" hidden="false" customHeight="true" outlineLevel="0" collapsed="false">
      <c r="A51" s="240" t="s">
        <v>788</v>
      </c>
      <c r="B51" s="240" t="s">
        <v>789</v>
      </c>
      <c r="C51" s="240" t="s">
        <v>774</v>
      </c>
      <c r="D51" s="240" t="s">
        <v>790</v>
      </c>
      <c r="E51" s="240" t="s">
        <v>476</v>
      </c>
    </row>
    <row r="52" customFormat="false" ht="15" hidden="false" customHeight="true" outlineLevel="0" collapsed="false">
      <c r="A52" s="90" t="s">
        <v>791</v>
      </c>
      <c r="B52" s="220" t="n">
        <v>40000</v>
      </c>
      <c r="C52" s="220" t="n">
        <v>3333</v>
      </c>
      <c r="D52" s="90" t="n">
        <v>4</v>
      </c>
      <c r="E52" s="220" t="n">
        <v>160000</v>
      </c>
    </row>
    <row r="53" customFormat="false" ht="15" hidden="false" customHeight="true" outlineLevel="0" collapsed="false">
      <c r="A53" s="90" t="s">
        <v>792</v>
      </c>
      <c r="B53" s="220" t="n">
        <v>20000</v>
      </c>
      <c r="C53" s="220" t="n">
        <v>1667</v>
      </c>
      <c r="D53" s="90" t="n">
        <v>4</v>
      </c>
      <c r="E53" s="220" t="n">
        <v>80000</v>
      </c>
    </row>
    <row r="54" customFormat="false" ht="15" hidden="false" customHeight="true" outlineLevel="0" collapsed="false">
      <c r="A54" s="90" t="s">
        <v>793</v>
      </c>
      <c r="B54" s="220" t="n">
        <v>30000</v>
      </c>
      <c r="C54" s="220" t="n">
        <v>2500</v>
      </c>
      <c r="D54" s="90" t="n">
        <v>4</v>
      </c>
      <c r="E54" s="220" t="n">
        <v>120000</v>
      </c>
    </row>
    <row r="55" customFormat="false" ht="15" hidden="false" customHeight="true" outlineLevel="0" collapsed="false">
      <c r="A55" s="90" t="s">
        <v>794</v>
      </c>
      <c r="B55" s="220" t="n">
        <v>24000</v>
      </c>
      <c r="C55" s="220" t="n">
        <v>2000</v>
      </c>
      <c r="D55" s="90" t="n">
        <v>4</v>
      </c>
      <c r="E55" s="220" t="n">
        <v>96000</v>
      </c>
    </row>
    <row r="56" customFormat="false" ht="15" hidden="false" customHeight="true" outlineLevel="0" collapsed="false">
      <c r="A56" s="240" t="s">
        <v>795</v>
      </c>
      <c r="E56" s="241" t="n">
        <v>456000</v>
      </c>
    </row>
    <row r="57" customFormat="false" ht="15" hidden="false" customHeight="true" outlineLevel="0" collapsed="false">
      <c r="A57" s="242" t="s">
        <v>796</v>
      </c>
    </row>
    <row r="59" customFormat="false" ht="15" hidden="false" customHeight="true" outlineLevel="0" collapsed="false">
      <c r="A59" s="112" t="s">
        <v>797</v>
      </c>
      <c r="B59" s="112"/>
      <c r="C59" s="112"/>
      <c r="D59" s="112"/>
      <c r="E59" s="112"/>
      <c r="F59" s="112"/>
      <c r="G59" s="112"/>
      <c r="H59" s="112"/>
      <c r="I59" s="112"/>
      <c r="J59" s="112"/>
      <c r="K59" s="112"/>
    </row>
    <row r="60" customFormat="false" ht="15" hidden="false" customHeight="true" outlineLevel="0" collapsed="false">
      <c r="A60" s="90" t="s">
        <v>798</v>
      </c>
      <c r="B60" s="220" t="n">
        <f aca="false">B16</f>
        <v>9009665</v>
      </c>
    </row>
    <row r="61" customFormat="false" ht="15" hidden="false" customHeight="true" outlineLevel="0" collapsed="false">
      <c r="A61" s="90" t="s">
        <v>725</v>
      </c>
      <c r="B61" s="220" t="n">
        <f aca="false">B17</f>
        <v>-1500039</v>
      </c>
    </row>
    <row r="62" customFormat="false" ht="15" hidden="false" customHeight="true" outlineLevel="0" collapsed="false">
      <c r="A62" s="90" t="s">
        <v>726</v>
      </c>
      <c r="B62" s="220" t="n">
        <f aca="false">B18</f>
        <v>-456000</v>
      </c>
    </row>
    <row r="63" customFormat="false" ht="15" hidden="false" customHeight="true" outlineLevel="0" collapsed="false">
      <c r="A63" s="229" t="s">
        <v>727</v>
      </c>
      <c r="B63" s="232" t="n">
        <f aca="false">B60+B61+B62</f>
        <v>7053626</v>
      </c>
    </row>
    <row r="64" customFormat="false" ht="15" hidden="false" customHeight="true" outlineLevel="0" collapsed="false">
      <c r="A64" s="90" t="s">
        <v>799</v>
      </c>
      <c r="B64" s="220" t="n">
        <f aca="false">-B20</f>
        <v>-563192.617</v>
      </c>
    </row>
    <row r="65" customFormat="false" ht="15" hidden="false" customHeight="true" outlineLevel="0" collapsed="false">
      <c r="A65" s="229" t="s">
        <v>729</v>
      </c>
      <c r="B65" s="232" t="n">
        <f aca="false">B63+B64</f>
        <v>6490433.383</v>
      </c>
    </row>
    <row r="66" customFormat="false" ht="15" hidden="false" customHeight="true" outlineLevel="0" collapsed="false">
      <c r="A66" s="90" t="s">
        <v>800</v>
      </c>
      <c r="B66" s="220" t="n">
        <f aca="false">-B22</f>
        <v>-2951665.926</v>
      </c>
    </row>
    <row r="67" customFormat="false" ht="15" hidden="false" customHeight="true" outlineLevel="0" collapsed="false">
      <c r="A67" s="229" t="s">
        <v>731</v>
      </c>
      <c r="B67" s="232" t="n">
        <f aca="false">B65+B66</f>
        <v>3538767.457</v>
      </c>
    </row>
    <row r="68" customFormat="false" ht="15" hidden="false" customHeight="true" outlineLevel="0" collapsed="false">
      <c r="A68" s="90" t="s">
        <v>728</v>
      </c>
      <c r="B68" s="220" t="n">
        <f aca="false">B20</f>
        <v>563192.617</v>
      </c>
    </row>
    <row r="69" customFormat="false" ht="15" hidden="false" customHeight="true" outlineLevel="0" collapsed="false">
      <c r="A69" s="229" t="s">
        <v>732</v>
      </c>
      <c r="B69" s="232" t="n">
        <f aca="false">B67+B68</f>
        <v>4101960.074</v>
      </c>
    </row>
    <row r="71" customFormat="false" ht="15" hidden="false" customHeight="true" outlineLevel="0" collapsed="false">
      <c r="A71" s="233" t="s">
        <v>801</v>
      </c>
      <c r="B71" s="233"/>
      <c r="C71" s="233"/>
      <c r="D71" s="233"/>
      <c r="E71" s="233"/>
      <c r="F71" s="233"/>
      <c r="G71" s="233"/>
      <c r="H71" s="233"/>
      <c r="I71" s="233"/>
      <c r="J71" s="233"/>
      <c r="K71" s="233"/>
    </row>
    <row r="72" customFormat="false" ht="15" hidden="false" customHeight="true" outlineLevel="0" collapsed="false">
      <c r="A72" s="234" t="s">
        <v>608</v>
      </c>
      <c r="B72" s="234" t="s">
        <v>609</v>
      </c>
      <c r="C72" s="234" t="s">
        <v>802</v>
      </c>
    </row>
    <row r="73" customFormat="false" ht="31.5" hidden="false" customHeight="true" outlineLevel="0" collapsed="false">
      <c r="A73" s="97" t="s">
        <v>693</v>
      </c>
      <c r="B73" s="90" t="s">
        <v>803</v>
      </c>
      <c r="C73" s="243" t="s">
        <v>804</v>
      </c>
      <c r="D73" s="243"/>
      <c r="E73" s="243"/>
      <c r="F73" s="243"/>
      <c r="G73" s="243"/>
    </row>
    <row r="74" customFormat="false" ht="31.5" hidden="false" customHeight="true" outlineLevel="0" collapsed="false">
      <c r="A74" s="97" t="s">
        <v>684</v>
      </c>
      <c r="B74" s="90" t="s">
        <v>805</v>
      </c>
      <c r="C74" s="243" t="s">
        <v>806</v>
      </c>
      <c r="D74" s="243"/>
      <c r="E74" s="243"/>
      <c r="F74" s="243"/>
      <c r="G74" s="243"/>
    </row>
    <row r="75" customFormat="false" ht="31.5" hidden="false" customHeight="true" outlineLevel="0" collapsed="false">
      <c r="A75" s="97" t="s">
        <v>695</v>
      </c>
      <c r="B75" s="90" t="s">
        <v>807</v>
      </c>
      <c r="C75" s="243" t="s">
        <v>808</v>
      </c>
      <c r="D75" s="243"/>
      <c r="E75" s="243"/>
      <c r="F75" s="243"/>
      <c r="G75" s="243"/>
    </row>
    <row r="76" customFormat="false" ht="31.5" hidden="false" customHeight="true" outlineLevel="0" collapsed="false">
      <c r="A76" s="97" t="s">
        <v>700</v>
      </c>
      <c r="B76" s="90" t="s">
        <v>809</v>
      </c>
      <c r="C76" s="243" t="s">
        <v>810</v>
      </c>
      <c r="D76" s="243"/>
      <c r="E76" s="243"/>
      <c r="F76" s="243"/>
      <c r="G76" s="243"/>
    </row>
    <row r="77" customFormat="false" ht="31.5" hidden="false" customHeight="true" outlineLevel="0" collapsed="false">
      <c r="A77" s="97" t="s">
        <v>698</v>
      </c>
      <c r="B77" s="90" t="s">
        <v>809</v>
      </c>
      <c r="C77" s="243" t="s">
        <v>811</v>
      </c>
      <c r="D77" s="243"/>
      <c r="E77" s="243"/>
      <c r="F77" s="243"/>
      <c r="G77" s="243"/>
    </row>
    <row r="78" customFormat="false" ht="31.5" hidden="false" customHeight="true" outlineLevel="0" collapsed="false">
      <c r="A78" s="97" t="s">
        <v>690</v>
      </c>
      <c r="B78" s="90" t="s">
        <v>812</v>
      </c>
      <c r="C78" s="243" t="s">
        <v>813</v>
      </c>
      <c r="D78" s="243"/>
      <c r="E78" s="243"/>
      <c r="F78" s="243"/>
      <c r="G78" s="243"/>
    </row>
    <row r="80" customFormat="false" ht="15" hidden="false" customHeight="true" outlineLevel="0" collapsed="false">
      <c r="A80" s="244" t="s">
        <v>814</v>
      </c>
      <c r="B80" s="244"/>
      <c r="C80" s="244"/>
      <c r="D80" s="244"/>
      <c r="E80" s="244"/>
      <c r="F80" s="244"/>
      <c r="G80" s="244"/>
      <c r="H80" s="244"/>
      <c r="I80" s="244"/>
      <c r="J80" s="244"/>
      <c r="K80" s="244"/>
    </row>
    <row r="81" customFormat="false" ht="27.75" hidden="false" customHeight="true" outlineLevel="0" collapsed="false">
      <c r="A81" s="97" t="s">
        <v>815</v>
      </c>
      <c r="B81" s="243" t="s">
        <v>816</v>
      </c>
      <c r="C81" s="243"/>
      <c r="D81" s="243"/>
      <c r="E81" s="243"/>
      <c r="F81" s="243"/>
      <c r="G81" s="243"/>
    </row>
    <row r="82" customFormat="false" ht="27.75" hidden="false" customHeight="true" outlineLevel="0" collapsed="false">
      <c r="A82" s="97" t="s">
        <v>817</v>
      </c>
      <c r="B82" s="243" t="s">
        <v>818</v>
      </c>
      <c r="C82" s="243"/>
      <c r="D82" s="243"/>
      <c r="E82" s="243"/>
      <c r="F82" s="243"/>
      <c r="G82" s="243"/>
    </row>
    <row r="83" customFormat="false" ht="27.75" hidden="false" customHeight="true" outlineLevel="0" collapsed="false">
      <c r="A83" s="97" t="s">
        <v>819</v>
      </c>
      <c r="B83" s="243" t="s">
        <v>820</v>
      </c>
      <c r="C83" s="243"/>
      <c r="D83" s="243"/>
      <c r="E83" s="243"/>
      <c r="F83" s="243"/>
      <c r="G83" s="243"/>
    </row>
    <row r="84" customFormat="false" ht="27.75" hidden="false" customHeight="true" outlineLevel="0" collapsed="false">
      <c r="A84" s="97" t="s">
        <v>821</v>
      </c>
      <c r="B84" s="243" t="s">
        <v>822</v>
      </c>
      <c r="C84" s="243"/>
      <c r="D84" s="243"/>
      <c r="E84" s="243"/>
      <c r="F84" s="243"/>
      <c r="G84" s="243"/>
    </row>
    <row r="85" customFormat="false" ht="27.75" hidden="false" customHeight="true" outlineLevel="0" collapsed="false">
      <c r="A85" s="97" t="s">
        <v>823</v>
      </c>
      <c r="B85" s="243" t="s">
        <v>824</v>
      </c>
      <c r="C85" s="243"/>
      <c r="D85" s="243"/>
      <c r="E85" s="243"/>
      <c r="F85" s="243"/>
      <c r="G85" s="243"/>
    </row>
    <row r="86" customFormat="false" ht="27.75" hidden="false" customHeight="true" outlineLevel="0" collapsed="false">
      <c r="A86" s="97" t="s">
        <v>825</v>
      </c>
      <c r="B86" s="243" t="s">
        <v>826</v>
      </c>
      <c r="C86" s="243"/>
      <c r="D86" s="243"/>
      <c r="E86" s="243"/>
      <c r="F86" s="243"/>
      <c r="G86" s="243"/>
    </row>
    <row r="87" customFormat="false" ht="27.75" hidden="false" customHeight="true" outlineLevel="0" collapsed="false">
      <c r="A87" s="97" t="s">
        <v>827</v>
      </c>
      <c r="B87" s="243" t="s">
        <v>828</v>
      </c>
      <c r="C87" s="243"/>
      <c r="D87" s="243"/>
      <c r="E87" s="243"/>
      <c r="F87" s="243"/>
      <c r="G87" s="243"/>
    </row>
    <row r="88" customFormat="false" ht="27.75" hidden="false" customHeight="true" outlineLevel="0" collapsed="false">
      <c r="A88" s="97" t="s">
        <v>829</v>
      </c>
      <c r="B88" s="243" t="s">
        <v>830</v>
      </c>
      <c r="C88" s="243"/>
      <c r="D88" s="243"/>
      <c r="E88" s="243"/>
      <c r="F88" s="243"/>
      <c r="G88" s="243"/>
    </row>
    <row r="89" customFormat="false" ht="27.75" hidden="false" customHeight="true" outlineLevel="0" collapsed="false">
      <c r="A89" s="97" t="s">
        <v>831</v>
      </c>
      <c r="B89" s="243" t="s">
        <v>832</v>
      </c>
      <c r="C89" s="243"/>
      <c r="D89" s="243"/>
      <c r="E89" s="243"/>
      <c r="F89" s="243"/>
      <c r="G89" s="243"/>
    </row>
    <row r="90" customFormat="false" ht="27.75" hidden="false" customHeight="true" outlineLevel="0" collapsed="false">
      <c r="A90" s="97" t="s">
        <v>833</v>
      </c>
      <c r="B90" s="243" t="s">
        <v>834</v>
      </c>
      <c r="C90" s="243"/>
      <c r="D90" s="243"/>
      <c r="E90" s="243"/>
      <c r="F90" s="243"/>
      <c r="G90" s="243"/>
    </row>
    <row r="91" customFormat="false" ht="15" hidden="false" customHeight="true" outlineLevel="0" collapsed="false">
      <c r="A91" s="1" t="s">
        <v>835</v>
      </c>
      <c r="B91" s="1" t="s">
        <v>836</v>
      </c>
    </row>
    <row r="93" customFormat="false" ht="15" hidden="false" customHeight="true" outlineLevel="0" collapsed="false">
      <c r="A93" s="228" t="s">
        <v>837</v>
      </c>
      <c r="B93" s="228"/>
      <c r="C93" s="228"/>
      <c r="D93" s="228"/>
      <c r="E93" s="228"/>
      <c r="F93" s="228"/>
      <c r="G93" s="228"/>
      <c r="H93" s="228"/>
      <c r="I93" s="228"/>
      <c r="J93" s="228"/>
      <c r="K93" s="228"/>
    </row>
    <row r="94" customFormat="false" ht="15" hidden="false" customHeight="true" outlineLevel="0" collapsed="false">
      <c r="A94" s="90" t="s">
        <v>838</v>
      </c>
      <c r="B94" s="245" t="n">
        <v>0.1</v>
      </c>
    </row>
    <row r="95" customFormat="false" ht="15" hidden="false" customHeight="true" outlineLevel="0" collapsed="false">
      <c r="A95" s="90" t="s">
        <v>839</v>
      </c>
      <c r="B95" s="245" t="n">
        <v>150000</v>
      </c>
    </row>
    <row r="96" customFormat="false" ht="15" hidden="false" customHeight="true" outlineLevel="0" collapsed="false">
      <c r="A96" s="1" t="s">
        <v>840</v>
      </c>
      <c r="B96" s="1" t="s">
        <v>841</v>
      </c>
    </row>
    <row r="97" customFormat="false" ht="15" hidden="false" customHeight="true" outlineLevel="0" collapsed="false">
      <c r="A97" s="112" t="s">
        <v>842</v>
      </c>
      <c r="B97" s="112"/>
      <c r="C97" s="112"/>
      <c r="D97" s="112"/>
      <c r="E97" s="112"/>
      <c r="F97" s="112"/>
      <c r="G97" s="112"/>
      <c r="H97" s="112"/>
      <c r="I97" s="112"/>
      <c r="J97" s="112"/>
      <c r="K97" s="112"/>
    </row>
    <row r="98" customFormat="false" ht="15" hidden="false" customHeight="true" outlineLevel="0" collapsed="false">
      <c r="C98" s="99" t="n">
        <v>1</v>
      </c>
      <c r="D98" s="99" t="n">
        <v>2</v>
      </c>
      <c r="E98" s="99" t="n">
        <v>3</v>
      </c>
      <c r="F98" s="99" t="n">
        <v>4</v>
      </c>
      <c r="G98" s="99" t="n">
        <v>5</v>
      </c>
      <c r="H98" s="99" t="n">
        <v>6</v>
      </c>
      <c r="I98" s="99" t="n">
        <v>7</v>
      </c>
      <c r="J98" s="99" t="n">
        <v>8</v>
      </c>
      <c r="K98" s="99" t="n">
        <v>9</v>
      </c>
      <c r="L98" s="99" t="n">
        <v>10</v>
      </c>
      <c r="M98" s="99" t="n">
        <v>11</v>
      </c>
      <c r="N98" s="99" t="n">
        <v>12</v>
      </c>
      <c r="O98" s="99" t="n">
        <v>13</v>
      </c>
      <c r="P98" s="99" t="n">
        <v>14</v>
      </c>
      <c r="Q98" s="99" t="n">
        <v>15</v>
      </c>
      <c r="R98" s="99" t="n">
        <v>16</v>
      </c>
      <c r="S98" s="99" t="n">
        <v>17</v>
      </c>
      <c r="T98" s="99" t="n">
        <v>18</v>
      </c>
      <c r="U98" s="99" t="n">
        <v>19</v>
      </c>
      <c r="V98" s="99" t="n">
        <v>20</v>
      </c>
      <c r="W98" s="99" t="n">
        <v>21</v>
      </c>
      <c r="X98" s="99" t="n">
        <v>22</v>
      </c>
      <c r="Y98" s="99" t="n">
        <v>23</v>
      </c>
      <c r="Z98" s="99" t="n">
        <v>24</v>
      </c>
      <c r="AA98" s="99" t="n">
        <v>25</v>
      </c>
      <c r="AB98" s="99" t="n">
        <v>26</v>
      </c>
      <c r="AC98" s="99" t="n">
        <v>27</v>
      </c>
      <c r="AD98" s="99" t="n">
        <v>28</v>
      </c>
      <c r="AE98" s="99" t="n">
        <v>29</v>
      </c>
      <c r="AF98" s="99" t="n">
        <v>30</v>
      </c>
      <c r="AG98" s="99" t="n">
        <v>31</v>
      </c>
      <c r="AH98" s="99" t="n">
        <v>32</v>
      </c>
      <c r="AI98" s="99" t="n">
        <v>33</v>
      </c>
      <c r="AJ98" s="99" t="n">
        <v>34</v>
      </c>
      <c r="AK98" s="99" t="n">
        <v>35</v>
      </c>
      <c r="AL98" s="99" t="n">
        <v>36</v>
      </c>
      <c r="AM98" s="99" t="n">
        <v>37</v>
      </c>
      <c r="AN98" s="99" t="n">
        <v>38</v>
      </c>
      <c r="AO98" s="99" t="n">
        <v>39</v>
      </c>
      <c r="AP98" s="99" t="n">
        <v>40</v>
      </c>
      <c r="AQ98" s="99" t="n">
        <v>41</v>
      </c>
      <c r="AR98" s="99" t="n">
        <v>42</v>
      </c>
      <c r="AS98" s="99" t="n">
        <v>43</v>
      </c>
      <c r="AT98" s="99" t="n">
        <v>44</v>
      </c>
      <c r="AU98" s="99" t="n">
        <v>45</v>
      </c>
      <c r="AV98" s="99" t="n">
        <v>46</v>
      </c>
      <c r="AW98" s="99" t="n">
        <v>47</v>
      </c>
      <c r="AX98" s="99" t="n">
        <v>48</v>
      </c>
      <c r="AY98" s="99" t="n">
        <v>49</v>
      </c>
      <c r="AZ98" s="99" t="n">
        <v>50</v>
      </c>
      <c r="BA98" s="99" t="n">
        <v>51</v>
      </c>
      <c r="BB98" s="99" t="n">
        <v>52</v>
      </c>
      <c r="BC98" s="99" t="n">
        <v>53</v>
      </c>
      <c r="BD98" s="99" t="n">
        <v>54</v>
      </c>
      <c r="BE98" s="99" t="n">
        <v>55</v>
      </c>
      <c r="BF98" s="99" t="n">
        <v>56</v>
      </c>
      <c r="BG98" s="99" t="n">
        <v>57</v>
      </c>
      <c r="BH98" s="99" t="n">
        <v>58</v>
      </c>
      <c r="BI98" s="99" t="n">
        <v>59</v>
      </c>
      <c r="BJ98" s="99" t="n">
        <v>60</v>
      </c>
      <c r="BK98" s="99" t="n">
        <v>61</v>
      </c>
      <c r="BL98" s="99" t="n">
        <v>62</v>
      </c>
      <c r="BM98" s="99" t="n">
        <v>63</v>
      </c>
      <c r="BN98" s="99" t="n">
        <v>64</v>
      </c>
      <c r="BO98" s="99" t="n">
        <v>65</v>
      </c>
      <c r="BP98" s="99" t="n">
        <v>66</v>
      </c>
      <c r="BQ98" s="99" t="n">
        <v>67</v>
      </c>
      <c r="BR98" s="99" t="n">
        <v>68</v>
      </c>
      <c r="BS98" s="99" t="n">
        <v>69</v>
      </c>
      <c r="BT98" s="99" t="n">
        <v>70</v>
      </c>
      <c r="BU98" s="99" t="n">
        <v>71</v>
      </c>
      <c r="BV98" s="99" t="n">
        <v>72</v>
      </c>
      <c r="BW98" s="99" t="n">
        <v>73</v>
      </c>
      <c r="BX98" s="99" t="n">
        <v>74</v>
      </c>
      <c r="BY98" s="99" t="n">
        <v>75</v>
      </c>
      <c r="BZ98" s="99" t="n">
        <v>76</v>
      </c>
      <c r="CA98" s="99" t="n">
        <v>77</v>
      </c>
      <c r="CB98" s="99" t="n">
        <v>78</v>
      </c>
      <c r="CC98" s="99" t="n">
        <v>79</v>
      </c>
      <c r="CD98" s="99" t="n">
        <v>80</v>
      </c>
      <c r="CE98" s="99" t="n">
        <v>81</v>
      </c>
      <c r="CF98" s="99" t="n">
        <v>82</v>
      </c>
      <c r="CG98" s="99" t="n">
        <v>83</v>
      </c>
      <c r="CH98" s="99" t="n">
        <v>84</v>
      </c>
    </row>
    <row r="99" customFormat="false" ht="15" hidden="false" customHeight="true" outlineLevel="0" collapsed="false">
      <c r="A99" s="99" t="s">
        <v>565</v>
      </c>
      <c r="B99" s="246" t="n">
        <f aca="false">SUM(C99:CH99)</f>
        <v>9009665</v>
      </c>
      <c r="L99" s="247"/>
      <c r="M99" s="247"/>
      <c r="N99" s="247"/>
      <c r="O99" s="247" t="n">
        <v>45050.36</v>
      </c>
      <c r="P99" s="247" t="n">
        <v>45050.36</v>
      </c>
      <c r="Q99" s="247" t="n">
        <v>45050.36</v>
      </c>
      <c r="R99" s="247" t="n">
        <v>45050.36</v>
      </c>
      <c r="S99" s="247" t="n">
        <v>45050.36</v>
      </c>
      <c r="T99" s="247" t="n">
        <v>45050.36</v>
      </c>
      <c r="U99" s="247" t="n">
        <v>70944.52</v>
      </c>
      <c r="V99" s="247" t="n">
        <v>96838.68</v>
      </c>
      <c r="W99" s="247" t="n">
        <v>122732.84</v>
      </c>
      <c r="X99" s="247" t="n">
        <v>148626.99</v>
      </c>
      <c r="Y99" s="247" t="n">
        <v>174521.16</v>
      </c>
      <c r="Z99" s="247" t="n">
        <v>200415.31</v>
      </c>
      <c r="AA99" s="247" t="n">
        <v>226309.46</v>
      </c>
      <c r="AB99" s="247" t="n">
        <v>252203.62</v>
      </c>
      <c r="AC99" s="247" t="n">
        <v>278097.79</v>
      </c>
      <c r="AD99" s="247" t="n">
        <v>303991.94</v>
      </c>
      <c r="AE99" s="247" t="n">
        <v>329886.11</v>
      </c>
      <c r="AF99" s="247" t="n">
        <v>400830.61</v>
      </c>
      <c r="AG99" s="247" t="n">
        <v>311512.01</v>
      </c>
      <c r="AH99" s="247" t="n">
        <v>312294.13</v>
      </c>
      <c r="AI99" s="247" t="n">
        <v>313076.23</v>
      </c>
      <c r="AJ99" s="247" t="n">
        <v>313858.34</v>
      </c>
      <c r="AK99" s="247" t="n">
        <v>314640.44</v>
      </c>
      <c r="AL99" s="247" t="n">
        <v>341316.71</v>
      </c>
      <c r="AM99" s="247" t="n">
        <v>316204.67</v>
      </c>
      <c r="AN99" s="247" t="n">
        <v>291092.62</v>
      </c>
      <c r="AO99" s="247" t="n">
        <v>265980.57</v>
      </c>
      <c r="AP99" s="247" t="n">
        <v>240868.51</v>
      </c>
      <c r="AQ99" s="247" t="n">
        <v>215756.47</v>
      </c>
      <c r="AR99" s="247" t="n">
        <v>190644.42</v>
      </c>
      <c r="AS99" s="247" t="n">
        <v>165532.36</v>
      </c>
      <c r="AT99" s="247" t="n">
        <v>140420.32</v>
      </c>
      <c r="AU99" s="247" t="n">
        <v>115308.27</v>
      </c>
      <c r="AV99" s="247" t="n">
        <v>196095.1</v>
      </c>
      <c r="AW99" s="247" t="n">
        <v>170200.95</v>
      </c>
      <c r="AX99" s="247" t="n">
        <v>119194.75</v>
      </c>
      <c r="AY99" s="247" t="n">
        <v>118412.64</v>
      </c>
      <c r="AZ99" s="247" t="n">
        <v>117630.52</v>
      </c>
      <c r="BA99" s="247" t="n">
        <v>116848.42</v>
      </c>
      <c r="BB99" s="247" t="n">
        <v>116066.31</v>
      </c>
      <c r="BC99" s="247" t="n">
        <v>115284.2</v>
      </c>
      <c r="BD99" s="247" t="n">
        <v>114502.09</v>
      </c>
      <c r="BE99" s="247" t="n">
        <v>113719.98</v>
      </c>
      <c r="BF99" s="247" t="n">
        <v>112937.87</v>
      </c>
      <c r="BG99" s="247" t="n">
        <v>112155.76</v>
      </c>
      <c r="BH99" s="247" t="n">
        <v>111373.65</v>
      </c>
      <c r="BI99" s="247" t="n">
        <v>110591.54</v>
      </c>
      <c r="BJ99" s="247" t="n">
        <v>109809.44</v>
      </c>
      <c r="BK99" s="1" t="n">
        <v>109027.32</v>
      </c>
      <c r="BL99" s="1" t="n">
        <v>108245.21</v>
      </c>
      <c r="BM99" s="1" t="n">
        <v>213361.99</v>
      </c>
    </row>
    <row r="100" customFormat="false" ht="15" hidden="false" customHeight="true" outlineLevel="0" collapsed="false">
      <c r="A100" s="99" t="s">
        <v>725</v>
      </c>
      <c r="B100" s="246" t="n">
        <f aca="false">SUM(C100:CH100)</f>
        <v>-1500039</v>
      </c>
      <c r="C100" s="1" t="n">
        <v>0</v>
      </c>
      <c r="D100" s="1" t="n">
        <v>0</v>
      </c>
      <c r="E100" s="1" t="n">
        <v>0</v>
      </c>
      <c r="F100" s="1" t="n">
        <v>0</v>
      </c>
      <c r="G100" s="1" t="n">
        <v>0</v>
      </c>
      <c r="H100" s="1" t="n">
        <v>0</v>
      </c>
      <c r="I100" s="1" t="n">
        <v>0</v>
      </c>
      <c r="J100" s="1" t="n">
        <v>0</v>
      </c>
      <c r="K100" s="1" t="n">
        <v>0</v>
      </c>
      <c r="L100" s="247" t="n">
        <v>0</v>
      </c>
      <c r="M100" s="247" t="n">
        <v>0</v>
      </c>
      <c r="N100" s="247" t="n">
        <v>0</v>
      </c>
      <c r="O100" s="247" t="n">
        <v>0</v>
      </c>
      <c r="P100" s="247" t="n">
        <v>-10417</v>
      </c>
      <c r="Q100" s="247" t="n">
        <v>-10417</v>
      </c>
      <c r="R100" s="247" t="n">
        <v>-10417</v>
      </c>
      <c r="S100" s="247" t="n">
        <v>-17917</v>
      </c>
      <c r="T100" s="247" t="n">
        <v>-17917</v>
      </c>
      <c r="U100" s="247" t="n">
        <v>-17917</v>
      </c>
      <c r="V100" s="247" t="n">
        <v>-17917</v>
      </c>
      <c r="W100" s="247" t="n">
        <v>-17917</v>
      </c>
      <c r="X100" s="247" t="n">
        <v>-27084</v>
      </c>
      <c r="Y100" s="247" t="n">
        <v>-27084</v>
      </c>
      <c r="Z100" s="247" t="n">
        <v>-27084</v>
      </c>
      <c r="AA100" s="247" t="n">
        <v>-27084</v>
      </c>
      <c r="AB100" s="247" t="n">
        <v>-27084</v>
      </c>
      <c r="AC100" s="247" t="n">
        <v>-27084</v>
      </c>
      <c r="AD100" s="247" t="n">
        <v>-27084</v>
      </c>
      <c r="AE100" s="247" t="n">
        <v>-27084</v>
      </c>
      <c r="AF100" s="247" t="n">
        <v>-37501</v>
      </c>
      <c r="AG100" s="247" t="n">
        <v>-37501</v>
      </c>
      <c r="AH100" s="247" t="n">
        <v>-37501</v>
      </c>
      <c r="AI100" s="247" t="n">
        <v>-37501</v>
      </c>
      <c r="AJ100" s="247" t="n">
        <v>-37501</v>
      </c>
      <c r="AK100" s="247" t="n">
        <v>-37501</v>
      </c>
      <c r="AL100" s="247" t="n">
        <v>-37501</v>
      </c>
      <c r="AM100" s="247" t="n">
        <v>-37501</v>
      </c>
      <c r="AN100" s="247" t="n">
        <v>-37501</v>
      </c>
      <c r="AO100" s="247" t="n">
        <v>-37501</v>
      </c>
      <c r="AP100" s="247" t="n">
        <v>-37501</v>
      </c>
      <c r="AQ100" s="247" t="n">
        <v>-37501</v>
      </c>
      <c r="AR100" s="247" t="n">
        <v>-37501</v>
      </c>
      <c r="AS100" s="247" t="n">
        <v>-37501</v>
      </c>
      <c r="AT100" s="247" t="n">
        <v>-37501</v>
      </c>
      <c r="AU100" s="247" t="n">
        <v>-37501</v>
      </c>
      <c r="AV100" s="247" t="n">
        <v>-37501</v>
      </c>
      <c r="AW100" s="247" t="n">
        <v>-37501</v>
      </c>
      <c r="AX100" s="247" t="n">
        <v>-37501</v>
      </c>
      <c r="AY100" s="247" t="n">
        <v>-37501</v>
      </c>
      <c r="AZ100" s="247" t="n">
        <v>-37501</v>
      </c>
      <c r="BA100" s="247" t="n">
        <v>-37501</v>
      </c>
      <c r="BB100" s="247" t="n">
        <v>-37501</v>
      </c>
      <c r="BC100" s="247" t="n">
        <v>-37501</v>
      </c>
      <c r="BD100" s="247" t="n">
        <v>-37501</v>
      </c>
      <c r="BE100" s="247" t="n">
        <v>-37501</v>
      </c>
      <c r="BF100" s="247" t="n">
        <v>-37501</v>
      </c>
      <c r="BG100" s="247" t="n">
        <v>-37501</v>
      </c>
      <c r="BH100" s="1" t="n">
        <v>-37501</v>
      </c>
      <c r="BI100" s="1" t="n">
        <v>-37501</v>
      </c>
      <c r="BJ100" s="1" t="n">
        <v>-37501</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row>
    <row r="101" customFormat="false" ht="15" hidden="false" customHeight="true" outlineLevel="0" collapsed="false">
      <c r="A101" s="99" t="s">
        <v>726</v>
      </c>
      <c r="B101" s="246" t="n">
        <f aca="false">SUM(C101:CH101)</f>
        <v>-456000</v>
      </c>
      <c r="L101" s="247"/>
      <c r="M101" s="247"/>
      <c r="N101" s="247"/>
      <c r="O101" s="247" t="n">
        <v>-9500</v>
      </c>
      <c r="P101" s="247" t="n">
        <v>-9500</v>
      </c>
      <c r="Q101" s="247" t="n">
        <v>-9500</v>
      </c>
      <c r="R101" s="247" t="n">
        <v>-9500</v>
      </c>
      <c r="S101" s="247" t="n">
        <v>-9500</v>
      </c>
      <c r="T101" s="247" t="n">
        <v>-9500</v>
      </c>
      <c r="U101" s="247" t="n">
        <v>-9500</v>
      </c>
      <c r="V101" s="247" t="n">
        <v>-9500</v>
      </c>
      <c r="W101" s="247" t="n">
        <v>-9500</v>
      </c>
      <c r="X101" s="247" t="n">
        <v>-9500</v>
      </c>
      <c r="Y101" s="247" t="n">
        <v>-9500</v>
      </c>
      <c r="Z101" s="247" t="n">
        <v>-9500</v>
      </c>
      <c r="AA101" s="247" t="n">
        <v>-9500</v>
      </c>
      <c r="AB101" s="247" t="n">
        <v>-9500</v>
      </c>
      <c r="AC101" s="247" t="n">
        <v>-9500</v>
      </c>
      <c r="AD101" s="247" t="n">
        <v>-9500</v>
      </c>
      <c r="AE101" s="247" t="n">
        <v>-9500</v>
      </c>
      <c r="AF101" s="247" t="n">
        <v>-9500</v>
      </c>
      <c r="AG101" s="247" t="n">
        <v>-9500</v>
      </c>
      <c r="AH101" s="247" t="n">
        <v>-9500</v>
      </c>
      <c r="AI101" s="247" t="n">
        <v>-9500</v>
      </c>
      <c r="AJ101" s="247" t="n">
        <v>-9500</v>
      </c>
      <c r="AK101" s="247" t="n">
        <v>-9500</v>
      </c>
      <c r="AL101" s="247" t="n">
        <v>-9500</v>
      </c>
      <c r="AM101" s="247" t="n">
        <v>-9500</v>
      </c>
      <c r="AN101" s="247" t="n">
        <v>-9500</v>
      </c>
      <c r="AO101" s="247" t="n">
        <v>-9500</v>
      </c>
      <c r="AP101" s="247" t="n">
        <v>-9500</v>
      </c>
      <c r="AQ101" s="247" t="n">
        <v>-9500</v>
      </c>
      <c r="AR101" s="247" t="n">
        <v>-9500</v>
      </c>
      <c r="AS101" s="247" t="n">
        <v>-9500</v>
      </c>
      <c r="AT101" s="247" t="n">
        <v>-9500</v>
      </c>
      <c r="AU101" s="247" t="n">
        <v>-9500</v>
      </c>
      <c r="AV101" s="247" t="n">
        <v>-9500</v>
      </c>
      <c r="AW101" s="247" t="n">
        <v>-9500</v>
      </c>
      <c r="AX101" s="247" t="n">
        <v>-9500</v>
      </c>
      <c r="AY101" s="247" t="n">
        <v>-9500</v>
      </c>
      <c r="AZ101" s="247" t="n">
        <v>-9500</v>
      </c>
      <c r="BA101" s="247" t="n">
        <v>-9500</v>
      </c>
      <c r="BB101" s="247" t="n">
        <v>-9500</v>
      </c>
      <c r="BC101" s="247" t="n">
        <v>-9500</v>
      </c>
      <c r="BD101" s="247" t="n">
        <v>-9500</v>
      </c>
      <c r="BE101" s="247" t="n">
        <v>-9500</v>
      </c>
      <c r="BF101" s="247" t="n">
        <v>-9500</v>
      </c>
      <c r="BG101" s="247" t="n">
        <v>-9500</v>
      </c>
      <c r="BH101" s="1" t="n">
        <v>-9500</v>
      </c>
      <c r="BI101" s="1" t="n">
        <v>-9500</v>
      </c>
      <c r="BJ101" s="1" t="n">
        <v>-9500</v>
      </c>
    </row>
    <row r="102" customFormat="false" ht="15" hidden="false" customHeight="true" outlineLevel="0" collapsed="false">
      <c r="A102" s="99" t="s">
        <v>727</v>
      </c>
      <c r="B102" s="246" t="n">
        <f aca="false">SUM(C102:CH102)</f>
        <v>7053626</v>
      </c>
      <c r="C102" s="248" t="n">
        <f aca="false">C99+C100+C101</f>
        <v>0</v>
      </c>
      <c r="D102" s="248" t="n">
        <f aca="false">D99+D100+D101</f>
        <v>0</v>
      </c>
      <c r="E102" s="248" t="n">
        <f aca="false">E99+E100+E101</f>
        <v>0</v>
      </c>
      <c r="F102" s="248" t="n">
        <f aca="false">F99+F100+F101</f>
        <v>0</v>
      </c>
      <c r="G102" s="248" t="n">
        <f aca="false">G99+G100+G101</f>
        <v>0</v>
      </c>
      <c r="H102" s="248" t="n">
        <f aca="false">H99+H100+H101</f>
        <v>0</v>
      </c>
      <c r="I102" s="248" t="n">
        <f aca="false">I99+I100+I101</f>
        <v>0</v>
      </c>
      <c r="J102" s="248" t="n">
        <f aca="false">J99+J100+J101</f>
        <v>0</v>
      </c>
      <c r="K102" s="248" t="n">
        <f aca="false">K99+K100+K101</f>
        <v>0</v>
      </c>
      <c r="L102" s="248" t="n">
        <f aca="false">L99+L100+L101</f>
        <v>0</v>
      </c>
      <c r="M102" s="248" t="n">
        <f aca="false">M99+M100+M101</f>
        <v>0</v>
      </c>
      <c r="N102" s="248" t="n">
        <f aca="false">N99+N100+N101</f>
        <v>0</v>
      </c>
      <c r="O102" s="248" t="n">
        <f aca="false">O99+O100+O101</f>
        <v>35550.36</v>
      </c>
      <c r="P102" s="248" t="n">
        <f aca="false">P99+P100+P101</f>
        <v>25133.36</v>
      </c>
      <c r="Q102" s="248" t="n">
        <f aca="false">Q99+Q100+Q101</f>
        <v>25133.36</v>
      </c>
      <c r="R102" s="248" t="n">
        <f aca="false">R99+R100+R101</f>
        <v>25133.36</v>
      </c>
      <c r="S102" s="248" t="n">
        <f aca="false">S99+S100+S101</f>
        <v>17633.36</v>
      </c>
      <c r="T102" s="248" t="n">
        <f aca="false">T99+T100+T101</f>
        <v>17633.36</v>
      </c>
      <c r="U102" s="248" t="n">
        <f aca="false">U99+U100+U101</f>
        <v>43527.52</v>
      </c>
      <c r="V102" s="248" t="n">
        <f aca="false">V99+V100+V101</f>
        <v>69421.68</v>
      </c>
      <c r="W102" s="248" t="n">
        <f aca="false">W99+W100+W101</f>
        <v>95315.84</v>
      </c>
      <c r="X102" s="248" t="n">
        <f aca="false">X99+X100+X101</f>
        <v>112042.99</v>
      </c>
      <c r="Y102" s="248" t="n">
        <f aca="false">Y99+Y100+Y101</f>
        <v>137937.16</v>
      </c>
      <c r="Z102" s="248" t="n">
        <f aca="false">Z99+Z100+Z101</f>
        <v>163831.31</v>
      </c>
      <c r="AA102" s="248" t="n">
        <f aca="false">AA99+AA100+AA101</f>
        <v>189725.46</v>
      </c>
      <c r="AB102" s="248" t="n">
        <f aca="false">AB99+AB100+AB101</f>
        <v>215619.62</v>
      </c>
      <c r="AC102" s="248" t="n">
        <f aca="false">AC99+AC100+AC101</f>
        <v>241513.79</v>
      </c>
      <c r="AD102" s="248" t="n">
        <f aca="false">AD99+AD100+AD101</f>
        <v>267407.94</v>
      </c>
      <c r="AE102" s="248" t="n">
        <f aca="false">AE99+AE100+AE101</f>
        <v>293302.11</v>
      </c>
      <c r="AF102" s="248" t="n">
        <f aca="false">AF99+AF100+AF101</f>
        <v>353829.61</v>
      </c>
      <c r="AG102" s="248" t="n">
        <f aca="false">AG99+AG100+AG101</f>
        <v>264511.01</v>
      </c>
      <c r="AH102" s="248" t="n">
        <f aca="false">AH99+AH100+AH101</f>
        <v>265293.13</v>
      </c>
      <c r="AI102" s="248" t="n">
        <f aca="false">AI99+AI100+AI101</f>
        <v>266075.23</v>
      </c>
      <c r="AJ102" s="248" t="n">
        <f aca="false">AJ99+AJ100+AJ101</f>
        <v>266857.34</v>
      </c>
      <c r="AK102" s="248" t="n">
        <f aca="false">AK99+AK100+AK101</f>
        <v>267639.44</v>
      </c>
      <c r="AL102" s="248" t="n">
        <f aca="false">AL99+AL100+AL101</f>
        <v>294315.71</v>
      </c>
      <c r="AM102" s="248" t="n">
        <f aca="false">AM99+AM100+AM101</f>
        <v>269203.67</v>
      </c>
      <c r="AN102" s="248" t="n">
        <f aca="false">AN99+AN100+AN101</f>
        <v>244091.62</v>
      </c>
      <c r="AO102" s="248" t="n">
        <f aca="false">AO99+AO100+AO101</f>
        <v>218979.57</v>
      </c>
      <c r="AP102" s="248" t="n">
        <f aca="false">AP99+AP100+AP101</f>
        <v>193867.51</v>
      </c>
      <c r="AQ102" s="248" t="n">
        <f aca="false">AQ99+AQ100+AQ101</f>
        <v>168755.47</v>
      </c>
      <c r="AR102" s="248" t="n">
        <f aca="false">AR99+AR100+AR101</f>
        <v>143643.42</v>
      </c>
      <c r="AS102" s="248" t="n">
        <f aca="false">AS99+AS100+AS101</f>
        <v>118531.36</v>
      </c>
      <c r="AT102" s="248" t="n">
        <f aca="false">AT99+AT100+AT101</f>
        <v>93419.32</v>
      </c>
      <c r="AU102" s="248" t="n">
        <f aca="false">AU99+AU100+AU101</f>
        <v>68307.27</v>
      </c>
      <c r="AV102" s="248" t="n">
        <f aca="false">AV99+AV100+AV101</f>
        <v>149094.1</v>
      </c>
      <c r="AW102" s="248" t="n">
        <f aca="false">AW99+AW100+AW101</f>
        <v>123199.95</v>
      </c>
      <c r="AX102" s="248" t="n">
        <f aca="false">AX99+AX100+AX101</f>
        <v>72193.75</v>
      </c>
      <c r="AY102" s="248" t="n">
        <f aca="false">AY99+AY100+AY101</f>
        <v>71411.64</v>
      </c>
      <c r="AZ102" s="248" t="n">
        <f aca="false">AZ99+AZ100+AZ101</f>
        <v>70629.52</v>
      </c>
      <c r="BA102" s="248" t="n">
        <f aca="false">BA99+BA100+BA101</f>
        <v>69847.42</v>
      </c>
      <c r="BB102" s="248" t="n">
        <f aca="false">BB99+BB100+BB101</f>
        <v>69065.31</v>
      </c>
      <c r="BC102" s="248" t="n">
        <f aca="false">BC99+BC100+BC101</f>
        <v>68283.2</v>
      </c>
      <c r="BD102" s="248" t="n">
        <f aca="false">BD99+BD100+BD101</f>
        <v>67501.09</v>
      </c>
      <c r="BE102" s="248" t="n">
        <f aca="false">BE99+BE100+BE101</f>
        <v>66718.98</v>
      </c>
      <c r="BF102" s="248" t="n">
        <f aca="false">BF99+BF100+BF101</f>
        <v>65936.87</v>
      </c>
      <c r="BG102" s="248" t="n">
        <f aca="false">BG99+BG100+BG101</f>
        <v>65154.76</v>
      </c>
      <c r="BH102" s="248" t="n">
        <f aca="false">BH99+BH100+BH101</f>
        <v>64372.65</v>
      </c>
      <c r="BI102" s="248" t="n">
        <f aca="false">BI99+BI100+BI101</f>
        <v>63590.54</v>
      </c>
      <c r="BJ102" s="248" t="n">
        <f aca="false">BJ99+BJ100+BJ101</f>
        <v>62808.44</v>
      </c>
      <c r="BK102" s="248" t="n">
        <f aca="false">BK99+BK100+BK101</f>
        <v>109027.32</v>
      </c>
      <c r="BL102" s="248" t="n">
        <f aca="false">BL99+BL100+BL101</f>
        <v>108245.21</v>
      </c>
      <c r="BM102" s="248" t="n">
        <f aca="false">BM99+BM100+BM101</f>
        <v>213361.99</v>
      </c>
      <c r="BN102" s="248" t="n">
        <f aca="false">BN99+BN100+BN101</f>
        <v>0</v>
      </c>
      <c r="BO102" s="248" t="n">
        <f aca="false">BO99+BO100+BO101</f>
        <v>0</v>
      </c>
      <c r="BP102" s="248" t="n">
        <f aca="false">BP99+BP100+BP101</f>
        <v>0</v>
      </c>
      <c r="BQ102" s="248" t="n">
        <f aca="false">BQ99+BQ100+BQ101</f>
        <v>0</v>
      </c>
      <c r="BR102" s="248" t="n">
        <f aca="false">BR99+BR100+BR101</f>
        <v>0</v>
      </c>
      <c r="BS102" s="248" t="n">
        <f aca="false">BS99+BS100+BS101</f>
        <v>0</v>
      </c>
      <c r="BT102" s="248" t="n">
        <f aca="false">BT99+BT100+BT101</f>
        <v>0</v>
      </c>
      <c r="BU102" s="248" t="n">
        <f aca="false">BU99+BU100+BU101</f>
        <v>0</v>
      </c>
      <c r="BV102" s="248" t="n">
        <f aca="false">BV99+BV100+BV101</f>
        <v>0</v>
      </c>
      <c r="BW102" s="248" t="n">
        <f aca="false">BW99+BW100+BW101</f>
        <v>0</v>
      </c>
      <c r="BX102" s="248" t="n">
        <f aca="false">BX99+BX100+BX101</f>
        <v>0</v>
      </c>
      <c r="BY102" s="248" t="n">
        <f aca="false">BY99+BY100+BY101</f>
        <v>0</v>
      </c>
      <c r="BZ102" s="248" t="n">
        <f aca="false">BZ99+BZ100+BZ101</f>
        <v>0</v>
      </c>
      <c r="CA102" s="248" t="n">
        <f aca="false">CA99+CA100+CA101</f>
        <v>0</v>
      </c>
      <c r="CB102" s="248" t="n">
        <f aca="false">CB99+CB100+CB101</f>
        <v>0</v>
      </c>
      <c r="CC102" s="248" t="n">
        <f aca="false">CC99+CC100+CC101</f>
        <v>0</v>
      </c>
      <c r="CD102" s="248" t="n">
        <f aca="false">CD99+CD100+CD101</f>
        <v>0</v>
      </c>
      <c r="CE102" s="248" t="n">
        <f aca="false">CE99+CE100+CE101</f>
        <v>0</v>
      </c>
      <c r="CF102" s="248" t="n">
        <f aca="false">CF99+CF100+CF101</f>
        <v>0</v>
      </c>
      <c r="CG102" s="248" t="n">
        <f aca="false">CG99+CG100+CG101</f>
        <v>0</v>
      </c>
      <c r="CH102" s="248" t="n">
        <f aca="false">CH99+CH100+CH101</f>
        <v>0</v>
      </c>
    </row>
    <row r="103" customFormat="false" ht="15" hidden="false" customHeight="true" outlineLevel="0" collapsed="false">
      <c r="A103" s="99" t="s">
        <v>728</v>
      </c>
      <c r="B103" s="246" t="n">
        <f aca="false">SUM(C103:CH103)</f>
        <v>563192.617</v>
      </c>
      <c r="C103" s="248" t="n">
        <f aca="false">MIN(C99*$B$94,12500)</f>
        <v>0</v>
      </c>
      <c r="D103" s="248" t="n">
        <f aca="false">MIN(D99*$B$94,12500)</f>
        <v>0</v>
      </c>
      <c r="E103" s="248" t="n">
        <f aca="false">MIN(E99*$B$94,12500)</f>
        <v>0</v>
      </c>
      <c r="F103" s="248" t="n">
        <f aca="false">MIN(F99*$B$94,12500)</f>
        <v>0</v>
      </c>
      <c r="G103" s="248" t="n">
        <f aca="false">MIN(G99*$B$94,12500)</f>
        <v>0</v>
      </c>
      <c r="H103" s="248" t="n">
        <f aca="false">MIN(H99*$B$94,12500)</f>
        <v>0</v>
      </c>
      <c r="I103" s="248" t="n">
        <f aca="false">MIN(I99*$B$94,12500)</f>
        <v>0</v>
      </c>
      <c r="J103" s="248" t="n">
        <f aca="false">MIN(J99*$B$94,12500)</f>
        <v>0</v>
      </c>
      <c r="K103" s="248" t="n">
        <f aca="false">MIN(K99*$B$94,12500)</f>
        <v>0</v>
      </c>
      <c r="L103" s="248" t="n">
        <f aca="false">MIN(L99*$B$94,12500)</f>
        <v>0</v>
      </c>
      <c r="M103" s="248" t="n">
        <f aca="false">MIN(M99*$B$94,12500)</f>
        <v>0</v>
      </c>
      <c r="N103" s="248" t="n">
        <f aca="false">MIN(N99*$B$94,12500)</f>
        <v>0</v>
      </c>
      <c r="O103" s="248" t="n">
        <f aca="false">MIN(O99*$B$94,12500)</f>
        <v>4505.036</v>
      </c>
      <c r="P103" s="248" t="n">
        <f aca="false">MIN(P99*$B$94,12500)</f>
        <v>4505.036</v>
      </c>
      <c r="Q103" s="248" t="n">
        <f aca="false">MIN(Q99*$B$94,12500)</f>
        <v>4505.036</v>
      </c>
      <c r="R103" s="248" t="n">
        <f aca="false">MIN(R99*$B$94,12500)</f>
        <v>4505.036</v>
      </c>
      <c r="S103" s="248" t="n">
        <f aca="false">MIN(S99*$B$94,12500)</f>
        <v>4505.036</v>
      </c>
      <c r="T103" s="248" t="n">
        <f aca="false">MIN(T99*$B$94,12500)</f>
        <v>4505.036</v>
      </c>
      <c r="U103" s="248" t="n">
        <f aca="false">MIN(U99*$B$94,12500)</f>
        <v>7094.452</v>
      </c>
      <c r="V103" s="248" t="n">
        <f aca="false">MIN(V99*$B$94,12500)</f>
        <v>9683.868</v>
      </c>
      <c r="W103" s="248" t="n">
        <f aca="false">MIN(W99*$B$94,12500)</f>
        <v>12273.284</v>
      </c>
      <c r="X103" s="248" t="n">
        <f aca="false">MIN(X99*$B$94,12500)</f>
        <v>12500</v>
      </c>
      <c r="Y103" s="248" t="n">
        <f aca="false">MIN(Y99*$B$94,12500)</f>
        <v>12500</v>
      </c>
      <c r="Z103" s="248" t="n">
        <f aca="false">MIN(Z99*$B$94,12500)</f>
        <v>12500</v>
      </c>
      <c r="AA103" s="248" t="n">
        <f aca="false">MIN(AA99*$B$94,12500)</f>
        <v>12500</v>
      </c>
      <c r="AB103" s="248" t="n">
        <f aca="false">MIN(AB99*$B$94,12500)</f>
        <v>12500</v>
      </c>
      <c r="AC103" s="248" t="n">
        <f aca="false">MIN(AC99*$B$94,12500)</f>
        <v>12500</v>
      </c>
      <c r="AD103" s="248" t="n">
        <f aca="false">MIN(AD99*$B$94,12500)</f>
        <v>12500</v>
      </c>
      <c r="AE103" s="248" t="n">
        <f aca="false">MIN(AE99*$B$94,12500)</f>
        <v>12500</v>
      </c>
      <c r="AF103" s="248" t="n">
        <f aca="false">MIN(AF99*$B$94,12500)</f>
        <v>12500</v>
      </c>
      <c r="AG103" s="248" t="n">
        <f aca="false">MIN(AG99*$B$94,12500)</f>
        <v>12500</v>
      </c>
      <c r="AH103" s="248" t="n">
        <f aca="false">MIN(AH99*$B$94,12500)</f>
        <v>12500</v>
      </c>
      <c r="AI103" s="248" t="n">
        <f aca="false">MIN(AI99*$B$94,12500)</f>
        <v>12500</v>
      </c>
      <c r="AJ103" s="248" t="n">
        <f aca="false">MIN(AJ99*$B$94,12500)</f>
        <v>12500</v>
      </c>
      <c r="AK103" s="248" t="n">
        <f aca="false">MIN(AK99*$B$94,12500)</f>
        <v>12500</v>
      </c>
      <c r="AL103" s="248" t="n">
        <f aca="false">MIN(AL99*$B$94,12500)</f>
        <v>12500</v>
      </c>
      <c r="AM103" s="248" t="n">
        <f aca="false">MIN(AM99*$B$94,12500)</f>
        <v>12500</v>
      </c>
      <c r="AN103" s="248" t="n">
        <f aca="false">MIN(AN99*$B$94,12500)</f>
        <v>12500</v>
      </c>
      <c r="AO103" s="248" t="n">
        <f aca="false">MIN(AO99*$B$94,12500)</f>
        <v>12500</v>
      </c>
      <c r="AP103" s="248" t="n">
        <f aca="false">MIN(AP99*$B$94,12500)</f>
        <v>12500</v>
      </c>
      <c r="AQ103" s="248" t="n">
        <f aca="false">MIN(AQ99*$B$94,12500)</f>
        <v>12500</v>
      </c>
      <c r="AR103" s="248" t="n">
        <f aca="false">MIN(AR99*$B$94,12500)</f>
        <v>12500</v>
      </c>
      <c r="AS103" s="248" t="n">
        <f aca="false">MIN(AS99*$B$94,12500)</f>
        <v>12500</v>
      </c>
      <c r="AT103" s="248" t="n">
        <f aca="false">MIN(AT99*$B$94,12500)</f>
        <v>12500</v>
      </c>
      <c r="AU103" s="248" t="n">
        <f aca="false">MIN(AU99*$B$94,12500)</f>
        <v>11530.827</v>
      </c>
      <c r="AV103" s="248" t="n">
        <f aca="false">MIN(AV99*$B$94,12500)</f>
        <v>12500</v>
      </c>
      <c r="AW103" s="248" t="n">
        <f aca="false">MIN(AW99*$B$94,12500)</f>
        <v>12500</v>
      </c>
      <c r="AX103" s="248" t="n">
        <f aca="false">MIN(AX99*$B$94,12500)</f>
        <v>11919.475</v>
      </c>
      <c r="AY103" s="248" t="n">
        <f aca="false">MIN(AY99*$B$94,12500)</f>
        <v>11841.264</v>
      </c>
      <c r="AZ103" s="248" t="n">
        <f aca="false">MIN(AZ99*$B$94,12500)</f>
        <v>11763.052</v>
      </c>
      <c r="BA103" s="248" t="n">
        <f aca="false">MIN(BA99*$B$94,12500)</f>
        <v>11684.842</v>
      </c>
      <c r="BB103" s="248" t="n">
        <f aca="false">MIN(BB99*$B$94,12500)</f>
        <v>11606.631</v>
      </c>
      <c r="BC103" s="248" t="n">
        <f aca="false">MIN(BC99*$B$94,12500)</f>
        <v>11528.42</v>
      </c>
      <c r="BD103" s="248" t="n">
        <f aca="false">MIN(BD99*$B$94,12500)</f>
        <v>11450.209</v>
      </c>
      <c r="BE103" s="248" t="n">
        <f aca="false">MIN(BE99*$B$94,12500)</f>
        <v>11371.998</v>
      </c>
      <c r="BF103" s="248" t="n">
        <f aca="false">MIN(BF99*$B$94,12500)</f>
        <v>11293.787</v>
      </c>
      <c r="BG103" s="248" t="n">
        <f aca="false">MIN(BG99*$B$94,12500)</f>
        <v>11215.576</v>
      </c>
      <c r="BH103" s="248" t="n">
        <f aca="false">MIN(BH99*$B$94,12500)</f>
        <v>11137.365</v>
      </c>
      <c r="BI103" s="248" t="n">
        <f aca="false">MIN(BI99*$B$94,12500)</f>
        <v>11059.154</v>
      </c>
      <c r="BJ103" s="248" t="n">
        <f aca="false">MIN(BJ99*$B$94,12500)</f>
        <v>10980.944</v>
      </c>
      <c r="BK103" s="248" t="n">
        <f aca="false">MIN(BK99*$B$94,12500)</f>
        <v>10902.732</v>
      </c>
      <c r="BL103" s="248" t="n">
        <f aca="false">MIN(BL99*$B$94,12500)</f>
        <v>10824.521</v>
      </c>
      <c r="BM103" s="248" t="n">
        <f aca="false">MIN(BM99*$B$94,12500)</f>
        <v>12500</v>
      </c>
      <c r="BN103" s="248" t="n">
        <f aca="false">MIN(BN99*$B$94,12500)</f>
        <v>0</v>
      </c>
      <c r="BO103" s="248" t="n">
        <f aca="false">MIN(BO99*$B$94,12500)</f>
        <v>0</v>
      </c>
      <c r="BP103" s="248" t="n">
        <f aca="false">MIN(BP99*$B$94,12500)</f>
        <v>0</v>
      </c>
      <c r="BQ103" s="248" t="n">
        <f aca="false">MIN(BQ99*$B$94,12500)</f>
        <v>0</v>
      </c>
      <c r="BR103" s="248" t="n">
        <f aca="false">MIN(BR99*$B$94,12500)</f>
        <v>0</v>
      </c>
      <c r="BS103" s="248" t="n">
        <f aca="false">MIN(BS99*$B$94,12500)</f>
        <v>0</v>
      </c>
      <c r="BT103" s="248" t="n">
        <f aca="false">MIN(BT99*$B$94,12500)</f>
        <v>0</v>
      </c>
      <c r="BU103" s="248" t="n">
        <f aca="false">MIN(BU99*$B$94,12500)</f>
        <v>0</v>
      </c>
      <c r="BV103" s="248" t="n">
        <f aca="false">MIN(BV99*$B$94,12500)</f>
        <v>0</v>
      </c>
      <c r="BW103" s="248" t="n">
        <f aca="false">MIN(BW99*$B$94,12500)</f>
        <v>0</v>
      </c>
      <c r="BX103" s="248" t="n">
        <f aca="false">MIN(BX99*$B$94,12500)</f>
        <v>0</v>
      </c>
      <c r="BY103" s="248" t="n">
        <f aca="false">MIN(BY99*$B$94,12500)</f>
        <v>0</v>
      </c>
      <c r="BZ103" s="248" t="n">
        <f aca="false">MIN(BZ99*$B$94,12500)</f>
        <v>0</v>
      </c>
      <c r="CA103" s="248" t="n">
        <f aca="false">MIN(CA99*$B$94,12500)</f>
        <v>0</v>
      </c>
      <c r="CB103" s="248" t="n">
        <f aca="false">MIN(CB99*$B$94,12500)</f>
        <v>0</v>
      </c>
      <c r="CC103" s="248" t="n">
        <f aca="false">MIN(CC99*$B$94,12500)</f>
        <v>0</v>
      </c>
      <c r="CD103" s="248" t="n">
        <f aca="false">MIN(CD99*$B$94,12500)</f>
        <v>0</v>
      </c>
      <c r="CE103" s="248" t="n">
        <f aca="false">MIN(CE99*$B$94,12500)</f>
        <v>0</v>
      </c>
      <c r="CF103" s="248" t="n">
        <f aca="false">MIN(CF99*$B$94,12500)</f>
        <v>0</v>
      </c>
      <c r="CG103" s="248" t="n">
        <f aca="false">MIN(CG99*$B$94,12500)</f>
        <v>0</v>
      </c>
      <c r="CH103" s="248" t="n">
        <f aca="false">MIN(CH99*$B$94,12500)</f>
        <v>0</v>
      </c>
    </row>
    <row r="104" customFormat="false" ht="15" hidden="false" customHeight="true" outlineLevel="0" collapsed="false">
      <c r="A104" s="99" t="s">
        <v>729</v>
      </c>
      <c r="B104" s="246" t="n">
        <f aca="false">SUM(C104:CH104)</f>
        <v>6490433.383</v>
      </c>
      <c r="C104" s="248" t="n">
        <f aca="false">C102-C103</f>
        <v>0</v>
      </c>
      <c r="D104" s="248" t="n">
        <f aca="false">D102-D103</f>
        <v>0</v>
      </c>
      <c r="E104" s="248" t="n">
        <f aca="false">E102-E103</f>
        <v>0</v>
      </c>
      <c r="F104" s="248" t="n">
        <f aca="false">F102-F103</f>
        <v>0</v>
      </c>
      <c r="G104" s="248" t="n">
        <f aca="false">G102-G103</f>
        <v>0</v>
      </c>
      <c r="H104" s="248" t="n">
        <f aca="false">H102-H103</f>
        <v>0</v>
      </c>
      <c r="I104" s="248" t="n">
        <f aca="false">I102-I103</f>
        <v>0</v>
      </c>
      <c r="J104" s="248" t="n">
        <f aca="false">J102-J103</f>
        <v>0</v>
      </c>
      <c r="K104" s="248" t="n">
        <f aca="false">K102-K103</f>
        <v>0</v>
      </c>
      <c r="L104" s="248" t="n">
        <f aca="false">L102-L103</f>
        <v>0</v>
      </c>
      <c r="M104" s="248" t="n">
        <f aca="false">M102-M103</f>
        <v>0</v>
      </c>
      <c r="N104" s="248" t="n">
        <f aca="false">N102-N103</f>
        <v>0</v>
      </c>
      <c r="O104" s="248" t="n">
        <f aca="false">O102-O103</f>
        <v>31045.324</v>
      </c>
      <c r="P104" s="248" t="n">
        <f aca="false">P102-P103</f>
        <v>20628.324</v>
      </c>
      <c r="Q104" s="248" t="n">
        <f aca="false">Q102-Q103</f>
        <v>20628.324</v>
      </c>
      <c r="R104" s="248" t="n">
        <f aca="false">R102-R103</f>
        <v>20628.324</v>
      </c>
      <c r="S104" s="248" t="n">
        <f aca="false">S102-S103</f>
        <v>13128.324</v>
      </c>
      <c r="T104" s="248" t="n">
        <f aca="false">T102-T103</f>
        <v>13128.324</v>
      </c>
      <c r="U104" s="248" t="n">
        <f aca="false">U102-U103</f>
        <v>36433.068</v>
      </c>
      <c r="V104" s="248" t="n">
        <f aca="false">V102-V103</f>
        <v>59737.812</v>
      </c>
      <c r="W104" s="248" t="n">
        <f aca="false">W102-W103</f>
        <v>83042.556</v>
      </c>
      <c r="X104" s="248" t="n">
        <f aca="false">X102-X103</f>
        <v>99542.99</v>
      </c>
      <c r="Y104" s="248" t="n">
        <f aca="false">Y102-Y103</f>
        <v>125437.16</v>
      </c>
      <c r="Z104" s="248" t="n">
        <f aca="false">Z102-Z103</f>
        <v>151331.31</v>
      </c>
      <c r="AA104" s="248" t="n">
        <f aca="false">AA102-AA103</f>
        <v>177225.46</v>
      </c>
      <c r="AB104" s="248" t="n">
        <f aca="false">AB102-AB103</f>
        <v>203119.62</v>
      </c>
      <c r="AC104" s="248" t="n">
        <f aca="false">AC102-AC103</f>
        <v>229013.79</v>
      </c>
      <c r="AD104" s="248" t="n">
        <f aca="false">AD102-AD103</f>
        <v>254907.94</v>
      </c>
      <c r="AE104" s="248" t="n">
        <f aca="false">AE102-AE103</f>
        <v>280802.11</v>
      </c>
      <c r="AF104" s="248" t="n">
        <f aca="false">AF102-AF103</f>
        <v>341329.61</v>
      </c>
      <c r="AG104" s="248" t="n">
        <f aca="false">AG102-AG103</f>
        <v>252011.01</v>
      </c>
      <c r="AH104" s="248" t="n">
        <f aca="false">AH102-AH103</f>
        <v>252793.13</v>
      </c>
      <c r="AI104" s="248" t="n">
        <f aca="false">AI102-AI103</f>
        <v>253575.23</v>
      </c>
      <c r="AJ104" s="248" t="n">
        <f aca="false">AJ102-AJ103</f>
        <v>254357.34</v>
      </c>
      <c r="AK104" s="248" t="n">
        <f aca="false">AK102-AK103</f>
        <v>255139.44</v>
      </c>
      <c r="AL104" s="248" t="n">
        <f aca="false">AL102-AL103</f>
        <v>281815.71</v>
      </c>
      <c r="AM104" s="248" t="n">
        <f aca="false">AM102-AM103</f>
        <v>256703.67</v>
      </c>
      <c r="AN104" s="248" t="n">
        <f aca="false">AN102-AN103</f>
        <v>231591.62</v>
      </c>
      <c r="AO104" s="248" t="n">
        <f aca="false">AO102-AO103</f>
        <v>206479.57</v>
      </c>
      <c r="AP104" s="248" t="n">
        <f aca="false">AP102-AP103</f>
        <v>181367.51</v>
      </c>
      <c r="AQ104" s="248" t="n">
        <f aca="false">AQ102-AQ103</f>
        <v>156255.47</v>
      </c>
      <c r="AR104" s="248" t="n">
        <f aca="false">AR102-AR103</f>
        <v>131143.42</v>
      </c>
      <c r="AS104" s="248" t="n">
        <f aca="false">AS102-AS103</f>
        <v>106031.36</v>
      </c>
      <c r="AT104" s="248" t="n">
        <f aca="false">AT102-AT103</f>
        <v>80919.32</v>
      </c>
      <c r="AU104" s="248" t="n">
        <f aca="false">AU102-AU103</f>
        <v>56776.443</v>
      </c>
      <c r="AV104" s="248" t="n">
        <f aca="false">AV102-AV103</f>
        <v>136594.1</v>
      </c>
      <c r="AW104" s="248" t="n">
        <f aca="false">AW102-AW103</f>
        <v>110699.95</v>
      </c>
      <c r="AX104" s="248" t="n">
        <f aca="false">AX102-AX103</f>
        <v>60274.275</v>
      </c>
      <c r="AY104" s="248" t="n">
        <f aca="false">AY102-AY103</f>
        <v>59570.376</v>
      </c>
      <c r="AZ104" s="248" t="n">
        <f aca="false">AZ102-AZ103</f>
        <v>58866.468</v>
      </c>
      <c r="BA104" s="248" t="n">
        <f aca="false">BA102-BA103</f>
        <v>58162.578</v>
      </c>
      <c r="BB104" s="248" t="n">
        <f aca="false">BB102-BB103</f>
        <v>57458.679</v>
      </c>
      <c r="BC104" s="248" t="n">
        <f aca="false">BC102-BC103</f>
        <v>56754.78</v>
      </c>
      <c r="BD104" s="248" t="n">
        <f aca="false">BD102-BD103</f>
        <v>56050.881</v>
      </c>
      <c r="BE104" s="248" t="n">
        <f aca="false">BE102-BE103</f>
        <v>55346.982</v>
      </c>
      <c r="BF104" s="248" t="n">
        <f aca="false">BF102-BF103</f>
        <v>54643.083</v>
      </c>
      <c r="BG104" s="248" t="n">
        <f aca="false">BG102-BG103</f>
        <v>53939.184</v>
      </c>
      <c r="BH104" s="248" t="n">
        <f aca="false">BH102-BH103</f>
        <v>53235.285</v>
      </c>
      <c r="BI104" s="248" t="n">
        <f aca="false">BI102-BI103</f>
        <v>52531.386</v>
      </c>
      <c r="BJ104" s="248" t="n">
        <f aca="false">BJ102-BJ103</f>
        <v>51827.496</v>
      </c>
      <c r="BK104" s="248" t="n">
        <f aca="false">BK102-BK103</f>
        <v>98124.588</v>
      </c>
      <c r="BL104" s="248" t="n">
        <f aca="false">BL102-BL103</f>
        <v>97420.689</v>
      </c>
      <c r="BM104" s="248" t="n">
        <f aca="false">BM102-BM103</f>
        <v>200861.99</v>
      </c>
      <c r="BN104" s="248" t="n">
        <f aca="false">BN102-BN103</f>
        <v>0</v>
      </c>
      <c r="BO104" s="248" t="n">
        <f aca="false">BO102-BO103</f>
        <v>0</v>
      </c>
      <c r="BP104" s="248" t="n">
        <f aca="false">BP102-BP103</f>
        <v>0</v>
      </c>
      <c r="BQ104" s="248" t="n">
        <f aca="false">BQ102-BQ103</f>
        <v>0</v>
      </c>
      <c r="BR104" s="248" t="n">
        <f aca="false">BR102-BR103</f>
        <v>0</v>
      </c>
      <c r="BS104" s="248" t="n">
        <f aca="false">BS102-BS103</f>
        <v>0</v>
      </c>
      <c r="BT104" s="248" t="n">
        <f aca="false">BT102-BT103</f>
        <v>0</v>
      </c>
      <c r="BU104" s="248" t="n">
        <f aca="false">BU102-BU103</f>
        <v>0</v>
      </c>
      <c r="BV104" s="248" t="n">
        <f aca="false">BV102-BV103</f>
        <v>0</v>
      </c>
      <c r="BW104" s="248" t="n">
        <f aca="false">BW102-BW103</f>
        <v>0</v>
      </c>
      <c r="BX104" s="248" t="n">
        <f aca="false">BX102-BX103</f>
        <v>0</v>
      </c>
      <c r="BY104" s="248" t="n">
        <f aca="false">BY102-BY103</f>
        <v>0</v>
      </c>
      <c r="BZ104" s="248" t="n">
        <f aca="false">BZ102-BZ103</f>
        <v>0</v>
      </c>
      <c r="CA104" s="248" t="n">
        <f aca="false">CA102-CA103</f>
        <v>0</v>
      </c>
      <c r="CB104" s="248" t="n">
        <f aca="false">CB102-CB103</f>
        <v>0</v>
      </c>
      <c r="CC104" s="248" t="n">
        <f aca="false">CC102-CC103</f>
        <v>0</v>
      </c>
      <c r="CD104" s="248" t="n">
        <f aca="false">CD102-CD103</f>
        <v>0</v>
      </c>
      <c r="CE104" s="248" t="n">
        <f aca="false">CE102-CE103</f>
        <v>0</v>
      </c>
      <c r="CF104" s="248" t="n">
        <f aca="false">CF102-CF103</f>
        <v>0</v>
      </c>
      <c r="CG104" s="248" t="n">
        <f aca="false">CG102-CG103</f>
        <v>0</v>
      </c>
      <c r="CH104" s="248" t="n">
        <f aca="false">CH102-CH103</f>
        <v>0</v>
      </c>
    </row>
    <row r="105" customFormat="false" ht="15" hidden="false" customHeight="true" outlineLevel="0" collapsed="false">
      <c r="A105" s="99" t="s">
        <v>730</v>
      </c>
      <c r="B105" s="246" t="n">
        <f aca="false">SUM(C105:CH105)</f>
        <v>2951665.926</v>
      </c>
      <c r="C105" s="248" t="n">
        <v>0</v>
      </c>
      <c r="D105" s="248" t="n">
        <v>0</v>
      </c>
      <c r="E105" s="248" t="n">
        <v>0</v>
      </c>
      <c r="F105" s="248" t="n">
        <v>0</v>
      </c>
      <c r="G105" s="248" t="n">
        <v>0</v>
      </c>
      <c r="H105" s="248" t="n">
        <v>0</v>
      </c>
      <c r="I105" s="248" t="n">
        <v>0</v>
      </c>
      <c r="J105" s="248" t="n">
        <v>0</v>
      </c>
      <c r="K105" s="248" t="n">
        <v>0</v>
      </c>
      <c r="L105" s="248" t="n">
        <v>0</v>
      </c>
      <c r="M105" s="248" t="n">
        <v>0</v>
      </c>
      <c r="N105" s="248" t="n">
        <v>0</v>
      </c>
      <c r="O105" s="248" t="n">
        <f aca="false">MAX(0,O104)*0.4</f>
        <v>12418.1296</v>
      </c>
      <c r="P105" s="248" t="n">
        <f aca="false">MAX(0,P104)*0.4</f>
        <v>8251.3296</v>
      </c>
      <c r="Q105" s="248" t="n">
        <f aca="false">MAX(0,Q104)*0.4</f>
        <v>8251.3296</v>
      </c>
      <c r="R105" s="248" t="n">
        <f aca="false">MAX(0,R104)*0.4</f>
        <v>8251.3296</v>
      </c>
      <c r="S105" s="248" t="n">
        <f aca="false">MAX(0,S104)*0.4</f>
        <v>5251.3296</v>
      </c>
      <c r="T105" s="248" t="n">
        <f aca="false">MAX(0,T104)*0.4</f>
        <v>5251.3296</v>
      </c>
      <c r="U105" s="248" t="n">
        <f aca="false">MAX(0,U104)*0.4</f>
        <v>14573.2272</v>
      </c>
      <c r="V105" s="248" t="n">
        <f aca="false">MAX(0,V104)*0.4</f>
        <v>23895.1248</v>
      </c>
      <c r="W105" s="248" t="n">
        <f aca="false">MAX(0,W104)*0.4</f>
        <v>33217.0224</v>
      </c>
      <c r="X105" s="248" t="n">
        <f aca="false">MAX(0,X104)*0.4</f>
        <v>39817.196</v>
      </c>
      <c r="Y105" s="248" t="n">
        <f aca="false">MAX(0,Y104)*0.4</f>
        <v>50174.864</v>
      </c>
      <c r="Z105" s="248" t="n">
        <f aca="false">MAX(0,Z104)*0.4</f>
        <v>60532.524</v>
      </c>
      <c r="AA105" s="248" t="n">
        <f aca="false">MAX(0,AA104)*0.4</f>
        <v>70890.184</v>
      </c>
      <c r="AB105" s="248" t="n">
        <f aca="false">MAX(0,AB104)*0.4</f>
        <v>81247.848</v>
      </c>
      <c r="AC105" s="248" t="n">
        <f aca="false">MAX(0,AC104)*0.4</f>
        <v>91605.516</v>
      </c>
      <c r="AD105" s="248" t="n">
        <f aca="false">MAX(0,AD104)*0.45</f>
        <v>114708.573</v>
      </c>
      <c r="AE105" s="248" t="n">
        <f aca="false">MAX(0,AE104)*0.45</f>
        <v>126360.9495</v>
      </c>
      <c r="AF105" s="248" t="n">
        <f aca="false">MAX(0,AF104)*0.45</f>
        <v>153598.3245</v>
      </c>
      <c r="AG105" s="248" t="n">
        <f aca="false">MAX(0,AG104)*0.45</f>
        <v>113404.9545</v>
      </c>
      <c r="AH105" s="248" t="n">
        <f aca="false">MAX(0,AH104)*0.45</f>
        <v>113756.9085</v>
      </c>
      <c r="AI105" s="248" t="n">
        <f aca="false">MAX(0,AI104)*0.45</f>
        <v>114108.8535</v>
      </c>
      <c r="AJ105" s="248" t="n">
        <f aca="false">MAX(0,AJ104)*0.45</f>
        <v>114460.803</v>
      </c>
      <c r="AK105" s="248" t="n">
        <f aca="false">MAX(0,AK104)*0.45</f>
        <v>114812.748</v>
      </c>
      <c r="AL105" s="248" t="n">
        <f aca="false">MAX(0,AL104)*0.45</f>
        <v>126817.0695</v>
      </c>
      <c r="AM105" s="248" t="n">
        <f aca="false">MAX(0,AM104)*0.45</f>
        <v>115516.6515</v>
      </c>
      <c r="AN105" s="248" t="n">
        <f aca="false">MAX(0,AN104)*0.45</f>
        <v>104216.229</v>
      </c>
      <c r="AO105" s="248" t="n">
        <f aca="false">MAX(0,AO104)*0.45</f>
        <v>92915.8065</v>
      </c>
      <c r="AP105" s="248" t="n">
        <f aca="false">MAX(0,AP104)*0.45</f>
        <v>81615.3795</v>
      </c>
      <c r="AQ105" s="248" t="n">
        <f aca="false">MAX(0,AQ104)*0.5</f>
        <v>78127.735</v>
      </c>
      <c r="AR105" s="248" t="n">
        <f aca="false">MAX(0,AR104)*0.5</f>
        <v>65571.71</v>
      </c>
      <c r="AS105" s="248" t="n">
        <f aca="false">MAX(0,AS104)*0.5</f>
        <v>53015.68</v>
      </c>
      <c r="AT105" s="248" t="n">
        <f aca="false">MAX(0,AT104)*0.5</f>
        <v>40459.66</v>
      </c>
      <c r="AU105" s="248" t="n">
        <f aca="false">MAX(0,AU104)*0.5</f>
        <v>28388.2215</v>
      </c>
      <c r="AV105" s="248" t="n">
        <f aca="false">MAX(0,AV104)*0.5</f>
        <v>68297.05</v>
      </c>
      <c r="AW105" s="248" t="n">
        <f aca="false">MAX(0,AW104)*0.5</f>
        <v>55349.975</v>
      </c>
      <c r="AX105" s="248" t="n">
        <f aca="false">MAX(0,AX104)*0.5</f>
        <v>30137.1375</v>
      </c>
      <c r="AY105" s="248" t="n">
        <f aca="false">MAX(0,AY104)*0.5</f>
        <v>29785.188</v>
      </c>
      <c r="AZ105" s="248" t="n">
        <f aca="false">MAX(0,AZ104)*0.5</f>
        <v>29433.234</v>
      </c>
      <c r="BA105" s="248" t="n">
        <f aca="false">MAX(0,BA104)*0.5</f>
        <v>29081.289</v>
      </c>
      <c r="BB105" s="248" t="n">
        <f aca="false">MAX(0,BB104)*0.5</f>
        <v>28729.3395</v>
      </c>
      <c r="BC105" s="248" t="n">
        <f aca="false">MAX(0,BC104)*0.5</f>
        <v>28377.39</v>
      </c>
      <c r="BD105" s="248" t="n">
        <f aca="false">MAX(0,BD104)*0.5</f>
        <v>28025.4405</v>
      </c>
      <c r="BE105" s="248" t="n">
        <f aca="false">MAX(0,BE104)*0.5</f>
        <v>27673.491</v>
      </c>
      <c r="BF105" s="248" t="n">
        <f aca="false">MAX(0,BF104)*0.5</f>
        <v>27321.5415</v>
      </c>
      <c r="BG105" s="248" t="n">
        <f aca="false">MAX(0,BG104)*0.5</f>
        <v>26969.592</v>
      </c>
      <c r="BH105" s="248" t="n">
        <f aca="false">MAX(0,BH104)*0.5</f>
        <v>26617.6425</v>
      </c>
      <c r="BI105" s="248" t="n">
        <f aca="false">MAX(0,BI104)*0.5</f>
        <v>26265.693</v>
      </c>
      <c r="BJ105" s="248" t="n">
        <f aca="false">MAX(0,BJ104)*0.5</f>
        <v>25913.748</v>
      </c>
      <c r="BK105" s="248" t="n">
        <f aca="false">MAX(0,BK104)*0.5</f>
        <v>49062.294</v>
      </c>
      <c r="BL105" s="248" t="n">
        <f aca="false">MAX(0,BL104)*0.5</f>
        <v>48710.3445</v>
      </c>
      <c r="BM105" s="248" t="n">
        <f aca="false">MAX(0,BM104)*0.5</f>
        <v>100430.995</v>
      </c>
      <c r="BN105" s="248" t="n">
        <f aca="false">MAX(0,BN104)*0.5</f>
        <v>0</v>
      </c>
      <c r="BO105" s="248" t="n">
        <f aca="false">MAX(0,BO104)*0.5</f>
        <v>0</v>
      </c>
      <c r="BP105" s="248" t="n">
        <f aca="false">MAX(0,BP104)*0.5</f>
        <v>0</v>
      </c>
      <c r="BQ105" s="248" t="n">
        <f aca="false">MAX(0,BQ104)*0.5</f>
        <v>0</v>
      </c>
      <c r="BR105" s="248" t="n">
        <f aca="false">MAX(0,BR104)*0.5</f>
        <v>0</v>
      </c>
      <c r="BS105" s="248" t="n">
        <f aca="false">MAX(0,BS104)*0.5</f>
        <v>0</v>
      </c>
      <c r="BT105" s="248" t="n">
        <f aca="false">MAX(0,BT104)*0.5</f>
        <v>0</v>
      </c>
      <c r="BU105" s="248" t="n">
        <f aca="false">MAX(0,BU104)*0.5</f>
        <v>0</v>
      </c>
      <c r="BV105" s="248" t="n">
        <f aca="false">MAX(0,BV104)*0.5</f>
        <v>0</v>
      </c>
      <c r="BW105" s="248" t="n">
        <f aca="false">MAX(0,BW104)*0.5</f>
        <v>0</v>
      </c>
      <c r="BX105" s="248" t="n">
        <f aca="false">MAX(0,BX104)*0.5</f>
        <v>0</v>
      </c>
      <c r="BY105" s="248" t="n">
        <f aca="false">MAX(0,BY104)*0.5</f>
        <v>0</v>
      </c>
      <c r="BZ105" s="248" t="n">
        <f aca="false">MAX(0,BZ104)*0.5</f>
        <v>0</v>
      </c>
      <c r="CA105" s="248" t="n">
        <f aca="false">MAX(0,CA104)*0.5</f>
        <v>0</v>
      </c>
      <c r="CB105" s="248" t="n">
        <f aca="false">MAX(0,CB104)*0.5</f>
        <v>0</v>
      </c>
      <c r="CC105" s="248" t="n">
        <f aca="false">MAX(0,CC104)*0.5</f>
        <v>0</v>
      </c>
      <c r="CD105" s="248" t="n">
        <f aca="false">MAX(0,CD104)*0.5</f>
        <v>0</v>
      </c>
      <c r="CE105" s="248" t="n">
        <f aca="false">MAX(0,CE104)*0.5</f>
        <v>0</v>
      </c>
      <c r="CF105" s="248" t="n">
        <f aca="false">MAX(0,CF104)*0.5</f>
        <v>0</v>
      </c>
      <c r="CG105" s="248" t="n">
        <f aca="false">MAX(0,CG104)*0.5</f>
        <v>0</v>
      </c>
      <c r="CH105" s="248" t="n">
        <f aca="false">MAX(0,CH104)*$B$95</f>
        <v>0</v>
      </c>
    </row>
    <row r="106" customFormat="false" ht="15" hidden="false" customHeight="true" outlineLevel="0" collapsed="false">
      <c r="A106" s="99" t="s">
        <v>731</v>
      </c>
      <c r="B106" s="246" t="n">
        <f aca="false">B104-B105</f>
        <v>3538767.457</v>
      </c>
      <c r="C106" s="248" t="n">
        <f aca="false">C104-C105</f>
        <v>0</v>
      </c>
      <c r="D106" s="248" t="n">
        <f aca="false">D104-D105</f>
        <v>0</v>
      </c>
      <c r="E106" s="248" t="n">
        <f aca="false">E104-E105</f>
        <v>0</v>
      </c>
      <c r="F106" s="248" t="n">
        <f aca="false">F104-F105</f>
        <v>0</v>
      </c>
      <c r="G106" s="248" t="n">
        <f aca="false">G104-G105</f>
        <v>0</v>
      </c>
      <c r="H106" s="248" t="n">
        <f aca="false">H104-H105</f>
        <v>0</v>
      </c>
      <c r="I106" s="248" t="n">
        <f aca="false">I104-I105</f>
        <v>0</v>
      </c>
      <c r="J106" s="248" t="n">
        <f aca="false">J104-J105</f>
        <v>0</v>
      </c>
      <c r="K106" s="248" t="n">
        <f aca="false">K104-K105</f>
        <v>0</v>
      </c>
      <c r="L106" s="248" t="n">
        <f aca="false">L104-L105</f>
        <v>0</v>
      </c>
      <c r="M106" s="248" t="n">
        <f aca="false">M104-M105</f>
        <v>0</v>
      </c>
      <c r="N106" s="248" t="n">
        <f aca="false">N104-N105</f>
        <v>0</v>
      </c>
      <c r="O106" s="248" t="n">
        <f aca="false">O104-O105</f>
        <v>18627.1944</v>
      </c>
      <c r="P106" s="248" t="n">
        <f aca="false">P104-P105</f>
        <v>12376.9944</v>
      </c>
      <c r="Q106" s="248" t="n">
        <f aca="false">Q104-Q105</f>
        <v>12376.9944</v>
      </c>
      <c r="R106" s="248" t="n">
        <f aca="false">R104-R105</f>
        <v>12376.9944</v>
      </c>
      <c r="S106" s="248" t="n">
        <f aca="false">S104-S105</f>
        <v>7876.9944</v>
      </c>
      <c r="T106" s="248" t="n">
        <f aca="false">T104-T105</f>
        <v>7876.9944</v>
      </c>
      <c r="U106" s="248" t="n">
        <f aca="false">U104-U105</f>
        <v>21859.8408</v>
      </c>
      <c r="V106" s="248" t="n">
        <f aca="false">V104-V105</f>
        <v>35842.6872</v>
      </c>
      <c r="W106" s="248" t="n">
        <f aca="false">W104-W105</f>
        <v>49825.5336</v>
      </c>
      <c r="X106" s="248" t="n">
        <f aca="false">X104-X105</f>
        <v>59725.794</v>
      </c>
      <c r="Y106" s="248" t="n">
        <f aca="false">Y104-Y105</f>
        <v>75262.296</v>
      </c>
      <c r="Z106" s="248" t="n">
        <f aca="false">Z104-Z105</f>
        <v>90798.786</v>
      </c>
      <c r="AA106" s="248" t="n">
        <f aca="false">AA104-AA105</f>
        <v>106335.276</v>
      </c>
      <c r="AB106" s="248" t="n">
        <f aca="false">AB104-AB105</f>
        <v>121871.772</v>
      </c>
      <c r="AC106" s="248" t="n">
        <f aca="false">AC104-AC105</f>
        <v>137408.274</v>
      </c>
      <c r="AD106" s="248" t="n">
        <f aca="false">AD104-AD105</f>
        <v>140199.367</v>
      </c>
      <c r="AE106" s="248" t="n">
        <f aca="false">AE104-AE105</f>
        <v>154441.1605</v>
      </c>
      <c r="AF106" s="248" t="n">
        <f aca="false">AF104-AF105</f>
        <v>187731.2855</v>
      </c>
      <c r="AG106" s="248" t="n">
        <f aca="false">AG104-AG105</f>
        <v>138606.0555</v>
      </c>
      <c r="AH106" s="248" t="n">
        <f aca="false">AH104-AH105</f>
        <v>139036.2215</v>
      </c>
      <c r="AI106" s="248" t="n">
        <f aca="false">AI104-AI105</f>
        <v>139466.3765</v>
      </c>
      <c r="AJ106" s="248" t="n">
        <f aca="false">AJ104-AJ105</f>
        <v>139896.537</v>
      </c>
      <c r="AK106" s="248" t="n">
        <f aca="false">AK104-AK105</f>
        <v>140326.692</v>
      </c>
      <c r="AL106" s="248" t="n">
        <f aca="false">AL104-AL105</f>
        <v>154998.6405</v>
      </c>
      <c r="AM106" s="248" t="n">
        <f aca="false">AM104-AM105</f>
        <v>141187.0185</v>
      </c>
      <c r="AN106" s="248" t="n">
        <f aca="false">AN104-AN105</f>
        <v>127375.391</v>
      </c>
      <c r="AO106" s="248" t="n">
        <f aca="false">AO104-AO105</f>
        <v>113563.7635</v>
      </c>
      <c r="AP106" s="248" t="n">
        <f aca="false">AP104-AP105</f>
        <v>99752.1305</v>
      </c>
      <c r="AQ106" s="248" t="n">
        <f aca="false">AQ104-AQ105</f>
        <v>78127.735</v>
      </c>
      <c r="AR106" s="248" t="n">
        <f aca="false">AR104-AR105</f>
        <v>65571.71</v>
      </c>
      <c r="AS106" s="248" t="n">
        <f aca="false">AS104-AS105</f>
        <v>53015.68</v>
      </c>
      <c r="AT106" s="248" t="n">
        <f aca="false">AT104-AT105</f>
        <v>40459.66</v>
      </c>
      <c r="AU106" s="248" t="n">
        <f aca="false">AU104-AU105</f>
        <v>28388.2215</v>
      </c>
      <c r="AV106" s="248" t="n">
        <f aca="false">AV104-AV105</f>
        <v>68297.05</v>
      </c>
      <c r="AW106" s="248" t="n">
        <f aca="false">AW104-AW105</f>
        <v>55349.975</v>
      </c>
      <c r="AX106" s="248" t="n">
        <f aca="false">AX104-AX105</f>
        <v>30137.1375</v>
      </c>
      <c r="AY106" s="248" t="n">
        <f aca="false">AY104-AY105</f>
        <v>29785.188</v>
      </c>
      <c r="AZ106" s="248" t="n">
        <f aca="false">AZ104-AZ105</f>
        <v>29433.234</v>
      </c>
      <c r="BA106" s="248" t="n">
        <f aca="false">BA104-BA105</f>
        <v>29081.289</v>
      </c>
      <c r="BB106" s="248" t="n">
        <f aca="false">BB104-BB105</f>
        <v>28729.3395</v>
      </c>
      <c r="BC106" s="248" t="n">
        <f aca="false">BC104-BC105</f>
        <v>28377.39</v>
      </c>
      <c r="BD106" s="248" t="n">
        <f aca="false">BD104-BD105</f>
        <v>28025.4405</v>
      </c>
      <c r="BE106" s="248" t="n">
        <f aca="false">BE104-BE105</f>
        <v>27673.491</v>
      </c>
      <c r="BF106" s="248" t="n">
        <f aca="false">BF104-BF105</f>
        <v>27321.5415</v>
      </c>
      <c r="BG106" s="248" t="n">
        <f aca="false">BG104-BG105</f>
        <v>26969.592</v>
      </c>
      <c r="BH106" s="248" t="n">
        <f aca="false">BH104-BH105</f>
        <v>26617.6425</v>
      </c>
      <c r="BI106" s="248" t="n">
        <f aca="false">BI104-BI105</f>
        <v>26265.693</v>
      </c>
      <c r="BJ106" s="248" t="n">
        <f aca="false">BJ104-BJ105</f>
        <v>25913.748</v>
      </c>
      <c r="BK106" s="248" t="n">
        <f aca="false">BK104-BK105</f>
        <v>49062.294</v>
      </c>
      <c r="BL106" s="248" t="n">
        <f aca="false">BL104-BL105</f>
        <v>48710.3445</v>
      </c>
      <c r="BM106" s="248" t="n">
        <f aca="false">BM104-BM105</f>
        <v>100430.995</v>
      </c>
      <c r="BN106" s="248" t="n">
        <f aca="false">BN104-BN105</f>
        <v>0</v>
      </c>
      <c r="BO106" s="248" t="n">
        <f aca="false">BO104-BO105</f>
        <v>0</v>
      </c>
      <c r="BP106" s="248" t="n">
        <f aca="false">BP104-BP105</f>
        <v>0</v>
      </c>
      <c r="BQ106" s="248" t="n">
        <f aca="false">BQ104-BQ105</f>
        <v>0</v>
      </c>
      <c r="BR106" s="248" t="n">
        <f aca="false">BR104-BR105</f>
        <v>0</v>
      </c>
      <c r="BS106" s="248" t="n">
        <f aca="false">BS104-BS105</f>
        <v>0</v>
      </c>
      <c r="BT106" s="248" t="n">
        <f aca="false">BT104-BT105</f>
        <v>0</v>
      </c>
      <c r="BU106" s="248" t="n">
        <f aca="false">BU104-BU105</f>
        <v>0</v>
      </c>
      <c r="BV106" s="248" t="n">
        <f aca="false">BV104-BV105</f>
        <v>0</v>
      </c>
      <c r="BW106" s="248" t="n">
        <f aca="false">BW104-BW105</f>
        <v>0</v>
      </c>
      <c r="BX106" s="248" t="n">
        <f aca="false">BX104-BX105</f>
        <v>0</v>
      </c>
      <c r="BY106" s="248" t="n">
        <f aca="false">BY104-BY105</f>
        <v>0</v>
      </c>
      <c r="BZ106" s="248" t="n">
        <f aca="false">BZ104-BZ105</f>
        <v>0</v>
      </c>
      <c r="CA106" s="248" t="n">
        <f aca="false">CA104-CA105</f>
        <v>0</v>
      </c>
      <c r="CB106" s="248" t="n">
        <f aca="false">CB104-CB105</f>
        <v>0</v>
      </c>
      <c r="CC106" s="248" t="n">
        <f aca="false">CC104-CC105</f>
        <v>0</v>
      </c>
      <c r="CD106" s="248" t="n">
        <f aca="false">CD104-CD105</f>
        <v>0</v>
      </c>
      <c r="CE106" s="248" t="n">
        <f aca="false">CE104-CE105</f>
        <v>0</v>
      </c>
      <c r="CF106" s="248" t="n">
        <f aca="false">CF104-CF105</f>
        <v>0</v>
      </c>
      <c r="CG106" s="248" t="n">
        <f aca="false">CG104-CG105</f>
        <v>0</v>
      </c>
      <c r="CH106" s="248" t="n">
        <f aca="false">CH104-CH105</f>
        <v>0</v>
      </c>
    </row>
    <row r="107" customFormat="false" ht="15" hidden="false" customHeight="true" outlineLevel="0" collapsed="false">
      <c r="A107" s="99" t="s">
        <v>732</v>
      </c>
      <c r="B107" s="246" t="n">
        <f aca="false">B103+B106</f>
        <v>4101960.074</v>
      </c>
      <c r="C107" s="248" t="n">
        <f aca="false">C103+C106</f>
        <v>0</v>
      </c>
      <c r="D107" s="248" t="n">
        <f aca="false">D103+D106</f>
        <v>0</v>
      </c>
      <c r="E107" s="248" t="n">
        <f aca="false">E103+E106</f>
        <v>0</v>
      </c>
      <c r="F107" s="248" t="n">
        <f aca="false">F103+F106</f>
        <v>0</v>
      </c>
      <c r="G107" s="248" t="n">
        <f aca="false">G103+G106</f>
        <v>0</v>
      </c>
      <c r="H107" s="248" t="n">
        <f aca="false">H103+H106</f>
        <v>0</v>
      </c>
      <c r="I107" s="248" t="n">
        <f aca="false">I103+I106</f>
        <v>0</v>
      </c>
      <c r="J107" s="248" t="n">
        <f aca="false">J103+J106</f>
        <v>0</v>
      </c>
      <c r="K107" s="248" t="n">
        <f aca="false">K103+K106</f>
        <v>0</v>
      </c>
      <c r="L107" s="248" t="n">
        <f aca="false">L103+L106</f>
        <v>0</v>
      </c>
      <c r="M107" s="248" t="n">
        <f aca="false">M103+M106</f>
        <v>0</v>
      </c>
      <c r="N107" s="248" t="n">
        <f aca="false">N103+N106</f>
        <v>0</v>
      </c>
      <c r="O107" s="248" t="n">
        <f aca="false">O103+O106</f>
        <v>23132.2304</v>
      </c>
      <c r="P107" s="248" t="n">
        <f aca="false">P103+P106</f>
        <v>16882.0304</v>
      </c>
      <c r="Q107" s="248" t="n">
        <f aca="false">Q103+Q106</f>
        <v>16882.0304</v>
      </c>
      <c r="R107" s="248" t="n">
        <f aca="false">R103+R106</f>
        <v>16882.0304</v>
      </c>
      <c r="S107" s="248" t="n">
        <f aca="false">S103+S106</f>
        <v>12382.0304</v>
      </c>
      <c r="T107" s="248" t="n">
        <f aca="false">T103+T106</f>
        <v>12382.0304</v>
      </c>
      <c r="U107" s="248" t="n">
        <f aca="false">U103+U106</f>
        <v>28954.2928</v>
      </c>
      <c r="V107" s="248" t="n">
        <f aca="false">V103+V106</f>
        <v>45526.5552</v>
      </c>
      <c r="W107" s="248" t="n">
        <f aca="false">W103+W106</f>
        <v>62098.8176</v>
      </c>
      <c r="X107" s="248" t="n">
        <f aca="false">X103+X106</f>
        <v>72225.794</v>
      </c>
      <c r="Y107" s="248" t="n">
        <f aca="false">Y103+Y106</f>
        <v>87762.296</v>
      </c>
      <c r="Z107" s="248" t="n">
        <f aca="false">Z103+Z106</f>
        <v>103298.786</v>
      </c>
      <c r="AA107" s="248" t="n">
        <f aca="false">AA103+AA106</f>
        <v>118835.276</v>
      </c>
      <c r="AB107" s="248" t="n">
        <f aca="false">AB103+AB106</f>
        <v>134371.772</v>
      </c>
      <c r="AC107" s="248" t="n">
        <f aca="false">AC103+AC106</f>
        <v>149908.274</v>
      </c>
      <c r="AD107" s="248" t="n">
        <f aca="false">AD103+AD106</f>
        <v>152699.367</v>
      </c>
      <c r="AE107" s="248" t="n">
        <f aca="false">AE103+AE106</f>
        <v>166941.1605</v>
      </c>
      <c r="AF107" s="248" t="n">
        <f aca="false">AF103+AF106</f>
        <v>200231.2855</v>
      </c>
      <c r="AG107" s="248" t="n">
        <f aca="false">AG103+AG106</f>
        <v>151106.0555</v>
      </c>
      <c r="AH107" s="248" t="n">
        <f aca="false">AH103+AH106</f>
        <v>151536.2215</v>
      </c>
      <c r="AI107" s="248" t="n">
        <f aca="false">AI103+AI106</f>
        <v>151966.3765</v>
      </c>
      <c r="AJ107" s="248" t="n">
        <f aca="false">AJ103+AJ106</f>
        <v>152396.537</v>
      </c>
      <c r="AK107" s="248" t="n">
        <f aca="false">AK103+AK106</f>
        <v>152826.692</v>
      </c>
      <c r="AL107" s="248" t="n">
        <f aca="false">AL103+AL106</f>
        <v>167498.6405</v>
      </c>
      <c r="AM107" s="248" t="n">
        <f aca="false">AM103+AM106</f>
        <v>153687.0185</v>
      </c>
      <c r="AN107" s="248" t="n">
        <f aca="false">AN103+AN106</f>
        <v>139875.391</v>
      </c>
      <c r="AO107" s="248" t="n">
        <f aca="false">AO103+AO106</f>
        <v>126063.7635</v>
      </c>
      <c r="AP107" s="248" t="n">
        <f aca="false">AP103+AP106</f>
        <v>112252.1305</v>
      </c>
      <c r="AQ107" s="248" t="n">
        <f aca="false">AQ103+AQ106</f>
        <v>90627.735</v>
      </c>
      <c r="AR107" s="248" t="n">
        <f aca="false">AR103+AR106</f>
        <v>78071.71</v>
      </c>
      <c r="AS107" s="248" t="n">
        <f aca="false">AS103+AS106</f>
        <v>65515.68</v>
      </c>
      <c r="AT107" s="248" t="n">
        <f aca="false">AT103+AT106</f>
        <v>52959.66</v>
      </c>
      <c r="AU107" s="248" t="n">
        <f aca="false">AU103+AU106</f>
        <v>39919.0485</v>
      </c>
      <c r="AV107" s="248" t="n">
        <f aca="false">AV103+AV106</f>
        <v>80797.05</v>
      </c>
      <c r="AW107" s="248" t="n">
        <f aca="false">AW103+AW106</f>
        <v>67849.975</v>
      </c>
      <c r="AX107" s="248" t="n">
        <f aca="false">AX103+AX106</f>
        <v>42056.6125</v>
      </c>
      <c r="AY107" s="248" t="n">
        <f aca="false">AY103+AY106</f>
        <v>41626.452</v>
      </c>
      <c r="AZ107" s="248" t="n">
        <f aca="false">AZ103+AZ106</f>
        <v>41196.286</v>
      </c>
      <c r="BA107" s="248" t="n">
        <f aca="false">BA103+BA106</f>
        <v>40766.131</v>
      </c>
      <c r="BB107" s="248" t="n">
        <f aca="false">BB103+BB106</f>
        <v>40335.9705</v>
      </c>
      <c r="BC107" s="248" t="n">
        <f aca="false">BC103+BC106</f>
        <v>39905.81</v>
      </c>
      <c r="BD107" s="248" t="n">
        <f aca="false">BD103+BD106</f>
        <v>39475.6495</v>
      </c>
      <c r="BE107" s="248" t="n">
        <f aca="false">BE103+BE106</f>
        <v>39045.489</v>
      </c>
      <c r="BF107" s="248" t="n">
        <f aca="false">BF103+BF106</f>
        <v>38615.3285</v>
      </c>
      <c r="BG107" s="248" t="n">
        <f aca="false">BG103+BG106</f>
        <v>38185.168</v>
      </c>
      <c r="BH107" s="248" t="n">
        <f aca="false">BH103+BH106</f>
        <v>37755.0075</v>
      </c>
      <c r="BI107" s="248" t="n">
        <f aca="false">BI103+BI106</f>
        <v>37324.847</v>
      </c>
      <c r="BJ107" s="248" t="n">
        <f aca="false">BJ103+BJ106</f>
        <v>36894.692</v>
      </c>
      <c r="BK107" s="248" t="n">
        <f aca="false">BK103+BK106</f>
        <v>59965.026</v>
      </c>
      <c r="BL107" s="248" t="n">
        <f aca="false">BL103+BL106</f>
        <v>59534.8655</v>
      </c>
      <c r="BM107" s="248" t="n">
        <f aca="false">BM103+BM106</f>
        <v>112930.995</v>
      </c>
      <c r="BN107" s="248" t="n">
        <f aca="false">BN103+BN106</f>
        <v>0</v>
      </c>
      <c r="BO107" s="248" t="n">
        <f aca="false">BO103+BO106</f>
        <v>0</v>
      </c>
      <c r="BP107" s="248" t="n">
        <f aca="false">BP103+BP106</f>
        <v>0</v>
      </c>
      <c r="BQ107" s="248" t="n">
        <f aca="false">BQ103+BQ106</f>
        <v>0</v>
      </c>
      <c r="BR107" s="248" t="n">
        <f aca="false">BR103+BR106</f>
        <v>0</v>
      </c>
      <c r="BS107" s="248" t="n">
        <f aca="false">BS103+BS106</f>
        <v>0</v>
      </c>
      <c r="BT107" s="248" t="n">
        <f aca="false">BT103+BT106</f>
        <v>0</v>
      </c>
      <c r="BU107" s="248" t="n">
        <f aca="false">BU103+BU106</f>
        <v>0</v>
      </c>
      <c r="BV107" s="248" t="n">
        <f aca="false">BV103+BV106</f>
        <v>0</v>
      </c>
      <c r="BW107" s="248" t="n">
        <f aca="false">BW103+BW106</f>
        <v>0</v>
      </c>
      <c r="BX107" s="248" t="n">
        <f aca="false">BX103+BX106</f>
        <v>0</v>
      </c>
      <c r="BY107" s="248" t="n">
        <f aca="false">BY103+BY106</f>
        <v>0</v>
      </c>
      <c r="BZ107" s="248" t="n">
        <f aca="false">BZ103+BZ106</f>
        <v>0</v>
      </c>
      <c r="CA107" s="248" t="n">
        <f aca="false">CA103+CA106</f>
        <v>0</v>
      </c>
      <c r="CB107" s="248" t="n">
        <f aca="false">CB103+CB106</f>
        <v>0</v>
      </c>
      <c r="CC107" s="248" t="n">
        <f aca="false">CC103+CC106</f>
        <v>0</v>
      </c>
      <c r="CD107" s="248" t="n">
        <f aca="false">CD103+CD106</f>
        <v>0</v>
      </c>
      <c r="CE107" s="248" t="n">
        <f aca="false">CE103+CE106</f>
        <v>0</v>
      </c>
      <c r="CF107" s="248" t="n">
        <f aca="false">CF103+CF106</f>
        <v>0</v>
      </c>
      <c r="CG107" s="248" t="n">
        <f aca="false">CG103+CG106</f>
        <v>0</v>
      </c>
      <c r="CH107" s="248" t="n">
        <f aca="false">CH103+CH106</f>
        <v>0</v>
      </c>
    </row>
    <row r="112" customFormat="false" ht="15" hidden="false" customHeight="true" outlineLevel="0" collapsed="false">
      <c r="A112" s="1" t="s">
        <v>843</v>
      </c>
    </row>
    <row r="113" customFormat="false" ht="15" hidden="false" customHeight="true" outlineLevel="0" collapsed="false">
      <c r="A113" s="1" t="s">
        <v>844</v>
      </c>
    </row>
    <row r="114" customFormat="false" ht="15" hidden="false" customHeight="true" outlineLevel="0" collapsed="false">
      <c r="A114" s="1" t="s">
        <v>845</v>
      </c>
    </row>
    <row r="115" customFormat="false" ht="15" hidden="false" customHeight="true" outlineLevel="0" collapsed="false">
      <c r="A115" s="1" t="s">
        <v>846</v>
      </c>
    </row>
    <row r="116" customFormat="false" ht="15" hidden="false" customHeight="true" outlineLevel="0" collapsed="false">
      <c r="A116" s="1" t="s">
        <v>847</v>
      </c>
    </row>
  </sheetData>
  <mergeCells count="16">
    <mergeCell ref="C73:G73"/>
    <mergeCell ref="C74:G74"/>
    <mergeCell ref="C75:G75"/>
    <mergeCell ref="C76:G76"/>
    <mergeCell ref="C77:G77"/>
    <mergeCell ref="C78:G78"/>
    <mergeCell ref="B81:G81"/>
    <mergeCell ref="B82:G82"/>
    <mergeCell ref="B83:G83"/>
    <mergeCell ref="B84:G84"/>
    <mergeCell ref="B85:G85"/>
    <mergeCell ref="B86:G86"/>
    <mergeCell ref="B87:G87"/>
    <mergeCell ref="B88:G88"/>
    <mergeCell ref="B89:G89"/>
    <mergeCell ref="B90:G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848</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849</v>
      </c>
      <c r="B4" s="3"/>
      <c r="C4" s="249" t="n">
        <f aca="false">Model!E246</f>
        <v>9375</v>
      </c>
      <c r="D4" s="249" t="n">
        <f aca="false">Model!F246</f>
        <v>9375</v>
      </c>
      <c r="E4" s="249" t="n">
        <f aca="false">Model!G246</f>
        <v>9375</v>
      </c>
      <c r="F4" s="249" t="n">
        <f aca="false">Model!H246</f>
        <v>9375</v>
      </c>
      <c r="G4" s="249" t="n">
        <f aca="false">Model!I246</f>
        <v>9375</v>
      </c>
      <c r="H4" s="249" t="n">
        <f aca="false">Model!J246</f>
        <v>9375</v>
      </c>
      <c r="I4" s="249" t="n">
        <f aca="false">Model!K246</f>
        <v>9375</v>
      </c>
      <c r="J4" s="249" t="n">
        <f aca="false">Model!L246</f>
        <v>0</v>
      </c>
      <c r="K4" s="249" t="n">
        <f aca="false">Model!M246</f>
        <v>0</v>
      </c>
      <c r="L4" s="249" t="n">
        <f aca="false">Model!N246</f>
        <v>0</v>
      </c>
      <c r="M4" s="249" t="n">
        <f aca="false">Model!O246</f>
        <v>0</v>
      </c>
      <c r="N4" s="249" t="n">
        <f aca="false">Model!P246</f>
        <v>0</v>
      </c>
      <c r="O4" s="249" t="n">
        <f aca="false">Model!Q246</f>
        <v>0</v>
      </c>
      <c r="P4" s="249" t="n">
        <f aca="false">Model!R246</f>
        <v>0</v>
      </c>
      <c r="Q4" s="249" t="n">
        <f aca="false">Model!S246</f>
        <v>0</v>
      </c>
      <c r="R4" s="249" t="n">
        <f aca="false">Model!T246</f>
        <v>0</v>
      </c>
      <c r="S4" s="249" t="n">
        <f aca="false">Model!U246</f>
        <v>0</v>
      </c>
      <c r="T4" s="249" t="n">
        <f aca="false">Model!V246</f>
        <v>0</v>
      </c>
      <c r="U4" s="249" t="n">
        <f aca="false">Model!W246</f>
        <v>0</v>
      </c>
      <c r="V4" s="249" t="n">
        <f aca="false">Model!X246</f>
        <v>0</v>
      </c>
      <c r="W4" s="249" t="n">
        <f aca="false">Model!Y246</f>
        <v>0</v>
      </c>
      <c r="X4" s="249" t="n">
        <f aca="false">Model!Z246</f>
        <v>0</v>
      </c>
      <c r="Y4" s="249" t="n">
        <f aca="false">Model!AA246</f>
        <v>0</v>
      </c>
      <c r="Z4" s="249" t="n">
        <f aca="false">Model!AB246</f>
        <v>0</v>
      </c>
      <c r="AA4" s="249" t="n">
        <f aca="false">Model!AC246</f>
        <v>0</v>
      </c>
      <c r="AB4" s="249" t="n">
        <f aca="false">Model!AD246</f>
        <v>0</v>
      </c>
      <c r="AC4" s="249" t="n">
        <f aca="false">Model!AE246</f>
        <v>0</v>
      </c>
      <c r="AD4" s="249" t="n">
        <f aca="false">Model!AF246</f>
        <v>0</v>
      </c>
      <c r="AE4" s="249" t="n">
        <f aca="false">Model!AG246</f>
        <v>0</v>
      </c>
      <c r="AF4" s="249" t="n">
        <f aca="false">Model!AH246</f>
        <v>0</v>
      </c>
      <c r="AG4" s="249" t="n">
        <f aca="false">Model!AI246</f>
        <v>0</v>
      </c>
      <c r="AH4" s="249" t="n">
        <f aca="false">Model!AJ246</f>
        <v>0</v>
      </c>
      <c r="AI4" s="249" t="n">
        <f aca="false">Model!AK246</f>
        <v>0</v>
      </c>
      <c r="AJ4" s="249" t="n">
        <f aca="false">Model!AL246</f>
        <v>0</v>
      </c>
      <c r="AK4" s="249" t="n">
        <f aca="false">Model!AM246</f>
        <v>0</v>
      </c>
      <c r="AL4" s="249" t="n">
        <f aca="false">Model!AN246</f>
        <v>0</v>
      </c>
      <c r="AM4" s="249" t="n">
        <f aca="false">Model!AO246</f>
        <v>0</v>
      </c>
      <c r="AN4" s="249" t="n">
        <f aca="false">Model!AP246</f>
        <v>0</v>
      </c>
      <c r="AO4" s="249" t="n">
        <f aca="false">Model!AQ246</f>
        <v>0</v>
      </c>
      <c r="AP4" s="249" t="n">
        <f aca="false">Model!AR246</f>
        <v>0</v>
      </c>
      <c r="AQ4" s="249" t="n">
        <f aca="false">Model!AS246</f>
        <v>0</v>
      </c>
      <c r="AR4" s="249" t="n">
        <f aca="false">Model!AT246</f>
        <v>0</v>
      </c>
      <c r="AS4" s="249" t="n">
        <f aca="false">Model!AU246</f>
        <v>0</v>
      </c>
      <c r="AT4" s="249" t="n">
        <f aca="false">Model!AV246</f>
        <v>0</v>
      </c>
      <c r="AU4" s="249" t="n">
        <f aca="false">Model!AW246</f>
        <v>0</v>
      </c>
      <c r="AV4" s="249" t="n">
        <f aca="false">Model!AX246</f>
        <v>0</v>
      </c>
      <c r="AW4" s="249" t="n">
        <f aca="false">Model!AY246</f>
        <v>0</v>
      </c>
      <c r="AX4" s="249" t="n">
        <f aca="false">Model!AZ246</f>
        <v>0</v>
      </c>
      <c r="AY4" s="249" t="n">
        <f aca="false">Model!BA246</f>
        <v>0</v>
      </c>
      <c r="AZ4" s="249" t="n">
        <f aca="false">Model!BB246</f>
        <v>0</v>
      </c>
      <c r="BA4" s="249" t="n">
        <f aca="false">Model!BC246</f>
        <v>0</v>
      </c>
      <c r="BB4" s="249" t="n">
        <f aca="false">Model!BD246</f>
        <v>0</v>
      </c>
      <c r="BC4" s="249" t="n">
        <f aca="false">Model!BE246</f>
        <v>0</v>
      </c>
      <c r="BD4" s="249" t="n">
        <f aca="false">Model!BF246</f>
        <v>0</v>
      </c>
      <c r="BE4" s="249" t="n">
        <f aca="false">Model!BG246</f>
        <v>0</v>
      </c>
      <c r="BF4" s="249" t="n">
        <f aca="false">Model!BH246</f>
        <v>0</v>
      </c>
      <c r="BG4" s="249" t="n">
        <f aca="false">Model!BI246</f>
        <v>0</v>
      </c>
      <c r="BH4" s="249" t="n">
        <f aca="false">Model!BJ246</f>
        <v>0</v>
      </c>
      <c r="BI4" s="249" t="n">
        <f aca="false">Model!BK246</f>
        <v>0</v>
      </c>
      <c r="BJ4" s="249" t="n">
        <f aca="false">Model!BL246</f>
        <v>0</v>
      </c>
      <c r="BK4" s="249" t="n">
        <f aca="false">Model!BM246</f>
        <v>0</v>
      </c>
      <c r="BL4" s="249" t="n">
        <f aca="false">Model!BN246</f>
        <v>0</v>
      </c>
      <c r="BM4" s="249" t="n">
        <f aca="false">Model!BO246</f>
        <v>0</v>
      </c>
      <c r="BN4" s="249" t="n">
        <f aca="false">Model!BP246</f>
        <v>0</v>
      </c>
      <c r="BO4" s="249" t="n">
        <f aca="false">Model!BQ246</f>
        <v>0</v>
      </c>
      <c r="BP4" s="249" t="n">
        <f aca="false">Model!BR246</f>
        <v>0</v>
      </c>
      <c r="BQ4" s="249" t="n">
        <f aca="false">Model!BS246</f>
        <v>0</v>
      </c>
      <c r="BR4" s="249" t="n">
        <f aca="false">Model!BT246</f>
        <v>0</v>
      </c>
      <c r="BS4" s="249" t="n">
        <f aca="false">Model!BU246</f>
        <v>0</v>
      </c>
      <c r="BT4" s="249" t="n">
        <f aca="false">Model!BV246</f>
        <v>0</v>
      </c>
      <c r="BU4" s="249" t="n">
        <f aca="false">Model!BW246</f>
        <v>0</v>
      </c>
      <c r="BV4" s="249" t="n">
        <f aca="false">Model!BX246</f>
        <v>0</v>
      </c>
      <c r="BW4" s="249" t="n">
        <f aca="false">Model!BY246</f>
        <v>0</v>
      </c>
      <c r="BX4" s="249" t="n">
        <f aca="false">Model!BZ246</f>
        <v>0</v>
      </c>
      <c r="BY4" s="249" t="n">
        <f aca="false">Model!CA246</f>
        <v>0</v>
      </c>
      <c r="BZ4" s="249" t="n">
        <f aca="false">Model!CB246</f>
        <v>0</v>
      </c>
      <c r="CA4" s="249" t="n">
        <f aca="false">Model!CC246</f>
        <v>0</v>
      </c>
      <c r="CB4" s="249" t="n">
        <f aca="false">Model!CD246</f>
        <v>0</v>
      </c>
      <c r="CC4" s="249" t="n">
        <f aca="false">Model!CE246</f>
        <v>0</v>
      </c>
      <c r="CD4" s="249" t="n">
        <f aca="false">Model!CF246</f>
        <v>0</v>
      </c>
      <c r="CE4" s="249" t="n">
        <f aca="false">Model!CG246</f>
        <v>0</v>
      </c>
      <c r="CF4" s="249" t="n">
        <f aca="false">Model!CH246</f>
        <v>0</v>
      </c>
      <c r="CG4" s="249" t="n">
        <f aca="false">Model!CI246</f>
        <v>0</v>
      </c>
      <c r="CH4" s="249" t="n">
        <f aca="false">Model!CJ246</f>
        <v>0</v>
      </c>
    </row>
    <row r="5" customFormat="false" ht="15" hidden="false" customHeight="true" outlineLevel="0" collapsed="false">
      <c r="A5" s="250" t="s">
        <v>850</v>
      </c>
      <c r="B5" s="250"/>
      <c r="C5" s="251" t="n">
        <f aca="false">C4</f>
        <v>9375</v>
      </c>
      <c r="D5" s="251" t="n">
        <f aca="false">D4</f>
        <v>9375</v>
      </c>
      <c r="E5" s="251" t="n">
        <f aca="false">E4</f>
        <v>9375</v>
      </c>
      <c r="F5" s="251" t="n">
        <f aca="false">F4</f>
        <v>9375</v>
      </c>
      <c r="G5" s="251" t="n">
        <f aca="false">G4</f>
        <v>9375</v>
      </c>
      <c r="H5" s="251" t="n">
        <f aca="false">H4</f>
        <v>9375</v>
      </c>
      <c r="I5" s="251" t="n">
        <f aca="false">I4</f>
        <v>9375</v>
      </c>
      <c r="J5" s="251" t="n">
        <f aca="false">J4</f>
        <v>0</v>
      </c>
      <c r="K5" s="251" t="n">
        <f aca="false">K4</f>
        <v>0</v>
      </c>
      <c r="L5" s="251" t="n">
        <f aca="false">L4</f>
        <v>0</v>
      </c>
      <c r="M5" s="251" t="n">
        <f aca="false">M4</f>
        <v>0</v>
      </c>
      <c r="N5" s="251" t="n">
        <f aca="false">N4</f>
        <v>0</v>
      </c>
      <c r="O5" s="251" t="n">
        <f aca="false">O4</f>
        <v>0</v>
      </c>
      <c r="P5" s="251" t="n">
        <f aca="false">P4</f>
        <v>0</v>
      </c>
      <c r="Q5" s="251" t="n">
        <f aca="false">Q4</f>
        <v>0</v>
      </c>
      <c r="R5" s="251" t="n">
        <f aca="false">R4</f>
        <v>0</v>
      </c>
      <c r="S5" s="251" t="n">
        <f aca="false">S4</f>
        <v>0</v>
      </c>
      <c r="T5" s="251" t="n">
        <f aca="false">T4</f>
        <v>0</v>
      </c>
      <c r="U5" s="251" t="n">
        <f aca="false">U4</f>
        <v>0</v>
      </c>
      <c r="V5" s="251" t="n">
        <f aca="false">V4</f>
        <v>0</v>
      </c>
      <c r="W5" s="251" t="n">
        <f aca="false">W4</f>
        <v>0</v>
      </c>
      <c r="X5" s="251" t="n">
        <f aca="false">X4</f>
        <v>0</v>
      </c>
      <c r="Y5" s="251" t="n">
        <f aca="false">Y4</f>
        <v>0</v>
      </c>
      <c r="Z5" s="251" t="n">
        <f aca="false">Z4</f>
        <v>0</v>
      </c>
      <c r="AA5" s="251" t="n">
        <f aca="false">AA4</f>
        <v>0</v>
      </c>
      <c r="AB5" s="251" t="n">
        <f aca="false">AB4</f>
        <v>0</v>
      </c>
      <c r="AC5" s="251" t="n">
        <f aca="false">AC4</f>
        <v>0</v>
      </c>
      <c r="AD5" s="251" t="n">
        <f aca="false">AD4</f>
        <v>0</v>
      </c>
      <c r="AE5" s="251" t="n">
        <f aca="false">AE4</f>
        <v>0</v>
      </c>
      <c r="AF5" s="251" t="n">
        <f aca="false">AF4</f>
        <v>0</v>
      </c>
      <c r="AG5" s="251" t="n">
        <f aca="false">AG4</f>
        <v>0</v>
      </c>
      <c r="AH5" s="251" t="n">
        <f aca="false">AH4</f>
        <v>0</v>
      </c>
      <c r="AI5" s="251" t="n">
        <f aca="false">AI4</f>
        <v>0</v>
      </c>
      <c r="AJ5" s="251" t="n">
        <f aca="false">AJ4</f>
        <v>0</v>
      </c>
      <c r="AK5" s="251" t="n">
        <f aca="false">AK4</f>
        <v>0</v>
      </c>
      <c r="AL5" s="251" t="n">
        <f aca="false">AL4</f>
        <v>0</v>
      </c>
      <c r="AM5" s="251" t="n">
        <f aca="false">AM4</f>
        <v>0</v>
      </c>
      <c r="AN5" s="251" t="n">
        <f aca="false">AN4</f>
        <v>0</v>
      </c>
      <c r="AO5" s="251" t="n">
        <f aca="false">AO4</f>
        <v>0</v>
      </c>
      <c r="AP5" s="251" t="n">
        <f aca="false">AP4</f>
        <v>0</v>
      </c>
      <c r="AQ5" s="251" t="n">
        <f aca="false">AQ4</f>
        <v>0</v>
      </c>
      <c r="AR5" s="251" t="n">
        <f aca="false">AR4</f>
        <v>0</v>
      </c>
      <c r="AS5" s="251" t="n">
        <f aca="false">AS4</f>
        <v>0</v>
      </c>
      <c r="AT5" s="251" t="n">
        <f aca="false">AT4</f>
        <v>0</v>
      </c>
      <c r="AU5" s="251" t="n">
        <f aca="false">AU4</f>
        <v>0</v>
      </c>
      <c r="AV5" s="251" t="n">
        <f aca="false">AV4</f>
        <v>0</v>
      </c>
      <c r="AW5" s="251" t="n">
        <f aca="false">AW4</f>
        <v>0</v>
      </c>
      <c r="AX5" s="251" t="n">
        <f aca="false">AX4</f>
        <v>0</v>
      </c>
      <c r="AY5" s="251" t="n">
        <f aca="false">AY4</f>
        <v>0</v>
      </c>
      <c r="AZ5" s="251" t="n">
        <f aca="false">AZ4</f>
        <v>0</v>
      </c>
      <c r="BA5" s="251" t="n">
        <f aca="false">BA4</f>
        <v>0</v>
      </c>
      <c r="BB5" s="251" t="n">
        <f aca="false">BB4</f>
        <v>0</v>
      </c>
      <c r="BC5" s="251" t="n">
        <f aca="false">BC4</f>
        <v>0</v>
      </c>
      <c r="BD5" s="251" t="n">
        <f aca="false">BD4</f>
        <v>0</v>
      </c>
      <c r="BE5" s="251" t="n">
        <f aca="false">BE4</f>
        <v>0</v>
      </c>
      <c r="BF5" s="251" t="n">
        <f aca="false">BF4</f>
        <v>0</v>
      </c>
      <c r="BG5" s="251" t="n">
        <f aca="false">BG4</f>
        <v>0</v>
      </c>
      <c r="BH5" s="251" t="n">
        <f aca="false">BH4</f>
        <v>0</v>
      </c>
      <c r="BI5" s="251" t="n">
        <f aca="false">BI4</f>
        <v>0</v>
      </c>
      <c r="BJ5" s="251" t="n">
        <f aca="false">BJ4</f>
        <v>0</v>
      </c>
      <c r="BK5" s="251" t="n">
        <f aca="false">BK4</f>
        <v>0</v>
      </c>
      <c r="BL5" s="251" t="n">
        <f aca="false">BL4</f>
        <v>0</v>
      </c>
      <c r="BM5" s="251" t="n">
        <f aca="false">BM4</f>
        <v>0</v>
      </c>
      <c r="BN5" s="251" t="n">
        <f aca="false">BN4</f>
        <v>0</v>
      </c>
      <c r="BO5" s="251" t="n">
        <f aca="false">BO4</f>
        <v>0</v>
      </c>
      <c r="BP5" s="251" t="n">
        <f aca="false">BP4</f>
        <v>0</v>
      </c>
      <c r="BQ5" s="251" t="n">
        <f aca="false">BQ4</f>
        <v>0</v>
      </c>
      <c r="BR5" s="251" t="n">
        <f aca="false">BR4</f>
        <v>0</v>
      </c>
      <c r="BS5" s="251" t="n">
        <f aca="false">BS4</f>
        <v>0</v>
      </c>
      <c r="BT5" s="251" t="n">
        <f aca="false">BT4</f>
        <v>0</v>
      </c>
      <c r="BU5" s="251" t="n">
        <f aca="false">BU4</f>
        <v>0</v>
      </c>
      <c r="BV5" s="251" t="n">
        <f aca="false">BV4</f>
        <v>0</v>
      </c>
      <c r="BW5" s="251" t="n">
        <f aca="false">BW4</f>
        <v>0</v>
      </c>
      <c r="BX5" s="251" t="n">
        <f aca="false">BX4</f>
        <v>0</v>
      </c>
      <c r="BY5" s="251" t="n">
        <f aca="false">BY4</f>
        <v>0</v>
      </c>
      <c r="BZ5" s="251" t="n">
        <f aca="false">BZ4</f>
        <v>0</v>
      </c>
      <c r="CA5" s="251" t="n">
        <f aca="false">CA4</f>
        <v>0</v>
      </c>
      <c r="CB5" s="251" t="n">
        <f aca="false">CB4</f>
        <v>0</v>
      </c>
      <c r="CC5" s="251" t="n">
        <f aca="false">CC4</f>
        <v>0</v>
      </c>
      <c r="CD5" s="251" t="n">
        <f aca="false">CD4</f>
        <v>0</v>
      </c>
      <c r="CE5" s="251" t="n">
        <f aca="false">CE4</f>
        <v>0</v>
      </c>
      <c r="CF5" s="251" t="n">
        <f aca="false">CF4</f>
        <v>0</v>
      </c>
      <c r="CG5" s="251" t="n">
        <f aca="false">CG4</f>
        <v>0</v>
      </c>
      <c r="CH5" s="251" t="n">
        <f aca="false">CH4</f>
        <v>0</v>
      </c>
    </row>
    <row r="6" customFormat="false" ht="15" hidden="false" customHeight="true" outlineLevel="0" collapsed="false">
      <c r="A6" s="2" t="s">
        <v>851</v>
      </c>
      <c r="B6" s="3"/>
      <c r="C6" s="252" t="n">
        <f aca="false">C5</f>
        <v>9375</v>
      </c>
      <c r="D6" s="252" t="n">
        <f aca="false">C6+D5</f>
        <v>18750</v>
      </c>
      <c r="E6" s="252" t="n">
        <f aca="false">D6+E5</f>
        <v>28125</v>
      </c>
      <c r="F6" s="252" t="n">
        <f aca="false">E6+F5</f>
        <v>37500</v>
      </c>
      <c r="G6" s="252" t="n">
        <f aca="false">F6+G5</f>
        <v>46875</v>
      </c>
      <c r="H6" s="252" t="n">
        <f aca="false">G6+H5</f>
        <v>56250</v>
      </c>
      <c r="I6" s="252" t="n">
        <f aca="false">H6+I5</f>
        <v>65625</v>
      </c>
      <c r="J6" s="252" t="n">
        <f aca="false">I6+J5</f>
        <v>65625</v>
      </c>
      <c r="K6" s="252" t="n">
        <f aca="false">J6+K5</f>
        <v>65625</v>
      </c>
      <c r="L6" s="252" t="n">
        <f aca="false">K6+L5</f>
        <v>65625</v>
      </c>
      <c r="M6" s="252" t="n">
        <f aca="false">L6+M5</f>
        <v>65625</v>
      </c>
      <c r="N6" s="252" t="n">
        <f aca="false">M6+N5</f>
        <v>65625</v>
      </c>
      <c r="O6" s="252" t="n">
        <f aca="false">N6+O5</f>
        <v>65625</v>
      </c>
      <c r="P6" s="252" t="n">
        <f aca="false">O6+P5</f>
        <v>65625</v>
      </c>
      <c r="Q6" s="252" t="n">
        <f aca="false">P6+Q5</f>
        <v>65625</v>
      </c>
      <c r="R6" s="252" t="n">
        <f aca="false">Q6+R5</f>
        <v>65625</v>
      </c>
      <c r="S6" s="252" t="n">
        <f aca="false">R6+S5</f>
        <v>65625</v>
      </c>
      <c r="T6" s="252" t="n">
        <f aca="false">S6+T5</f>
        <v>65625</v>
      </c>
      <c r="U6" s="252" t="n">
        <f aca="false">T6+U5</f>
        <v>65625</v>
      </c>
      <c r="V6" s="252" t="n">
        <f aca="false">U6+V5</f>
        <v>65625</v>
      </c>
      <c r="W6" s="252" t="n">
        <f aca="false">V6+W5</f>
        <v>65625</v>
      </c>
      <c r="X6" s="252" t="n">
        <f aca="false">W6+X5</f>
        <v>65625</v>
      </c>
      <c r="Y6" s="252" t="n">
        <f aca="false">X6+Y5</f>
        <v>65625</v>
      </c>
      <c r="Z6" s="252" t="n">
        <f aca="false">Y6+Z5</f>
        <v>65625</v>
      </c>
      <c r="AA6" s="252" t="n">
        <f aca="false">Z6+AA5</f>
        <v>65625</v>
      </c>
      <c r="AB6" s="252" t="n">
        <f aca="false">AA6+AB5</f>
        <v>65625</v>
      </c>
      <c r="AC6" s="252" t="n">
        <f aca="false">AB6+AC5</f>
        <v>65625</v>
      </c>
      <c r="AD6" s="252" t="n">
        <f aca="false">AC6+AD5</f>
        <v>65625</v>
      </c>
      <c r="AE6" s="252" t="n">
        <f aca="false">AD6+AE5</f>
        <v>65625</v>
      </c>
      <c r="AF6" s="252" t="n">
        <f aca="false">AE6+AF5</f>
        <v>65625</v>
      </c>
      <c r="AG6" s="252" t="n">
        <f aca="false">AF6+AG5</f>
        <v>65625</v>
      </c>
      <c r="AH6" s="252" t="n">
        <f aca="false">AG6+AH5</f>
        <v>65625</v>
      </c>
      <c r="AI6" s="252" t="n">
        <f aca="false">AH6+AI5</f>
        <v>65625</v>
      </c>
      <c r="AJ6" s="252" t="n">
        <f aca="false">AI6+AJ5</f>
        <v>65625</v>
      </c>
      <c r="AK6" s="252" t="n">
        <f aca="false">AJ6+AK5</f>
        <v>65625</v>
      </c>
      <c r="AL6" s="252" t="n">
        <f aca="false">AK6+AL5</f>
        <v>65625</v>
      </c>
      <c r="AM6" s="252" t="n">
        <f aca="false">AL6+AM5</f>
        <v>65625</v>
      </c>
      <c r="AN6" s="252" t="n">
        <f aca="false">AM6+AN5</f>
        <v>65625</v>
      </c>
      <c r="AO6" s="252" t="n">
        <f aca="false">AN6+AO5</f>
        <v>65625</v>
      </c>
      <c r="AP6" s="252" t="n">
        <f aca="false">AO6+AP5</f>
        <v>65625</v>
      </c>
      <c r="AQ6" s="252" t="n">
        <f aca="false">AP6+AQ5</f>
        <v>65625</v>
      </c>
      <c r="AR6" s="252" t="n">
        <f aca="false">AQ6+AR5</f>
        <v>65625</v>
      </c>
      <c r="AS6" s="252" t="n">
        <f aca="false">AR6+AS5</f>
        <v>65625</v>
      </c>
      <c r="AT6" s="252" t="n">
        <f aca="false">AS6+AT5</f>
        <v>65625</v>
      </c>
      <c r="AU6" s="252" t="n">
        <f aca="false">AT6+AU5</f>
        <v>65625</v>
      </c>
      <c r="AV6" s="252" t="n">
        <f aca="false">AU6+AV5</f>
        <v>65625</v>
      </c>
      <c r="AW6" s="252" t="n">
        <f aca="false">AV6+AW5</f>
        <v>65625</v>
      </c>
      <c r="AX6" s="252" t="n">
        <f aca="false">AW6+AX5</f>
        <v>65625</v>
      </c>
      <c r="AY6" s="252" t="n">
        <f aca="false">AX6+AY5</f>
        <v>65625</v>
      </c>
      <c r="AZ6" s="252" t="n">
        <f aca="false">AY6+AZ5</f>
        <v>65625</v>
      </c>
      <c r="BA6" s="252" t="n">
        <f aca="false">AZ6+BA5</f>
        <v>65625</v>
      </c>
      <c r="BB6" s="252" t="n">
        <f aca="false">BA6+BB5</f>
        <v>65625</v>
      </c>
      <c r="BC6" s="252" t="n">
        <f aca="false">BB6+BC5</f>
        <v>65625</v>
      </c>
      <c r="BD6" s="252" t="n">
        <f aca="false">BC6+BD5</f>
        <v>65625</v>
      </c>
      <c r="BE6" s="252" t="n">
        <f aca="false">BD6+BE5</f>
        <v>65625</v>
      </c>
      <c r="BF6" s="252" t="n">
        <f aca="false">BE6+BF5</f>
        <v>65625</v>
      </c>
      <c r="BG6" s="252" t="n">
        <f aca="false">BF6+BG5</f>
        <v>65625</v>
      </c>
      <c r="BH6" s="252" t="n">
        <f aca="false">BG6+BH5</f>
        <v>65625</v>
      </c>
      <c r="BI6" s="252" t="n">
        <f aca="false">BH6+BI5</f>
        <v>65625</v>
      </c>
      <c r="BJ6" s="252" t="n">
        <f aca="false">BI6+BJ5</f>
        <v>65625</v>
      </c>
      <c r="BK6" s="252" t="n">
        <f aca="false">BJ6+BK5</f>
        <v>65625</v>
      </c>
      <c r="BL6" s="252" t="n">
        <f aca="false">BK6+BL5</f>
        <v>65625</v>
      </c>
      <c r="BM6" s="252" t="n">
        <f aca="false">BL6+BM5</f>
        <v>65625</v>
      </c>
      <c r="BN6" s="252" t="n">
        <f aca="false">BM6+BN5</f>
        <v>65625</v>
      </c>
      <c r="BO6" s="252" t="n">
        <f aca="false">BN6+BO5</f>
        <v>65625</v>
      </c>
      <c r="BP6" s="252" t="n">
        <f aca="false">BO6+BP5</f>
        <v>65625</v>
      </c>
      <c r="BQ6" s="252" t="n">
        <f aca="false">BP6+BQ5</f>
        <v>65625</v>
      </c>
      <c r="BR6" s="252" t="n">
        <f aca="false">BQ6+BR5</f>
        <v>65625</v>
      </c>
      <c r="BS6" s="252" t="n">
        <f aca="false">BR6+BS5</f>
        <v>65625</v>
      </c>
      <c r="BT6" s="252" t="n">
        <f aca="false">BS6+BT5</f>
        <v>65625</v>
      </c>
      <c r="BU6" s="252" t="n">
        <f aca="false">BT6+BU5</f>
        <v>65625</v>
      </c>
      <c r="BV6" s="252" t="n">
        <f aca="false">BU6+BV5</f>
        <v>65625</v>
      </c>
      <c r="BW6" s="252" t="n">
        <f aca="false">BV6+BW5</f>
        <v>65625</v>
      </c>
      <c r="BX6" s="252" t="n">
        <f aca="false">BW6+BX5</f>
        <v>65625</v>
      </c>
      <c r="BY6" s="252" t="n">
        <f aca="false">BX6+BY5</f>
        <v>65625</v>
      </c>
      <c r="BZ6" s="252" t="n">
        <f aca="false">BY6+BZ5</f>
        <v>65625</v>
      </c>
      <c r="CA6" s="252" t="n">
        <f aca="false">BZ6+CA5</f>
        <v>65625</v>
      </c>
      <c r="CB6" s="252" t="n">
        <f aca="false">CA6+CB5</f>
        <v>65625</v>
      </c>
      <c r="CC6" s="252" t="n">
        <f aca="false">CB6+CC5</f>
        <v>65625</v>
      </c>
      <c r="CD6" s="252" t="n">
        <f aca="false">CC6+CD5</f>
        <v>65625</v>
      </c>
      <c r="CE6" s="252" t="n">
        <f aca="false">CD6+CE5</f>
        <v>65625</v>
      </c>
      <c r="CF6" s="252" t="n">
        <f aca="false">CE6+CF5</f>
        <v>65625</v>
      </c>
      <c r="CG6" s="252" t="n">
        <f aca="false">CF6+CG5</f>
        <v>65625</v>
      </c>
      <c r="CH6" s="252"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849</v>
      </c>
      <c r="B9" s="3"/>
      <c r="C9" s="249" t="n">
        <f aca="false">Model!E242+Model!E243+Model!E244+Model!E245</f>
        <v>23906.25</v>
      </c>
      <c r="D9" s="249" t="n">
        <f aca="false">Model!F242+Model!F243+Model!F244+Model!F245</f>
        <v>23906.25</v>
      </c>
      <c r="E9" s="249" t="n">
        <f aca="false">Model!G242+Model!G243+Model!G244+Model!G245</f>
        <v>23906.25</v>
      </c>
      <c r="F9" s="249" t="n">
        <f aca="false">Model!H242+Model!H243+Model!H244+Model!H245</f>
        <v>23906.25</v>
      </c>
      <c r="G9" s="249" t="n">
        <f aca="false">Model!I242+Model!I243+Model!I244+Model!I245</f>
        <v>23906.25</v>
      </c>
      <c r="H9" s="249" t="n">
        <f aca="false">Model!J242+Model!J243+Model!J244+Model!J245</f>
        <v>23906.25</v>
      </c>
      <c r="I9" s="249" t="n">
        <f aca="false">Model!K242+Model!K243+Model!K244+Model!K245</f>
        <v>23906.25</v>
      </c>
      <c r="J9" s="249" t="n">
        <f aca="false">Model!L242+Model!L243+Model!L244+Model!L245</f>
        <v>23906.25</v>
      </c>
      <c r="K9" s="249" t="n">
        <f aca="false">Model!M242+Model!M243+Model!M244+Model!M245</f>
        <v>23906.25</v>
      </c>
      <c r="L9" s="249" t="n">
        <f aca="false">Model!N242+Model!N243+Model!N244+Model!N245</f>
        <v>23906.25</v>
      </c>
      <c r="M9" s="249" t="n">
        <f aca="false">Model!O242+Model!O243+Model!O244+Model!O245</f>
        <v>23906.25</v>
      </c>
      <c r="N9" s="249" t="n">
        <f aca="false">Model!P242+Model!P243+Model!P244+Model!P245</f>
        <v>23906.25</v>
      </c>
      <c r="O9" s="249" t="n">
        <f aca="false">Model!Q242+Model!Q243+Model!Q244+Model!Q245</f>
        <v>23906.25</v>
      </c>
      <c r="P9" s="249" t="n">
        <f aca="false">Model!R242+Model!R243+Model!R244+Model!R245</f>
        <v>23906.25</v>
      </c>
      <c r="Q9" s="249" t="n">
        <f aca="false">Model!S242+Model!S243+Model!S244+Model!S245</f>
        <v>23906.25</v>
      </c>
      <c r="R9" s="249" t="n">
        <f aca="false">Model!T242+Model!T243+Model!T244+Model!T245</f>
        <v>0</v>
      </c>
      <c r="S9" s="249" t="n">
        <f aca="false">Model!U242+Model!U243+Model!U244+Model!U245</f>
        <v>0</v>
      </c>
      <c r="T9" s="249" t="n">
        <f aca="false">Model!V242+Model!V243+Model!V244+Model!V245</f>
        <v>0</v>
      </c>
      <c r="U9" s="249" t="n">
        <f aca="false">Model!W242+Model!W243+Model!W244+Model!W245</f>
        <v>0</v>
      </c>
      <c r="V9" s="249" t="n">
        <f aca="false">Model!X242+Model!X243+Model!X244+Model!X245</f>
        <v>0</v>
      </c>
      <c r="W9" s="249" t="n">
        <f aca="false">Model!Y242+Model!Y243+Model!Y244+Model!Y245</f>
        <v>57375</v>
      </c>
      <c r="X9" s="249" t="n">
        <f aca="false">Model!Z242+Model!Z243+Model!Z244+Model!Z245</f>
        <v>0</v>
      </c>
      <c r="Y9" s="249" t="n">
        <f aca="false">Model!AA242+Model!AA243+Model!AA244+Model!AA245</f>
        <v>0</v>
      </c>
      <c r="Z9" s="249" t="n">
        <f aca="false">Model!AB242+Model!AB243+Model!AB244+Model!AB245</f>
        <v>57375</v>
      </c>
      <c r="AA9" s="249" t="n">
        <f aca="false">Model!AC242+Model!AC243+Model!AC244+Model!AC245</f>
        <v>0</v>
      </c>
      <c r="AB9" s="249" t="n">
        <f aca="false">Model!AD242+Model!AD243+Model!AD244+Model!AD245</f>
        <v>0</v>
      </c>
      <c r="AC9" s="249" t="n">
        <f aca="false">Model!AE242+Model!AE243+Model!AE244+Model!AE245</f>
        <v>57375</v>
      </c>
      <c r="AD9" s="249" t="n">
        <f aca="false">Model!AF242+Model!AF243+Model!AF244+Model!AF245</f>
        <v>0</v>
      </c>
      <c r="AE9" s="249" t="n">
        <f aca="false">Model!AG242+Model!AG243+Model!AG244+Model!AG245</f>
        <v>0</v>
      </c>
      <c r="AF9" s="249" t="n">
        <f aca="false">Model!AH242+Model!AH243+Model!AH244+Model!AH245</f>
        <v>0</v>
      </c>
      <c r="AG9" s="249" t="n">
        <f aca="false">Model!AI242+Model!AI243+Model!AI244+Model!AI245</f>
        <v>0</v>
      </c>
      <c r="AH9" s="249" t="n">
        <f aca="false">Model!AJ242+Model!AJ243+Model!AJ244+Model!AJ245</f>
        <v>0</v>
      </c>
      <c r="AI9" s="249" t="n">
        <f aca="false">Model!AK242+Model!AK243+Model!AK244+Model!AK245</f>
        <v>0</v>
      </c>
      <c r="AJ9" s="249" t="n">
        <f aca="false">Model!AL242+Model!AL243+Model!AL244+Model!AL245</f>
        <v>0</v>
      </c>
      <c r="AK9" s="249" t="n">
        <f aca="false">Model!AM242+Model!AM243+Model!AM244+Model!AM245</f>
        <v>0</v>
      </c>
      <c r="AL9" s="249" t="n">
        <f aca="false">Model!AN242+Model!AN243+Model!AN244+Model!AN245</f>
        <v>0</v>
      </c>
      <c r="AM9" s="249" t="n">
        <f aca="false">Model!AO242+Model!AO243+Model!AO244+Model!AO245</f>
        <v>0</v>
      </c>
      <c r="AN9" s="249" t="n">
        <f aca="false">Model!AP242+Model!AP243+Model!AP244+Model!AP245</f>
        <v>0</v>
      </c>
      <c r="AO9" s="249" t="n">
        <f aca="false">Model!AQ242+Model!AQ243+Model!AQ244+Model!AQ245</f>
        <v>0</v>
      </c>
      <c r="AP9" s="249" t="n">
        <f aca="false">Model!AR242+Model!AR243+Model!AR244+Model!AR245</f>
        <v>0</v>
      </c>
      <c r="AQ9" s="249" t="n">
        <f aca="false">Model!AS242+Model!AS243+Model!AS244+Model!AS245</f>
        <v>0</v>
      </c>
      <c r="AR9" s="249" t="n">
        <f aca="false">Model!AT242+Model!AT243+Model!AT244+Model!AT245</f>
        <v>0</v>
      </c>
      <c r="AS9" s="249" t="n">
        <f aca="false">Model!AU242+Model!AU243+Model!AU244+Model!AU245</f>
        <v>0</v>
      </c>
      <c r="AT9" s="249" t="n">
        <f aca="false">Model!AV242+Model!AV243+Model!AV244+Model!AV245</f>
        <v>0</v>
      </c>
      <c r="AU9" s="249" t="n">
        <f aca="false">Model!AW242+Model!AW243+Model!AW244+Model!AW245</f>
        <v>0</v>
      </c>
      <c r="AV9" s="249" t="n">
        <f aca="false">Model!AX242+Model!AX243+Model!AX244+Model!AX245</f>
        <v>0</v>
      </c>
      <c r="AW9" s="249" t="n">
        <f aca="false">Model!AY242+Model!AY243+Model!AY244+Model!AY245</f>
        <v>0</v>
      </c>
      <c r="AX9" s="249" t="n">
        <f aca="false">Model!AZ242+Model!AZ243+Model!AZ244+Model!AZ245</f>
        <v>0</v>
      </c>
      <c r="AY9" s="249" t="n">
        <f aca="false">Model!BA242+Model!BA243+Model!BA244+Model!BA245</f>
        <v>0</v>
      </c>
      <c r="AZ9" s="249" t="n">
        <f aca="false">Model!BB242+Model!BB243+Model!BB244+Model!BB245</f>
        <v>0</v>
      </c>
      <c r="BA9" s="249" t="n">
        <f aca="false">Model!BC242+Model!BC243+Model!BC244+Model!BC245</f>
        <v>0</v>
      </c>
      <c r="BB9" s="249" t="n">
        <f aca="false">Model!BD242+Model!BD243+Model!BD244+Model!BD245</f>
        <v>0</v>
      </c>
      <c r="BC9" s="249" t="n">
        <f aca="false">Model!BE242+Model!BE243+Model!BE244+Model!BE245</f>
        <v>0</v>
      </c>
      <c r="BD9" s="249" t="n">
        <f aca="false">Model!BF242+Model!BF243+Model!BF244+Model!BF245</f>
        <v>0</v>
      </c>
      <c r="BE9" s="249" t="n">
        <f aca="false">Model!BG242+Model!BG243+Model!BG244+Model!BG245</f>
        <v>0</v>
      </c>
      <c r="BF9" s="249" t="n">
        <f aca="false">Model!BH242+Model!BH243+Model!BH244+Model!BH245</f>
        <v>0</v>
      </c>
      <c r="BG9" s="249" t="n">
        <f aca="false">Model!BI242+Model!BI243+Model!BI244+Model!BI245</f>
        <v>0</v>
      </c>
      <c r="BH9" s="249" t="n">
        <f aca="false">Model!BJ242+Model!BJ243+Model!BJ244+Model!BJ245</f>
        <v>0</v>
      </c>
      <c r="BI9" s="249" t="n">
        <f aca="false">Model!BK242+Model!BK243+Model!BK244+Model!BK245</f>
        <v>0</v>
      </c>
      <c r="BJ9" s="249" t="n">
        <f aca="false">Model!BL242+Model!BL243+Model!BL244+Model!BL245</f>
        <v>0</v>
      </c>
      <c r="BK9" s="249" t="n">
        <f aca="false">Model!BM242+Model!BM243+Model!BM244+Model!BM245</f>
        <v>0</v>
      </c>
      <c r="BL9" s="249" t="n">
        <f aca="false">Model!BN242+Model!BN243+Model!BN244+Model!BN245</f>
        <v>0</v>
      </c>
      <c r="BM9" s="249" t="n">
        <f aca="false">Model!BO242+Model!BO243+Model!BO244+Model!BO245</f>
        <v>0</v>
      </c>
      <c r="BN9" s="249" t="n">
        <f aca="false">Model!BP242+Model!BP243+Model!BP244+Model!BP245</f>
        <v>0</v>
      </c>
      <c r="BO9" s="249" t="n">
        <f aca="false">Model!BQ242+Model!BQ243+Model!BQ244+Model!BQ245</f>
        <v>0</v>
      </c>
      <c r="BP9" s="249" t="n">
        <f aca="false">Model!BR242+Model!BR243+Model!BR244+Model!BR245</f>
        <v>0</v>
      </c>
      <c r="BQ9" s="249" t="n">
        <f aca="false">Model!BS242+Model!BS243+Model!BS244+Model!BS245</f>
        <v>0</v>
      </c>
      <c r="BR9" s="249" t="n">
        <f aca="false">Model!BT242+Model!BT243+Model!BT244+Model!BT245</f>
        <v>0</v>
      </c>
      <c r="BS9" s="249" t="n">
        <f aca="false">Model!BU242+Model!BU243+Model!BU244+Model!BU245</f>
        <v>0</v>
      </c>
      <c r="BT9" s="249" t="n">
        <f aca="false">Model!BV242+Model!BV243+Model!BV244+Model!BV245</f>
        <v>0</v>
      </c>
      <c r="BU9" s="249" t="n">
        <f aca="false">Model!BW242+Model!BW243+Model!BW244+Model!BW245</f>
        <v>0</v>
      </c>
      <c r="BV9" s="249" t="n">
        <f aca="false">Model!BX242+Model!BX243+Model!BX244+Model!BX245</f>
        <v>0</v>
      </c>
      <c r="BW9" s="249" t="n">
        <f aca="false">Model!BY242+Model!BY243+Model!BY244+Model!BY245</f>
        <v>0</v>
      </c>
      <c r="BX9" s="249" t="n">
        <f aca="false">Model!BZ242+Model!BZ243+Model!BZ244+Model!BZ245</f>
        <v>0</v>
      </c>
      <c r="BY9" s="249" t="n">
        <f aca="false">Model!CA242+Model!CA243+Model!CA244+Model!CA245</f>
        <v>0</v>
      </c>
      <c r="BZ9" s="249" t="n">
        <f aca="false">Model!CB242+Model!CB243+Model!CB244+Model!CB245</f>
        <v>0</v>
      </c>
      <c r="CA9" s="249" t="n">
        <f aca="false">Model!CC242+Model!CC243+Model!CC244+Model!CC245</f>
        <v>0</v>
      </c>
      <c r="CB9" s="249" t="n">
        <f aca="false">Model!CD242+Model!CD243+Model!CD244+Model!CD245</f>
        <v>0</v>
      </c>
      <c r="CC9" s="249" t="n">
        <f aca="false">Model!CE242+Model!CE243+Model!CE244+Model!CE245</f>
        <v>0</v>
      </c>
      <c r="CD9" s="249" t="n">
        <f aca="false">Model!CF242+Model!CF243+Model!CF244+Model!CF245</f>
        <v>0</v>
      </c>
      <c r="CE9" s="249" t="n">
        <f aca="false">Model!CG242+Model!CG243+Model!CG244+Model!CG245</f>
        <v>0</v>
      </c>
      <c r="CF9" s="249" t="n">
        <f aca="false">Model!CH242+Model!CH243+Model!CH244+Model!CH245</f>
        <v>0</v>
      </c>
      <c r="CG9" s="249" t="n">
        <f aca="false">Model!CI242+Model!CI243+Model!CI244+Model!CI245</f>
        <v>0</v>
      </c>
      <c r="CH9" s="249" t="n">
        <f aca="false">Model!CJ242+Model!CJ243+Model!CJ244+Model!CJ245</f>
        <v>0</v>
      </c>
    </row>
    <row r="10" customFormat="false" ht="15" hidden="false" customHeight="true" outlineLevel="0" collapsed="false">
      <c r="A10" s="250" t="s">
        <v>850</v>
      </c>
      <c r="B10" s="250"/>
      <c r="C10" s="251" t="n">
        <f aca="false">C9</f>
        <v>23906.25</v>
      </c>
      <c r="D10" s="251" t="n">
        <f aca="false">D9</f>
        <v>23906.25</v>
      </c>
      <c r="E10" s="251" t="n">
        <f aca="false">E9</f>
        <v>23906.25</v>
      </c>
      <c r="F10" s="251" t="n">
        <f aca="false">F9</f>
        <v>23906.25</v>
      </c>
      <c r="G10" s="251" t="n">
        <f aca="false">G9</f>
        <v>23906.25</v>
      </c>
      <c r="H10" s="251" t="n">
        <f aca="false">H9</f>
        <v>23906.25</v>
      </c>
      <c r="I10" s="251" t="n">
        <f aca="false">I9</f>
        <v>23906.25</v>
      </c>
      <c r="J10" s="251" t="n">
        <f aca="false">J9</f>
        <v>23906.25</v>
      </c>
      <c r="K10" s="251" t="n">
        <f aca="false">K9</f>
        <v>23906.25</v>
      </c>
      <c r="L10" s="251" t="n">
        <f aca="false">L9</f>
        <v>23906.25</v>
      </c>
      <c r="M10" s="251" t="n">
        <f aca="false">M9</f>
        <v>23906.25</v>
      </c>
      <c r="N10" s="251" t="n">
        <f aca="false">N9</f>
        <v>23906.25</v>
      </c>
      <c r="O10" s="251" t="n">
        <f aca="false">O9</f>
        <v>23906.25</v>
      </c>
      <c r="P10" s="251" t="n">
        <f aca="false">P9</f>
        <v>23906.25</v>
      </c>
      <c r="Q10" s="251" t="n">
        <f aca="false">Q9</f>
        <v>23906.25</v>
      </c>
      <c r="R10" s="251" t="n">
        <f aca="false">R9</f>
        <v>0</v>
      </c>
      <c r="S10" s="251" t="n">
        <f aca="false">S9</f>
        <v>0</v>
      </c>
      <c r="T10" s="251" t="n">
        <f aca="false">T9</f>
        <v>0</v>
      </c>
      <c r="U10" s="251" t="n">
        <f aca="false">U9</f>
        <v>0</v>
      </c>
      <c r="V10" s="251" t="n">
        <f aca="false">V9</f>
        <v>0</v>
      </c>
      <c r="W10" s="251" t="n">
        <f aca="false">W9</f>
        <v>57375</v>
      </c>
      <c r="X10" s="251" t="n">
        <f aca="false">X9</f>
        <v>0</v>
      </c>
      <c r="Y10" s="251" t="n">
        <f aca="false">Y9</f>
        <v>0</v>
      </c>
      <c r="Z10" s="251" t="n">
        <f aca="false">Z9</f>
        <v>57375</v>
      </c>
      <c r="AA10" s="251" t="n">
        <f aca="false">AA9</f>
        <v>0</v>
      </c>
      <c r="AB10" s="251" t="n">
        <f aca="false">AB9</f>
        <v>0</v>
      </c>
      <c r="AC10" s="251" t="n">
        <f aca="false">AC9</f>
        <v>57375</v>
      </c>
      <c r="AD10" s="251" t="n">
        <f aca="false">AD9</f>
        <v>0</v>
      </c>
      <c r="AE10" s="251" t="n">
        <f aca="false">AE9</f>
        <v>0</v>
      </c>
      <c r="AF10" s="251" t="n">
        <f aca="false">AF9</f>
        <v>0</v>
      </c>
      <c r="AG10" s="251" t="n">
        <f aca="false">AG9</f>
        <v>0</v>
      </c>
      <c r="AH10" s="251" t="n">
        <f aca="false">AH9</f>
        <v>0</v>
      </c>
      <c r="AI10" s="251" t="n">
        <f aca="false">AI9</f>
        <v>0</v>
      </c>
      <c r="AJ10" s="251" t="n">
        <f aca="false">AJ9</f>
        <v>0</v>
      </c>
      <c r="AK10" s="251" t="n">
        <f aca="false">AK9</f>
        <v>0</v>
      </c>
      <c r="AL10" s="251" t="n">
        <f aca="false">AL9</f>
        <v>0</v>
      </c>
      <c r="AM10" s="251" t="n">
        <f aca="false">AM9</f>
        <v>0</v>
      </c>
      <c r="AN10" s="251" t="n">
        <f aca="false">AN9</f>
        <v>0</v>
      </c>
      <c r="AO10" s="251" t="n">
        <f aca="false">AO9</f>
        <v>0</v>
      </c>
      <c r="AP10" s="251" t="n">
        <f aca="false">AP9</f>
        <v>0</v>
      </c>
      <c r="AQ10" s="251" t="n">
        <f aca="false">AQ9</f>
        <v>0</v>
      </c>
      <c r="AR10" s="251" t="n">
        <f aca="false">AR9</f>
        <v>0</v>
      </c>
      <c r="AS10" s="251" t="n">
        <f aca="false">AS9</f>
        <v>0</v>
      </c>
      <c r="AT10" s="251" t="n">
        <f aca="false">AT9</f>
        <v>0</v>
      </c>
      <c r="AU10" s="251" t="n">
        <f aca="false">AU9</f>
        <v>0</v>
      </c>
      <c r="AV10" s="251" t="n">
        <f aca="false">AV9</f>
        <v>0</v>
      </c>
      <c r="AW10" s="251" t="n">
        <f aca="false">AW9</f>
        <v>0</v>
      </c>
      <c r="AX10" s="251" t="n">
        <f aca="false">AX9</f>
        <v>0</v>
      </c>
      <c r="AY10" s="251" t="n">
        <f aca="false">AY9</f>
        <v>0</v>
      </c>
      <c r="AZ10" s="251" t="n">
        <f aca="false">AZ9</f>
        <v>0</v>
      </c>
      <c r="BA10" s="251" t="n">
        <f aca="false">BA9</f>
        <v>0</v>
      </c>
      <c r="BB10" s="251" t="n">
        <f aca="false">BB9</f>
        <v>0</v>
      </c>
      <c r="BC10" s="251" t="n">
        <f aca="false">BC9</f>
        <v>0</v>
      </c>
      <c r="BD10" s="251" t="n">
        <f aca="false">BD9</f>
        <v>0</v>
      </c>
      <c r="BE10" s="251" t="n">
        <f aca="false">BE9</f>
        <v>0</v>
      </c>
      <c r="BF10" s="251" t="n">
        <f aca="false">BF9</f>
        <v>0</v>
      </c>
      <c r="BG10" s="251" t="n">
        <f aca="false">BG9</f>
        <v>0</v>
      </c>
      <c r="BH10" s="251" t="n">
        <f aca="false">BH9</f>
        <v>0</v>
      </c>
      <c r="BI10" s="251" t="n">
        <f aca="false">BI9</f>
        <v>0</v>
      </c>
      <c r="BJ10" s="251" t="n">
        <f aca="false">BJ9</f>
        <v>0</v>
      </c>
      <c r="BK10" s="251" t="n">
        <f aca="false">BK9</f>
        <v>0</v>
      </c>
      <c r="BL10" s="251" t="n">
        <f aca="false">BL9</f>
        <v>0</v>
      </c>
      <c r="BM10" s="251" t="n">
        <f aca="false">BM9</f>
        <v>0</v>
      </c>
      <c r="BN10" s="251" t="n">
        <f aca="false">BN9</f>
        <v>0</v>
      </c>
      <c r="BO10" s="251" t="n">
        <f aca="false">BO9</f>
        <v>0</v>
      </c>
      <c r="BP10" s="251" t="n">
        <f aca="false">BP9</f>
        <v>0</v>
      </c>
      <c r="BQ10" s="251" t="n">
        <f aca="false">BQ9</f>
        <v>0</v>
      </c>
      <c r="BR10" s="251" t="n">
        <f aca="false">BR9</f>
        <v>0</v>
      </c>
      <c r="BS10" s="251" t="n">
        <f aca="false">BS9</f>
        <v>0</v>
      </c>
      <c r="BT10" s="251" t="n">
        <f aca="false">BT9</f>
        <v>0</v>
      </c>
      <c r="BU10" s="251" t="n">
        <f aca="false">BU9</f>
        <v>0</v>
      </c>
      <c r="BV10" s="251" t="n">
        <f aca="false">BV9</f>
        <v>0</v>
      </c>
      <c r="BW10" s="251" t="n">
        <f aca="false">BW9</f>
        <v>0</v>
      </c>
      <c r="BX10" s="251" t="n">
        <f aca="false">BX9</f>
        <v>0</v>
      </c>
      <c r="BY10" s="251" t="n">
        <f aca="false">BY9</f>
        <v>0</v>
      </c>
      <c r="BZ10" s="251" t="n">
        <f aca="false">BZ9</f>
        <v>0</v>
      </c>
      <c r="CA10" s="251" t="n">
        <f aca="false">CA9</f>
        <v>0</v>
      </c>
      <c r="CB10" s="251" t="n">
        <f aca="false">CB9</f>
        <v>0</v>
      </c>
      <c r="CC10" s="251" t="n">
        <f aca="false">CC9</f>
        <v>0</v>
      </c>
      <c r="CD10" s="251" t="n">
        <f aca="false">CD9</f>
        <v>0</v>
      </c>
      <c r="CE10" s="251" t="n">
        <f aca="false">CE9</f>
        <v>0</v>
      </c>
      <c r="CF10" s="251" t="n">
        <f aca="false">CF9</f>
        <v>0</v>
      </c>
      <c r="CG10" s="251" t="n">
        <f aca="false">CG9</f>
        <v>0</v>
      </c>
      <c r="CH10" s="251" t="n">
        <f aca="false">CH9</f>
        <v>0</v>
      </c>
    </row>
    <row r="11" customFormat="false" ht="15" hidden="false" customHeight="true" outlineLevel="0" collapsed="false">
      <c r="A11" s="2" t="s">
        <v>851</v>
      </c>
      <c r="B11" s="3"/>
      <c r="C11" s="252" t="n">
        <f aca="false">C10</f>
        <v>23906.25</v>
      </c>
      <c r="D11" s="252" t="n">
        <f aca="false">C11+D10</f>
        <v>47812.5</v>
      </c>
      <c r="E11" s="252" t="n">
        <f aca="false">D11+E10</f>
        <v>71718.75</v>
      </c>
      <c r="F11" s="252" t="n">
        <f aca="false">E11+F10</f>
        <v>95625</v>
      </c>
      <c r="G11" s="252" t="n">
        <f aca="false">F11+G10</f>
        <v>119531.25</v>
      </c>
      <c r="H11" s="252" t="n">
        <f aca="false">G11+H10</f>
        <v>143437.5</v>
      </c>
      <c r="I11" s="252" t="n">
        <f aca="false">H11+I10</f>
        <v>167343.75</v>
      </c>
      <c r="J11" s="252" t="n">
        <f aca="false">I11+J10</f>
        <v>191250</v>
      </c>
      <c r="K11" s="252" t="n">
        <f aca="false">J11+K10</f>
        <v>215156.25</v>
      </c>
      <c r="L11" s="252" t="n">
        <f aca="false">K11+L10</f>
        <v>239062.5</v>
      </c>
      <c r="M11" s="252" t="n">
        <f aca="false">L11+M10</f>
        <v>262968.75</v>
      </c>
      <c r="N11" s="252" t="n">
        <f aca="false">M11+N10</f>
        <v>286875</v>
      </c>
      <c r="O11" s="252" t="n">
        <f aca="false">N11+O10</f>
        <v>310781.25</v>
      </c>
      <c r="P11" s="252" t="n">
        <f aca="false">O11+P10</f>
        <v>334687.5</v>
      </c>
      <c r="Q11" s="252" t="n">
        <f aca="false">P11+Q10</f>
        <v>358593.75</v>
      </c>
      <c r="R11" s="252" t="n">
        <f aca="false">Q11+R10</f>
        <v>358593.75</v>
      </c>
      <c r="S11" s="252" t="n">
        <f aca="false">R11+S10</f>
        <v>358593.75</v>
      </c>
      <c r="T11" s="252" t="n">
        <f aca="false">S11+T10</f>
        <v>358593.75</v>
      </c>
      <c r="U11" s="252" t="n">
        <f aca="false">T11+U10</f>
        <v>358593.75</v>
      </c>
      <c r="V11" s="252" t="n">
        <f aca="false">U11+V10</f>
        <v>358593.75</v>
      </c>
      <c r="W11" s="252" t="n">
        <f aca="false">V11+W10</f>
        <v>415968.75</v>
      </c>
      <c r="X11" s="252" t="n">
        <f aca="false">W11+X10</f>
        <v>415968.75</v>
      </c>
      <c r="Y11" s="252" t="n">
        <f aca="false">X11+Y10</f>
        <v>415968.75</v>
      </c>
      <c r="Z11" s="252" t="n">
        <f aca="false">Y11+Z10</f>
        <v>473343.75</v>
      </c>
      <c r="AA11" s="252" t="n">
        <f aca="false">Z11+AA10</f>
        <v>473343.75</v>
      </c>
      <c r="AB11" s="252" t="n">
        <f aca="false">AA11+AB10</f>
        <v>473343.75</v>
      </c>
      <c r="AC11" s="252" t="n">
        <f aca="false">AB11+AC10</f>
        <v>530718.75</v>
      </c>
      <c r="AD11" s="252" t="n">
        <f aca="false">AC11+AD10</f>
        <v>530718.75</v>
      </c>
      <c r="AE11" s="252" t="n">
        <f aca="false">AD11+AE10</f>
        <v>530718.75</v>
      </c>
      <c r="AF11" s="252" t="n">
        <f aca="false">AE11+AF10</f>
        <v>530718.75</v>
      </c>
      <c r="AG11" s="252" t="n">
        <f aca="false">AF11+AG10</f>
        <v>530718.75</v>
      </c>
      <c r="AH11" s="252" t="n">
        <f aca="false">AG11+AH10</f>
        <v>530718.75</v>
      </c>
      <c r="AI11" s="252" t="n">
        <f aca="false">AH11+AI10</f>
        <v>530718.75</v>
      </c>
      <c r="AJ11" s="252" t="n">
        <f aca="false">AI11+AJ10</f>
        <v>530718.75</v>
      </c>
      <c r="AK11" s="252" t="n">
        <f aca="false">AJ11+AK10</f>
        <v>530718.75</v>
      </c>
      <c r="AL11" s="252" t="n">
        <f aca="false">AK11+AL10</f>
        <v>530718.75</v>
      </c>
      <c r="AM11" s="252" t="n">
        <f aca="false">AL11+AM10</f>
        <v>530718.75</v>
      </c>
      <c r="AN11" s="252" t="n">
        <f aca="false">AM11+AN10</f>
        <v>530718.75</v>
      </c>
      <c r="AO11" s="252" t="n">
        <f aca="false">AN11+AO10</f>
        <v>530718.75</v>
      </c>
      <c r="AP11" s="252" t="n">
        <f aca="false">AO11+AP10</f>
        <v>530718.75</v>
      </c>
      <c r="AQ11" s="252" t="n">
        <f aca="false">AP11+AQ10</f>
        <v>530718.75</v>
      </c>
      <c r="AR11" s="252" t="n">
        <f aca="false">AQ11+AR10</f>
        <v>530718.75</v>
      </c>
      <c r="AS11" s="252" t="n">
        <f aca="false">AR11+AS10</f>
        <v>530718.75</v>
      </c>
      <c r="AT11" s="252" t="n">
        <f aca="false">AS11+AT10</f>
        <v>530718.75</v>
      </c>
      <c r="AU11" s="252" t="n">
        <f aca="false">AT11+AU10</f>
        <v>530718.75</v>
      </c>
      <c r="AV11" s="252" t="n">
        <f aca="false">AU11+AV10</f>
        <v>530718.75</v>
      </c>
      <c r="AW11" s="252" t="n">
        <f aca="false">AV11+AW10</f>
        <v>530718.75</v>
      </c>
      <c r="AX11" s="252" t="n">
        <f aca="false">AW11+AX10</f>
        <v>530718.75</v>
      </c>
      <c r="AY11" s="252" t="n">
        <f aca="false">AX11+AY10</f>
        <v>530718.75</v>
      </c>
      <c r="AZ11" s="252" t="n">
        <f aca="false">AY11+AZ10</f>
        <v>530718.75</v>
      </c>
      <c r="BA11" s="252" t="n">
        <f aca="false">AZ11+BA10</f>
        <v>530718.75</v>
      </c>
      <c r="BB11" s="252" t="n">
        <f aca="false">BA11+BB10</f>
        <v>530718.75</v>
      </c>
      <c r="BC11" s="252" t="n">
        <f aca="false">BB11+BC10</f>
        <v>530718.75</v>
      </c>
      <c r="BD11" s="252" t="n">
        <f aca="false">BC11+BD10</f>
        <v>530718.75</v>
      </c>
      <c r="BE11" s="252" t="n">
        <f aca="false">BD11+BE10</f>
        <v>530718.75</v>
      </c>
      <c r="BF11" s="252" t="n">
        <f aca="false">BE11+BF10</f>
        <v>530718.75</v>
      </c>
      <c r="BG11" s="252" t="n">
        <f aca="false">BF11+BG10</f>
        <v>530718.75</v>
      </c>
      <c r="BH11" s="252" t="n">
        <f aca="false">BG11+BH10</f>
        <v>530718.75</v>
      </c>
      <c r="BI11" s="252" t="n">
        <f aca="false">BH11+BI10</f>
        <v>530718.75</v>
      </c>
      <c r="BJ11" s="252" t="n">
        <f aca="false">BI11+BJ10</f>
        <v>530718.75</v>
      </c>
      <c r="BK11" s="252" t="n">
        <f aca="false">BJ11+BK10</f>
        <v>530718.75</v>
      </c>
      <c r="BL11" s="252" t="n">
        <f aca="false">BK11+BL10</f>
        <v>530718.75</v>
      </c>
      <c r="BM11" s="252" t="n">
        <f aca="false">BL11+BM10</f>
        <v>530718.75</v>
      </c>
      <c r="BN11" s="252" t="n">
        <f aca="false">BM11+BN10</f>
        <v>530718.75</v>
      </c>
      <c r="BO11" s="252" t="n">
        <f aca="false">BN11+BO10</f>
        <v>530718.75</v>
      </c>
      <c r="BP11" s="252" t="n">
        <f aca="false">BO11+BP10</f>
        <v>530718.75</v>
      </c>
      <c r="BQ11" s="252" t="n">
        <f aca="false">BP11+BQ10</f>
        <v>530718.75</v>
      </c>
      <c r="BR11" s="252" t="n">
        <f aca="false">BQ11+BR10</f>
        <v>530718.75</v>
      </c>
      <c r="BS11" s="252" t="n">
        <f aca="false">BR11+BS10</f>
        <v>530718.75</v>
      </c>
      <c r="BT11" s="252" t="n">
        <f aca="false">BS11+BT10</f>
        <v>530718.75</v>
      </c>
      <c r="BU11" s="252" t="n">
        <f aca="false">BT11+BU10</f>
        <v>530718.75</v>
      </c>
      <c r="BV11" s="252" t="n">
        <f aca="false">BU11+BV10</f>
        <v>530718.75</v>
      </c>
      <c r="BW11" s="252" t="n">
        <f aca="false">BV11+BW10</f>
        <v>530718.75</v>
      </c>
      <c r="BX11" s="252" t="n">
        <f aca="false">BW11+BX10</f>
        <v>530718.75</v>
      </c>
      <c r="BY11" s="252" t="n">
        <f aca="false">BX11+BY10</f>
        <v>530718.75</v>
      </c>
      <c r="BZ11" s="252" t="n">
        <f aca="false">BY11+BZ10</f>
        <v>530718.75</v>
      </c>
      <c r="CA11" s="252" t="n">
        <f aca="false">BZ11+CA10</f>
        <v>530718.75</v>
      </c>
      <c r="CB11" s="252" t="n">
        <f aca="false">CA11+CB10</f>
        <v>530718.75</v>
      </c>
      <c r="CC11" s="252" t="n">
        <f aca="false">CB11+CC10</f>
        <v>530718.75</v>
      </c>
      <c r="CD11" s="252" t="n">
        <f aca="false">CC11+CD10</f>
        <v>530718.75</v>
      </c>
      <c r="CE11" s="252" t="n">
        <f aca="false">CD11+CE10</f>
        <v>530718.75</v>
      </c>
      <c r="CF11" s="252" t="n">
        <f aca="false">CE11+CF10</f>
        <v>530718.75</v>
      </c>
      <c r="CG11" s="252" t="n">
        <f aca="false">CF11+CG10</f>
        <v>530718.75</v>
      </c>
      <c r="CH11" s="252"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849</v>
      </c>
      <c r="B14" s="3"/>
      <c r="C14" s="249" t="n">
        <f aca="false">Model!E248+Model!E249+Model!E250</f>
        <v>0</v>
      </c>
      <c r="D14" s="249" t="n">
        <f aca="false">Model!F248+Model!F249+Model!F250</f>
        <v>0</v>
      </c>
      <c r="E14" s="249" t="n">
        <f aca="false">Model!G248+Model!G249+Model!G250</f>
        <v>0</v>
      </c>
      <c r="F14" s="249" t="n">
        <f aca="false">Model!H248+Model!H249+Model!H250</f>
        <v>0</v>
      </c>
      <c r="G14" s="249" t="n">
        <f aca="false">Model!I248+Model!I249+Model!I250</f>
        <v>0</v>
      </c>
      <c r="H14" s="249" t="n">
        <f aca="false">Model!J248+Model!J249+Model!J250</f>
        <v>0</v>
      </c>
      <c r="I14" s="249" t="n">
        <f aca="false">Model!K248+Model!K249+Model!K250</f>
        <v>0</v>
      </c>
      <c r="J14" s="249" t="n">
        <f aca="false">Model!L248+Model!L249+Model!L250</f>
        <v>0</v>
      </c>
      <c r="K14" s="249" t="n">
        <f aca="false">Model!M248+Model!M249+Model!M250</f>
        <v>0</v>
      </c>
      <c r="L14" s="249" t="n">
        <f aca="false">Model!N248+Model!N249+Model!N250</f>
        <v>0</v>
      </c>
      <c r="M14" s="249" t="n">
        <f aca="false">Model!O248+Model!O249+Model!O250</f>
        <v>3157.89473684211</v>
      </c>
      <c r="N14" s="249" t="n">
        <f aca="false">Model!P248+Model!P249+Model!P250</f>
        <v>3157.89473684211</v>
      </c>
      <c r="O14" s="249" t="n">
        <f aca="false">Model!Q248+Model!Q249+Model!Q250</f>
        <v>3157.89473684211</v>
      </c>
      <c r="P14" s="249" t="n">
        <f aca="false">Model!R248+Model!R249+Model!R250</f>
        <v>3157.89473684211</v>
      </c>
      <c r="Q14" s="249" t="n">
        <f aca="false">Model!S248+Model!S249+Model!S250</f>
        <v>3157.89473684211</v>
      </c>
      <c r="R14" s="249" t="n">
        <f aca="false">Model!T248+Model!T249+Model!T250</f>
        <v>3157.89473684211</v>
      </c>
      <c r="S14" s="249" t="n">
        <f aca="false">Model!U248+Model!U249+Model!U250</f>
        <v>3157.89473684211</v>
      </c>
      <c r="T14" s="249" t="n">
        <f aca="false">Model!V248+Model!V249+Model!V250</f>
        <v>3157.89473684211</v>
      </c>
      <c r="U14" s="249" t="n">
        <f aca="false">Model!W248+Model!W249+Model!W250</f>
        <v>3157.89473684211</v>
      </c>
      <c r="V14" s="249" t="n">
        <f aca="false">Model!X248+Model!X249+Model!X250</f>
        <v>3157.89473684211</v>
      </c>
      <c r="W14" s="249" t="n">
        <f aca="false">Model!Y248+Model!Y249+Model!Y250</f>
        <v>3157.89473684211</v>
      </c>
      <c r="X14" s="249" t="n">
        <f aca="false">Model!Z248+Model!Z249+Model!Z250</f>
        <v>3157.89473684211</v>
      </c>
      <c r="Y14" s="249" t="n">
        <f aca="false">Model!AA248+Model!AA249+Model!AA250</f>
        <v>3157.89473684211</v>
      </c>
      <c r="Z14" s="249" t="n">
        <f aca="false">Model!AB248+Model!AB249+Model!AB250</f>
        <v>3157.89473684211</v>
      </c>
      <c r="AA14" s="249" t="n">
        <f aca="false">Model!AC248+Model!AC249+Model!AC250</f>
        <v>3157.89473684211</v>
      </c>
      <c r="AB14" s="249" t="n">
        <f aca="false">Model!AD248+Model!AD249+Model!AD250</f>
        <v>3157.89473684211</v>
      </c>
      <c r="AC14" s="249" t="n">
        <f aca="false">Model!AE248+Model!AE249+Model!AE250</f>
        <v>3157.89473684211</v>
      </c>
      <c r="AD14" s="249" t="n">
        <f aca="false">Model!AF248+Model!AF249+Model!AF250</f>
        <v>3157.89473684211</v>
      </c>
      <c r="AE14" s="249" t="n">
        <f aca="false">Model!AG248+Model!AG249+Model!AG250</f>
        <v>3157.89473684211</v>
      </c>
      <c r="AF14" s="249" t="n">
        <f aca="false">Model!AH248+Model!AH249+Model!AH250</f>
        <v>0</v>
      </c>
      <c r="AG14" s="249" t="n">
        <f aca="false">Model!AI248+Model!AI249+Model!AI250</f>
        <v>0</v>
      </c>
      <c r="AH14" s="249" t="n">
        <f aca="false">Model!AJ248+Model!AJ249+Model!AJ250</f>
        <v>0</v>
      </c>
      <c r="AI14" s="249" t="n">
        <f aca="false">Model!AK248+Model!AK249+Model!AK250</f>
        <v>0</v>
      </c>
      <c r="AJ14" s="249" t="n">
        <f aca="false">Model!AL248+Model!AL249+Model!AL250</f>
        <v>0</v>
      </c>
      <c r="AK14" s="249" t="n">
        <f aca="false">Model!AM248+Model!AM249+Model!AM250</f>
        <v>0</v>
      </c>
      <c r="AL14" s="249" t="n">
        <f aca="false">Model!AN248+Model!AN249+Model!AN250</f>
        <v>0</v>
      </c>
      <c r="AM14" s="249" t="n">
        <f aca="false">Model!AO248+Model!AO249+Model!AO250</f>
        <v>0</v>
      </c>
      <c r="AN14" s="249" t="n">
        <f aca="false">Model!AP248+Model!AP249+Model!AP250</f>
        <v>0</v>
      </c>
      <c r="AO14" s="249" t="n">
        <f aca="false">Model!AQ248+Model!AQ249+Model!AQ250</f>
        <v>0</v>
      </c>
      <c r="AP14" s="249" t="n">
        <f aca="false">Model!AR248+Model!AR249+Model!AR250</f>
        <v>0</v>
      </c>
      <c r="AQ14" s="249" t="n">
        <f aca="false">Model!AS248+Model!AS249+Model!AS250</f>
        <v>0</v>
      </c>
      <c r="AR14" s="249" t="n">
        <f aca="false">Model!AT248+Model!AT249+Model!AT250</f>
        <v>0</v>
      </c>
      <c r="AS14" s="249" t="n">
        <f aca="false">Model!AU248+Model!AU249+Model!AU250</f>
        <v>0</v>
      </c>
      <c r="AT14" s="249" t="n">
        <f aca="false">Model!AV248+Model!AV249+Model!AV250</f>
        <v>0</v>
      </c>
      <c r="AU14" s="249" t="n">
        <f aca="false">Model!AW248+Model!AW249+Model!AW250</f>
        <v>0</v>
      </c>
      <c r="AV14" s="249" t="n">
        <f aca="false">Model!AX248+Model!AX249+Model!AX250</f>
        <v>0</v>
      </c>
      <c r="AW14" s="249" t="n">
        <f aca="false">Model!AY248+Model!AY249+Model!AY250</f>
        <v>0</v>
      </c>
      <c r="AX14" s="249" t="n">
        <f aca="false">Model!AZ248+Model!AZ249+Model!AZ250</f>
        <v>0</v>
      </c>
      <c r="AY14" s="249" t="n">
        <f aca="false">Model!BA248+Model!BA249+Model!BA250</f>
        <v>0</v>
      </c>
      <c r="AZ14" s="249" t="n">
        <f aca="false">Model!BB248+Model!BB249+Model!BB250</f>
        <v>0</v>
      </c>
      <c r="BA14" s="249" t="n">
        <f aca="false">Model!BC248+Model!BC249+Model!BC250</f>
        <v>0</v>
      </c>
      <c r="BB14" s="249" t="n">
        <f aca="false">Model!BD248+Model!BD249+Model!BD250</f>
        <v>0</v>
      </c>
      <c r="BC14" s="249" t="n">
        <f aca="false">Model!BE248+Model!BE249+Model!BE250</f>
        <v>0</v>
      </c>
      <c r="BD14" s="249" t="n">
        <f aca="false">Model!BF248+Model!BF249+Model!BF250</f>
        <v>0</v>
      </c>
      <c r="BE14" s="249" t="n">
        <f aca="false">Model!BG248+Model!BG249+Model!BG250</f>
        <v>0</v>
      </c>
      <c r="BF14" s="249" t="n">
        <f aca="false">Model!BH248+Model!BH249+Model!BH250</f>
        <v>0</v>
      </c>
      <c r="BG14" s="249" t="n">
        <f aca="false">Model!BI248+Model!BI249+Model!BI250</f>
        <v>0</v>
      </c>
      <c r="BH14" s="249" t="n">
        <f aca="false">Model!BJ248+Model!BJ249+Model!BJ250</f>
        <v>0</v>
      </c>
      <c r="BI14" s="249" t="n">
        <f aca="false">Model!BK248+Model!BK249+Model!BK250</f>
        <v>0</v>
      </c>
      <c r="BJ14" s="249" t="n">
        <f aca="false">Model!BL248+Model!BL249+Model!BL250</f>
        <v>0</v>
      </c>
      <c r="BK14" s="249" t="n">
        <f aca="false">Model!BM248+Model!BM249+Model!BM250</f>
        <v>0</v>
      </c>
      <c r="BL14" s="249" t="n">
        <f aca="false">Model!BN248+Model!BN249+Model!BN250</f>
        <v>0</v>
      </c>
      <c r="BM14" s="249" t="n">
        <f aca="false">Model!BO248+Model!BO249+Model!BO250</f>
        <v>0</v>
      </c>
      <c r="BN14" s="249" t="n">
        <f aca="false">Model!BP248+Model!BP249+Model!BP250</f>
        <v>0</v>
      </c>
      <c r="BO14" s="249" t="n">
        <f aca="false">Model!BQ248+Model!BQ249+Model!BQ250</f>
        <v>0</v>
      </c>
      <c r="BP14" s="249" t="n">
        <f aca="false">Model!BR248+Model!BR249+Model!BR250</f>
        <v>0</v>
      </c>
      <c r="BQ14" s="249" t="n">
        <f aca="false">Model!BS248+Model!BS249+Model!BS250</f>
        <v>0</v>
      </c>
      <c r="BR14" s="249" t="n">
        <f aca="false">Model!BT248+Model!BT249+Model!BT250</f>
        <v>0</v>
      </c>
      <c r="BS14" s="249" t="n">
        <f aca="false">Model!BU248+Model!BU249+Model!BU250</f>
        <v>0</v>
      </c>
      <c r="BT14" s="249" t="n">
        <f aca="false">Model!BV248+Model!BV249+Model!BV250</f>
        <v>0</v>
      </c>
      <c r="BU14" s="249" t="n">
        <f aca="false">Model!BW248+Model!BW249+Model!BW250</f>
        <v>0</v>
      </c>
      <c r="BV14" s="249" t="n">
        <f aca="false">Model!BX248+Model!BX249+Model!BX250</f>
        <v>0</v>
      </c>
      <c r="BW14" s="249" t="n">
        <f aca="false">Model!BY248+Model!BY249+Model!BY250</f>
        <v>0</v>
      </c>
      <c r="BX14" s="249" t="n">
        <f aca="false">Model!BZ248+Model!BZ249+Model!BZ250</f>
        <v>0</v>
      </c>
      <c r="BY14" s="249" t="n">
        <f aca="false">Model!CA248+Model!CA249+Model!CA250</f>
        <v>0</v>
      </c>
      <c r="BZ14" s="249" t="n">
        <f aca="false">Model!CB248+Model!CB249+Model!CB250</f>
        <v>0</v>
      </c>
      <c r="CA14" s="249" t="n">
        <f aca="false">Model!CC248+Model!CC249+Model!CC250</f>
        <v>0</v>
      </c>
      <c r="CB14" s="249" t="n">
        <f aca="false">Model!CD248+Model!CD249+Model!CD250</f>
        <v>0</v>
      </c>
      <c r="CC14" s="249" t="n">
        <f aca="false">Model!CE248+Model!CE249+Model!CE250</f>
        <v>0</v>
      </c>
      <c r="CD14" s="249" t="n">
        <f aca="false">Model!CF248+Model!CF249+Model!CF250</f>
        <v>0</v>
      </c>
      <c r="CE14" s="249" t="n">
        <f aca="false">Model!CG248+Model!CG249+Model!CG250</f>
        <v>0</v>
      </c>
      <c r="CF14" s="249" t="n">
        <f aca="false">Model!CH248+Model!CH249+Model!CH250</f>
        <v>0</v>
      </c>
      <c r="CG14" s="249" t="n">
        <f aca="false">Model!CI248+Model!CI249+Model!CI250</f>
        <v>0</v>
      </c>
      <c r="CH14" s="249" t="n">
        <f aca="false">Model!CJ248+Model!CJ249+Model!CJ250</f>
        <v>0</v>
      </c>
    </row>
    <row r="15" customFormat="false" ht="15" hidden="false" customHeight="true" outlineLevel="0" collapsed="false">
      <c r="A15" s="253" t="s">
        <v>852</v>
      </c>
      <c r="B15" s="3"/>
      <c r="C15" s="254" t="n">
        <f aca="false">IF(AND(Projects!$G$11="Yes",1=Projects!$C$11),-155771,0)</f>
        <v>0</v>
      </c>
      <c r="D15" s="254" t="n">
        <f aca="false">IF(AND(Projects!$G$11="Yes",2=Projects!$C$11),-155771,0)</f>
        <v>0</v>
      </c>
      <c r="E15" s="254" t="n">
        <f aca="false">IF(AND(Projects!$G$11="Yes",3=Projects!$C$11),-155771,0)</f>
        <v>0</v>
      </c>
      <c r="F15" s="254" t="n">
        <f aca="false">IF(AND(Projects!$G$11="Yes",4=Projects!$C$11),-155771,0)</f>
        <v>0</v>
      </c>
      <c r="G15" s="254" t="n">
        <f aca="false">IF(AND(Projects!$G$11="Yes",5=Projects!$C$11),-155771,0)</f>
        <v>0</v>
      </c>
      <c r="H15" s="254" t="n">
        <f aca="false">IF(AND(Projects!$G$11="Yes",6=Projects!$C$11),-155771,0)</f>
        <v>0</v>
      </c>
      <c r="I15" s="254" t="n">
        <f aca="false">IF(AND(Projects!$G$11="Yes",7=Projects!$C$11),-155771,0)</f>
        <v>0</v>
      </c>
      <c r="J15" s="254" t="n">
        <f aca="false">IF(AND(Projects!$G$11="Yes",8=Projects!$C$11),-155771,0)</f>
        <v>0</v>
      </c>
      <c r="K15" s="254" t="n">
        <f aca="false">IF(AND(Projects!$G$11="Yes",9=Projects!$C$11),-155771,0)</f>
        <v>0</v>
      </c>
      <c r="L15" s="254" t="n">
        <f aca="false">IF(AND(Projects!$G$11="Yes",10=Projects!$C$11),-155771,0)</f>
        <v>0</v>
      </c>
      <c r="M15" s="254" t="n">
        <f aca="false">IF(AND(Projects!$G$11="Yes",11=Projects!$C$11),-155771,0)</f>
        <v>-155771</v>
      </c>
      <c r="N15" s="254" t="n">
        <f aca="false">IF(AND(Projects!$G$11="Yes",12=Projects!$C$11),-155771,0)</f>
        <v>0</v>
      </c>
      <c r="O15" s="254" t="n">
        <f aca="false">IF(AND(Projects!$G$11="Yes",13=Projects!$C$11),-155771,0)</f>
        <v>0</v>
      </c>
      <c r="P15" s="254" t="n">
        <f aca="false">IF(AND(Projects!$G$11="Yes",14=Projects!$C$11),-155771,0)</f>
        <v>0</v>
      </c>
      <c r="Q15" s="254" t="n">
        <f aca="false">IF(AND(Projects!$G$11="Yes",15=Projects!$C$11),-155771,0)</f>
        <v>0</v>
      </c>
      <c r="R15" s="254" t="n">
        <f aca="false">IF(AND(Projects!$G$11="Yes",16=Projects!$C$11),-155771,0)</f>
        <v>0</v>
      </c>
      <c r="S15" s="254" t="n">
        <f aca="false">IF(AND(Projects!$G$11="Yes",17=Projects!$C$11),-155771,0)</f>
        <v>0</v>
      </c>
      <c r="T15" s="254" t="n">
        <f aca="false">IF(AND(Projects!$G$11="Yes",18=Projects!$C$11),-155771,0)</f>
        <v>0</v>
      </c>
      <c r="U15" s="254" t="n">
        <f aca="false">IF(AND(Projects!$G$11="Yes",19=Projects!$C$11),-155771,0)</f>
        <v>0</v>
      </c>
      <c r="V15" s="254" t="n">
        <f aca="false">IF(AND(Projects!$G$11="Yes",20=Projects!$C$11),-155771,0)</f>
        <v>0</v>
      </c>
      <c r="W15" s="254" t="n">
        <f aca="false">IF(AND(Projects!$G$11="Yes",21=Projects!$C$11),-155771,0)</f>
        <v>0</v>
      </c>
      <c r="X15" s="254" t="n">
        <f aca="false">IF(AND(Projects!$G$11="Yes",22=Projects!$C$11),-155771,0)</f>
        <v>0</v>
      </c>
      <c r="Y15" s="254" t="n">
        <f aca="false">IF(AND(Projects!$G$11="Yes",23=Projects!$C$11),-155771,0)</f>
        <v>0</v>
      </c>
      <c r="Z15" s="254" t="n">
        <f aca="false">IF(AND(Projects!$G$11="Yes",24=Projects!$C$11),-155771,0)</f>
        <v>0</v>
      </c>
      <c r="AA15" s="254" t="n">
        <f aca="false">IF(AND(Projects!$G$11="Yes",25=Projects!$C$11),-155771,0)</f>
        <v>0</v>
      </c>
      <c r="AB15" s="254" t="n">
        <f aca="false">IF(AND(Projects!$G$11="Yes",26=Projects!$C$11),-155771,0)</f>
        <v>0</v>
      </c>
      <c r="AC15" s="254" t="n">
        <f aca="false">IF(AND(Projects!$G$11="Yes",27=Projects!$C$11),-155771,0)</f>
        <v>0</v>
      </c>
      <c r="AD15" s="254" t="n">
        <f aca="false">IF(AND(Projects!$G$11="Yes",28=Projects!$C$11),-155771,0)</f>
        <v>0</v>
      </c>
      <c r="AE15" s="254" t="n">
        <f aca="false">IF(AND(Projects!$G$11="Yes",29=Projects!$C$11),-155771,0)</f>
        <v>0</v>
      </c>
      <c r="AF15" s="254" t="n">
        <f aca="false">IF(AND(Projects!$G$11="Yes",30=Projects!$C$11),-155771,0)</f>
        <v>0</v>
      </c>
      <c r="AG15" s="254" t="n">
        <f aca="false">IF(AND(Projects!$G$11="Yes",31=Projects!$C$11),-155771,0)</f>
        <v>0</v>
      </c>
      <c r="AH15" s="254" t="n">
        <f aca="false">IF(AND(Projects!$G$11="Yes",32=Projects!$C$11),-155771,0)</f>
        <v>0</v>
      </c>
      <c r="AI15" s="254" t="n">
        <f aca="false">IF(AND(Projects!$G$11="Yes",33=Projects!$C$11),-155771,0)</f>
        <v>0</v>
      </c>
      <c r="AJ15" s="254" t="n">
        <f aca="false">IF(AND(Projects!$G$11="Yes",34=Projects!$C$11),-155771,0)</f>
        <v>0</v>
      </c>
      <c r="AK15" s="254" t="n">
        <f aca="false">IF(AND(Projects!$G$11="Yes",35=Projects!$C$11),-155771,0)</f>
        <v>0</v>
      </c>
      <c r="AL15" s="254" t="n">
        <f aca="false">IF(AND(Projects!$G$11="Yes",36=Projects!$C$11),-155771,0)</f>
        <v>0</v>
      </c>
      <c r="AM15" s="254" t="n">
        <f aca="false">IF(AND(Projects!$G$11="Yes",37=Projects!$C$11),-155771,0)</f>
        <v>0</v>
      </c>
      <c r="AN15" s="254" t="n">
        <f aca="false">IF(AND(Projects!$G$11="Yes",38=Projects!$C$11),-155771,0)</f>
        <v>0</v>
      </c>
      <c r="AO15" s="254" t="n">
        <f aca="false">IF(AND(Projects!$G$11="Yes",39=Projects!$C$11),-155771,0)</f>
        <v>0</v>
      </c>
      <c r="AP15" s="254" t="n">
        <f aca="false">IF(AND(Projects!$G$11="Yes",40=Projects!$C$11),-155771,0)</f>
        <v>0</v>
      </c>
      <c r="AQ15" s="254" t="n">
        <f aca="false">IF(AND(Projects!$G$11="Yes",41=Projects!$C$11),-155771,0)</f>
        <v>0</v>
      </c>
      <c r="AR15" s="254" t="n">
        <f aca="false">IF(AND(Projects!$G$11="Yes",42=Projects!$C$11),-155771,0)</f>
        <v>0</v>
      </c>
      <c r="AS15" s="254" t="n">
        <f aca="false">IF(AND(Projects!$G$11="Yes",43=Projects!$C$11),-155771,0)</f>
        <v>0</v>
      </c>
      <c r="AT15" s="254" t="n">
        <f aca="false">IF(AND(Projects!$G$11="Yes",44=Projects!$C$11),-155771,0)</f>
        <v>0</v>
      </c>
      <c r="AU15" s="254" t="n">
        <f aca="false">IF(AND(Projects!$G$11="Yes",45=Projects!$C$11),-155771,0)</f>
        <v>0</v>
      </c>
      <c r="AV15" s="254" t="n">
        <f aca="false">IF(AND(Projects!$G$11="Yes",46=Projects!$C$11),-155771,0)</f>
        <v>0</v>
      </c>
      <c r="AW15" s="254" t="n">
        <f aca="false">IF(AND(Projects!$G$11="Yes",47=Projects!$C$11),-155771,0)</f>
        <v>0</v>
      </c>
      <c r="AX15" s="254" t="n">
        <f aca="false">IF(AND(Projects!$G$11="Yes",48=Projects!$C$11),-155771,0)</f>
        <v>0</v>
      </c>
      <c r="AY15" s="254" t="n">
        <f aca="false">IF(AND(Projects!$G$11="Yes",49=Projects!$C$11),-155771,0)</f>
        <v>0</v>
      </c>
      <c r="AZ15" s="254" t="n">
        <f aca="false">IF(AND(Projects!$G$11="Yes",50=Projects!$C$11),-155771,0)</f>
        <v>0</v>
      </c>
      <c r="BA15" s="254" t="n">
        <f aca="false">IF(AND(Projects!$G$11="Yes",51=Projects!$C$11),-155771,0)</f>
        <v>0</v>
      </c>
      <c r="BB15" s="254" t="n">
        <f aca="false">IF(AND(Projects!$G$11="Yes",52=Projects!$C$11),-155771,0)</f>
        <v>0</v>
      </c>
      <c r="BC15" s="254" t="n">
        <f aca="false">IF(AND(Projects!$G$11="Yes",53=Projects!$C$11),-155771,0)</f>
        <v>0</v>
      </c>
      <c r="BD15" s="254" t="n">
        <f aca="false">IF(AND(Projects!$G$11="Yes",54=Projects!$C$11),-155771,0)</f>
        <v>0</v>
      </c>
      <c r="BE15" s="254" t="n">
        <f aca="false">IF(AND(Projects!$G$11="Yes",55=Projects!$C$11),-155771,0)</f>
        <v>0</v>
      </c>
      <c r="BF15" s="254" t="n">
        <f aca="false">IF(AND(Projects!$G$11="Yes",56=Projects!$C$11),-155771,0)</f>
        <v>0</v>
      </c>
      <c r="BG15" s="254" t="n">
        <f aca="false">IF(AND(Projects!$G$11="Yes",57=Projects!$C$11),-155771,0)</f>
        <v>0</v>
      </c>
      <c r="BH15" s="254" t="n">
        <f aca="false">IF(AND(Projects!$G$11="Yes",58=Projects!$C$11),-155771,0)</f>
        <v>0</v>
      </c>
      <c r="BI15" s="254" t="n">
        <f aca="false">IF(AND(Projects!$G$11="Yes",59=Projects!$C$11),-155771,0)</f>
        <v>0</v>
      </c>
      <c r="BJ15" s="254" t="n">
        <f aca="false">IF(AND(Projects!$G$11="Yes",60=Projects!$C$11),-155771,0)</f>
        <v>0</v>
      </c>
      <c r="BK15" s="254" t="n">
        <f aca="false">IF(AND(Projects!$G$11="Yes",61=Projects!$C$11),-155771,0)</f>
        <v>0</v>
      </c>
      <c r="BL15" s="254" t="n">
        <f aca="false">IF(AND(Projects!$G$11="Yes",62=Projects!$C$11),-155771,0)</f>
        <v>0</v>
      </c>
      <c r="BM15" s="254" t="n">
        <f aca="false">IF(AND(Projects!$G$11="Yes",63=Projects!$C$11),-155771,0)</f>
        <v>0</v>
      </c>
      <c r="BN15" s="254" t="n">
        <f aca="false">IF(AND(Projects!$G$11="Yes",64=Projects!$C$11),-155771,0)</f>
        <v>0</v>
      </c>
      <c r="BO15" s="254" t="n">
        <f aca="false">IF(AND(Projects!$G$11="Yes",65=Projects!$C$11),-155771,0)</f>
        <v>0</v>
      </c>
      <c r="BP15" s="254" t="n">
        <f aca="false">IF(AND(Projects!$G$11="Yes",66=Projects!$C$11),-155771,0)</f>
        <v>0</v>
      </c>
      <c r="BQ15" s="254" t="n">
        <f aca="false">IF(AND(Projects!$G$11="Yes",67=Projects!$C$11),-155771,0)</f>
        <v>0</v>
      </c>
      <c r="BR15" s="254" t="n">
        <f aca="false">IF(AND(Projects!$G$11="Yes",68=Projects!$C$11),-155771,0)</f>
        <v>0</v>
      </c>
      <c r="BS15" s="254" t="n">
        <f aca="false">IF(AND(Projects!$G$11="Yes",69=Projects!$C$11),-155771,0)</f>
        <v>0</v>
      </c>
      <c r="BT15" s="254" t="n">
        <f aca="false">IF(AND(Projects!$G$11="Yes",70=Projects!$C$11),-155771,0)</f>
        <v>0</v>
      </c>
      <c r="BU15" s="254" t="n">
        <f aca="false">IF(AND(Projects!$G$11="Yes",71=Projects!$C$11),-155771,0)</f>
        <v>0</v>
      </c>
      <c r="BV15" s="254" t="n">
        <f aca="false">IF(AND(Projects!$G$11="Yes",72=Projects!$C$11),-155771,0)</f>
        <v>0</v>
      </c>
      <c r="BW15" s="254" t="n">
        <f aca="false">IF(AND(Projects!$G$11="Yes",73=Projects!$C$11),-155771,0)</f>
        <v>0</v>
      </c>
      <c r="BX15" s="254" t="n">
        <f aca="false">IF(AND(Projects!$G$11="Yes",74=Projects!$C$11),-155771,0)</f>
        <v>0</v>
      </c>
      <c r="BY15" s="254" t="n">
        <f aca="false">IF(AND(Projects!$G$11="Yes",75=Projects!$C$11),-155771,0)</f>
        <v>0</v>
      </c>
      <c r="BZ15" s="254" t="n">
        <f aca="false">IF(AND(Projects!$G$11="Yes",76=Projects!$C$11),-155771,0)</f>
        <v>0</v>
      </c>
      <c r="CA15" s="254" t="n">
        <f aca="false">IF(AND(Projects!$G$11="Yes",77=Projects!$C$11),-155771,0)</f>
        <v>0</v>
      </c>
      <c r="CB15" s="254" t="n">
        <f aca="false">IF(AND(Projects!$G$11="Yes",78=Projects!$C$11),-155771,0)</f>
        <v>0</v>
      </c>
      <c r="CC15" s="254" t="n">
        <f aca="false">IF(AND(Projects!$G$11="Yes",79=Projects!$C$11),-155771,0)</f>
        <v>0</v>
      </c>
      <c r="CD15" s="254" t="n">
        <f aca="false">IF(AND(Projects!$G$11="Yes",80=Projects!$C$11),-155771,0)</f>
        <v>0</v>
      </c>
      <c r="CE15" s="254" t="n">
        <f aca="false">IF(AND(Projects!$G$11="Yes",81=Projects!$C$11),-155771,0)</f>
        <v>0</v>
      </c>
      <c r="CF15" s="254" t="n">
        <f aca="false">IF(AND(Projects!$G$11="Yes",82=Projects!$C$11),-155771,0)</f>
        <v>0</v>
      </c>
      <c r="CG15" s="254" t="n">
        <f aca="false">IF(AND(Projects!$G$11="Yes",83=Projects!$C$11),-155771,0)</f>
        <v>0</v>
      </c>
      <c r="CH15" s="254" t="n">
        <f aca="false">IF(AND(Projects!$G$11="Yes",84=Projects!$C$11),-155771,0)</f>
        <v>0</v>
      </c>
    </row>
    <row r="16" customFormat="false" ht="15" hidden="false" customHeight="true" outlineLevel="0" collapsed="false">
      <c r="A16" s="250" t="s">
        <v>850</v>
      </c>
      <c r="B16" s="250"/>
      <c r="C16" s="251" t="n">
        <f aca="false">C14+C15</f>
        <v>0</v>
      </c>
      <c r="D16" s="251" t="n">
        <f aca="false">D14+D15</f>
        <v>0</v>
      </c>
      <c r="E16" s="251" t="n">
        <f aca="false">E14+E15</f>
        <v>0</v>
      </c>
      <c r="F16" s="251" t="n">
        <f aca="false">F14+F15</f>
        <v>0</v>
      </c>
      <c r="G16" s="251" t="n">
        <f aca="false">G14+G15</f>
        <v>0</v>
      </c>
      <c r="H16" s="251" t="n">
        <f aca="false">H14+H15</f>
        <v>0</v>
      </c>
      <c r="I16" s="251" t="n">
        <f aca="false">I14+I15</f>
        <v>0</v>
      </c>
      <c r="J16" s="251" t="n">
        <f aca="false">J14+J15</f>
        <v>0</v>
      </c>
      <c r="K16" s="251" t="n">
        <f aca="false">K14+K15</f>
        <v>0</v>
      </c>
      <c r="L16" s="251" t="n">
        <f aca="false">L14+L15</f>
        <v>0</v>
      </c>
      <c r="M16" s="251" t="n">
        <f aca="false">M14+M15</f>
        <v>-152613.105263158</v>
      </c>
      <c r="N16" s="251" t="n">
        <f aca="false">N14+N15</f>
        <v>3157.89473684211</v>
      </c>
      <c r="O16" s="251" t="n">
        <f aca="false">O14+O15</f>
        <v>3157.89473684211</v>
      </c>
      <c r="P16" s="251" t="n">
        <f aca="false">P14+P15</f>
        <v>3157.89473684211</v>
      </c>
      <c r="Q16" s="251" t="n">
        <f aca="false">Q14+Q15</f>
        <v>3157.89473684211</v>
      </c>
      <c r="R16" s="251" t="n">
        <f aca="false">R14+R15</f>
        <v>3157.89473684211</v>
      </c>
      <c r="S16" s="251" t="n">
        <f aca="false">S14+S15</f>
        <v>3157.89473684211</v>
      </c>
      <c r="T16" s="251" t="n">
        <f aca="false">T14+T15</f>
        <v>3157.89473684211</v>
      </c>
      <c r="U16" s="251" t="n">
        <f aca="false">U14+U15</f>
        <v>3157.89473684211</v>
      </c>
      <c r="V16" s="251" t="n">
        <f aca="false">V14+V15</f>
        <v>3157.89473684211</v>
      </c>
      <c r="W16" s="251" t="n">
        <f aca="false">W14+W15</f>
        <v>3157.89473684211</v>
      </c>
      <c r="X16" s="251" t="n">
        <f aca="false">X14+X15</f>
        <v>3157.89473684211</v>
      </c>
      <c r="Y16" s="251" t="n">
        <f aca="false">Y14+Y15</f>
        <v>3157.89473684211</v>
      </c>
      <c r="Z16" s="251" t="n">
        <f aca="false">Z14+Z15</f>
        <v>3157.89473684211</v>
      </c>
      <c r="AA16" s="251" t="n">
        <f aca="false">AA14+AA15</f>
        <v>3157.89473684211</v>
      </c>
      <c r="AB16" s="251" t="n">
        <f aca="false">AB14+AB15</f>
        <v>3157.89473684211</v>
      </c>
      <c r="AC16" s="251" t="n">
        <f aca="false">AC14+AC15</f>
        <v>3157.89473684211</v>
      </c>
      <c r="AD16" s="251" t="n">
        <f aca="false">AD14+AD15</f>
        <v>3157.89473684211</v>
      </c>
      <c r="AE16" s="251" t="n">
        <f aca="false">AE14+AE15</f>
        <v>3157.89473684211</v>
      </c>
      <c r="AF16" s="251" t="n">
        <f aca="false">AF14+AF15</f>
        <v>0</v>
      </c>
      <c r="AG16" s="251" t="n">
        <f aca="false">AG14+AG15</f>
        <v>0</v>
      </c>
      <c r="AH16" s="251" t="n">
        <f aca="false">AH14+AH15</f>
        <v>0</v>
      </c>
      <c r="AI16" s="251" t="n">
        <f aca="false">AI14+AI15</f>
        <v>0</v>
      </c>
      <c r="AJ16" s="251" t="n">
        <f aca="false">AJ14+AJ15</f>
        <v>0</v>
      </c>
      <c r="AK16" s="251" t="n">
        <f aca="false">AK14+AK15</f>
        <v>0</v>
      </c>
      <c r="AL16" s="251" t="n">
        <f aca="false">AL14+AL15</f>
        <v>0</v>
      </c>
      <c r="AM16" s="251" t="n">
        <f aca="false">AM14+AM15</f>
        <v>0</v>
      </c>
      <c r="AN16" s="251" t="n">
        <f aca="false">AN14+AN15</f>
        <v>0</v>
      </c>
      <c r="AO16" s="251" t="n">
        <f aca="false">AO14+AO15</f>
        <v>0</v>
      </c>
      <c r="AP16" s="251" t="n">
        <f aca="false">AP14+AP15</f>
        <v>0</v>
      </c>
      <c r="AQ16" s="251" t="n">
        <f aca="false">AQ14+AQ15</f>
        <v>0</v>
      </c>
      <c r="AR16" s="251" t="n">
        <f aca="false">AR14+AR15</f>
        <v>0</v>
      </c>
      <c r="AS16" s="251" t="n">
        <f aca="false">AS14+AS15</f>
        <v>0</v>
      </c>
      <c r="AT16" s="251" t="n">
        <f aca="false">AT14+AT15</f>
        <v>0</v>
      </c>
      <c r="AU16" s="251" t="n">
        <f aca="false">AU14+AU15</f>
        <v>0</v>
      </c>
      <c r="AV16" s="251" t="n">
        <f aca="false">AV14+AV15</f>
        <v>0</v>
      </c>
      <c r="AW16" s="251" t="n">
        <f aca="false">AW14+AW15</f>
        <v>0</v>
      </c>
      <c r="AX16" s="251" t="n">
        <f aca="false">AX14+AX15</f>
        <v>0</v>
      </c>
      <c r="AY16" s="251" t="n">
        <f aca="false">AY14+AY15</f>
        <v>0</v>
      </c>
      <c r="AZ16" s="251" t="n">
        <f aca="false">AZ14+AZ15</f>
        <v>0</v>
      </c>
      <c r="BA16" s="251" t="n">
        <f aca="false">BA14+BA15</f>
        <v>0</v>
      </c>
      <c r="BB16" s="251" t="n">
        <f aca="false">BB14+BB15</f>
        <v>0</v>
      </c>
      <c r="BC16" s="251" t="n">
        <f aca="false">BC14+BC15</f>
        <v>0</v>
      </c>
      <c r="BD16" s="251" t="n">
        <f aca="false">BD14+BD15</f>
        <v>0</v>
      </c>
      <c r="BE16" s="251" t="n">
        <f aca="false">BE14+BE15</f>
        <v>0</v>
      </c>
      <c r="BF16" s="251" t="n">
        <f aca="false">BF14+BF15</f>
        <v>0</v>
      </c>
      <c r="BG16" s="251" t="n">
        <f aca="false">BG14+BG15</f>
        <v>0</v>
      </c>
      <c r="BH16" s="251" t="n">
        <f aca="false">BH14+BH15</f>
        <v>0</v>
      </c>
      <c r="BI16" s="251" t="n">
        <f aca="false">BI14+BI15</f>
        <v>0</v>
      </c>
      <c r="BJ16" s="251" t="n">
        <f aca="false">BJ14+BJ15</f>
        <v>0</v>
      </c>
      <c r="BK16" s="251" t="n">
        <f aca="false">BK14+BK15</f>
        <v>0</v>
      </c>
      <c r="BL16" s="251" t="n">
        <f aca="false">BL14+BL15</f>
        <v>0</v>
      </c>
      <c r="BM16" s="251" t="n">
        <f aca="false">BM14+BM15</f>
        <v>0</v>
      </c>
      <c r="BN16" s="251" t="n">
        <f aca="false">BN14+BN15</f>
        <v>0</v>
      </c>
      <c r="BO16" s="251" t="n">
        <f aca="false">BO14+BO15</f>
        <v>0</v>
      </c>
      <c r="BP16" s="251" t="n">
        <f aca="false">BP14+BP15</f>
        <v>0</v>
      </c>
      <c r="BQ16" s="251" t="n">
        <f aca="false">BQ14+BQ15</f>
        <v>0</v>
      </c>
      <c r="BR16" s="251" t="n">
        <f aca="false">BR14+BR15</f>
        <v>0</v>
      </c>
      <c r="BS16" s="251" t="n">
        <f aca="false">BS14+BS15</f>
        <v>0</v>
      </c>
      <c r="BT16" s="251" t="n">
        <f aca="false">BT14+BT15</f>
        <v>0</v>
      </c>
      <c r="BU16" s="251" t="n">
        <f aca="false">BU14+BU15</f>
        <v>0</v>
      </c>
      <c r="BV16" s="251" t="n">
        <f aca="false">BV14+BV15</f>
        <v>0</v>
      </c>
      <c r="BW16" s="251" t="n">
        <f aca="false">BW14+BW15</f>
        <v>0</v>
      </c>
      <c r="BX16" s="251" t="n">
        <f aca="false">BX14+BX15</f>
        <v>0</v>
      </c>
      <c r="BY16" s="251" t="n">
        <f aca="false">BY14+BY15</f>
        <v>0</v>
      </c>
      <c r="BZ16" s="251" t="n">
        <f aca="false">BZ14+BZ15</f>
        <v>0</v>
      </c>
      <c r="CA16" s="251" t="n">
        <f aca="false">CA14+CA15</f>
        <v>0</v>
      </c>
      <c r="CB16" s="251" t="n">
        <f aca="false">CB14+CB15</f>
        <v>0</v>
      </c>
      <c r="CC16" s="251" t="n">
        <f aca="false">CC14+CC15</f>
        <v>0</v>
      </c>
      <c r="CD16" s="251" t="n">
        <f aca="false">CD14+CD15</f>
        <v>0</v>
      </c>
      <c r="CE16" s="251" t="n">
        <f aca="false">CE14+CE15</f>
        <v>0</v>
      </c>
      <c r="CF16" s="251" t="n">
        <f aca="false">CF14+CF15</f>
        <v>0</v>
      </c>
      <c r="CG16" s="251" t="n">
        <f aca="false">CG14+CG15</f>
        <v>0</v>
      </c>
      <c r="CH16" s="251" t="n">
        <f aca="false">CH14+CH15</f>
        <v>0</v>
      </c>
    </row>
    <row r="17" customFormat="false" ht="15" hidden="false" customHeight="true" outlineLevel="0" collapsed="false">
      <c r="A17" s="2" t="s">
        <v>851</v>
      </c>
      <c r="B17" s="3"/>
      <c r="C17" s="252" t="n">
        <f aca="false">C16</f>
        <v>0</v>
      </c>
      <c r="D17" s="252" t="n">
        <f aca="false">C17+D16</f>
        <v>0</v>
      </c>
      <c r="E17" s="252" t="n">
        <f aca="false">D17+E16</f>
        <v>0</v>
      </c>
      <c r="F17" s="252" t="n">
        <f aca="false">E17+F16</f>
        <v>0</v>
      </c>
      <c r="G17" s="252" t="n">
        <f aca="false">F17+G16</f>
        <v>0</v>
      </c>
      <c r="H17" s="252" t="n">
        <f aca="false">G17+H16</f>
        <v>0</v>
      </c>
      <c r="I17" s="252" t="n">
        <f aca="false">H17+I16</f>
        <v>0</v>
      </c>
      <c r="J17" s="252" t="n">
        <f aca="false">I17+J16</f>
        <v>0</v>
      </c>
      <c r="K17" s="252" t="n">
        <f aca="false">J17+K16</f>
        <v>0</v>
      </c>
      <c r="L17" s="252" t="n">
        <f aca="false">K17+L16</f>
        <v>0</v>
      </c>
      <c r="M17" s="252" t="n">
        <f aca="false">L17+M16</f>
        <v>-152613.105263158</v>
      </c>
      <c r="N17" s="252" t="n">
        <f aca="false">M17+N16</f>
        <v>-149455.210526316</v>
      </c>
      <c r="O17" s="252" t="n">
        <f aca="false">N17+O16</f>
        <v>-146297.315789474</v>
      </c>
      <c r="P17" s="252" t="n">
        <f aca="false">O17+P16</f>
        <v>-143139.421052632</v>
      </c>
      <c r="Q17" s="252" t="n">
        <f aca="false">P17+Q16</f>
        <v>-139981.526315789</v>
      </c>
      <c r="R17" s="252" t="n">
        <f aca="false">Q17+R16</f>
        <v>-136823.631578947</v>
      </c>
      <c r="S17" s="252" t="n">
        <f aca="false">R17+S16</f>
        <v>-133665.736842105</v>
      </c>
      <c r="T17" s="252" t="n">
        <f aca="false">S17+T16</f>
        <v>-130507.842105263</v>
      </c>
      <c r="U17" s="252" t="n">
        <f aca="false">T17+U16</f>
        <v>-127349.947368421</v>
      </c>
      <c r="V17" s="252" t="n">
        <f aca="false">U17+V16</f>
        <v>-124192.052631579</v>
      </c>
      <c r="W17" s="252" t="n">
        <f aca="false">V17+W16</f>
        <v>-121034.157894737</v>
      </c>
      <c r="X17" s="252" t="n">
        <f aca="false">W17+X16</f>
        <v>-117876.263157895</v>
      </c>
      <c r="Y17" s="252" t="n">
        <f aca="false">X17+Y16</f>
        <v>-114718.368421053</v>
      </c>
      <c r="Z17" s="252" t="n">
        <f aca="false">Y17+Z16</f>
        <v>-111560.473684211</v>
      </c>
      <c r="AA17" s="252" t="n">
        <f aca="false">Z17+AA16</f>
        <v>-108402.578947368</v>
      </c>
      <c r="AB17" s="252" t="n">
        <f aca="false">AA17+AB16</f>
        <v>-105244.684210526</v>
      </c>
      <c r="AC17" s="252" t="n">
        <f aca="false">AB17+AC16</f>
        <v>-102086.789473684</v>
      </c>
      <c r="AD17" s="252" t="n">
        <f aca="false">AC17+AD16</f>
        <v>-98928.8947368421</v>
      </c>
      <c r="AE17" s="252" t="n">
        <f aca="false">AD17+AE16</f>
        <v>-95771</v>
      </c>
      <c r="AF17" s="252" t="n">
        <f aca="false">AE17+AF16</f>
        <v>-95771</v>
      </c>
      <c r="AG17" s="252" t="n">
        <f aca="false">AF17+AG16</f>
        <v>-95771</v>
      </c>
      <c r="AH17" s="252" t="n">
        <f aca="false">AG17+AH16</f>
        <v>-95771</v>
      </c>
      <c r="AI17" s="252" t="n">
        <f aca="false">AH17+AI16</f>
        <v>-95771</v>
      </c>
      <c r="AJ17" s="252" t="n">
        <f aca="false">AI17+AJ16</f>
        <v>-95771</v>
      </c>
      <c r="AK17" s="252" t="n">
        <f aca="false">AJ17+AK16</f>
        <v>-95771</v>
      </c>
      <c r="AL17" s="252" t="n">
        <f aca="false">AK17+AL16</f>
        <v>-95771</v>
      </c>
      <c r="AM17" s="252" t="n">
        <f aca="false">AL17+AM16</f>
        <v>-95771</v>
      </c>
      <c r="AN17" s="252" t="n">
        <f aca="false">AM17+AN16</f>
        <v>-95771</v>
      </c>
      <c r="AO17" s="252" t="n">
        <f aca="false">AN17+AO16</f>
        <v>-95771</v>
      </c>
      <c r="AP17" s="252" t="n">
        <f aca="false">AO17+AP16</f>
        <v>-95771</v>
      </c>
      <c r="AQ17" s="252" t="n">
        <f aca="false">AP17+AQ16</f>
        <v>-95771</v>
      </c>
      <c r="AR17" s="252" t="n">
        <f aca="false">AQ17+AR16</f>
        <v>-95771</v>
      </c>
      <c r="AS17" s="252" t="n">
        <f aca="false">AR17+AS16</f>
        <v>-95771</v>
      </c>
      <c r="AT17" s="252" t="n">
        <f aca="false">AS17+AT16</f>
        <v>-95771</v>
      </c>
      <c r="AU17" s="252" t="n">
        <f aca="false">AT17+AU16</f>
        <v>-95771</v>
      </c>
      <c r="AV17" s="252" t="n">
        <f aca="false">AU17+AV16</f>
        <v>-95771</v>
      </c>
      <c r="AW17" s="252" t="n">
        <f aca="false">AV17+AW16</f>
        <v>-95771</v>
      </c>
      <c r="AX17" s="252" t="n">
        <f aca="false">AW17+AX16</f>
        <v>-95771</v>
      </c>
      <c r="AY17" s="252" t="n">
        <f aca="false">AX17+AY16</f>
        <v>-95771</v>
      </c>
      <c r="AZ17" s="252" t="n">
        <f aca="false">AY17+AZ16</f>
        <v>-95771</v>
      </c>
      <c r="BA17" s="252" t="n">
        <f aca="false">AZ17+BA16</f>
        <v>-95771</v>
      </c>
      <c r="BB17" s="252" t="n">
        <f aca="false">BA17+BB16</f>
        <v>-95771</v>
      </c>
      <c r="BC17" s="252" t="n">
        <f aca="false">BB17+BC16</f>
        <v>-95771</v>
      </c>
      <c r="BD17" s="252" t="n">
        <f aca="false">BC17+BD16</f>
        <v>-95771</v>
      </c>
      <c r="BE17" s="252" t="n">
        <f aca="false">BD17+BE16</f>
        <v>-95771</v>
      </c>
      <c r="BF17" s="252" t="n">
        <f aca="false">BE17+BF16</f>
        <v>-95771</v>
      </c>
      <c r="BG17" s="252" t="n">
        <f aca="false">BF17+BG16</f>
        <v>-95771</v>
      </c>
      <c r="BH17" s="252" t="n">
        <f aca="false">BG17+BH16</f>
        <v>-95771</v>
      </c>
      <c r="BI17" s="252" t="n">
        <f aca="false">BH17+BI16</f>
        <v>-95771</v>
      </c>
      <c r="BJ17" s="252" t="n">
        <f aca="false">BI17+BJ16</f>
        <v>-95771</v>
      </c>
      <c r="BK17" s="252" t="n">
        <f aca="false">BJ17+BK16</f>
        <v>-95771</v>
      </c>
      <c r="BL17" s="252" t="n">
        <f aca="false">BK17+BL16</f>
        <v>-95771</v>
      </c>
      <c r="BM17" s="252" t="n">
        <f aca="false">BL17+BM16</f>
        <v>-95771</v>
      </c>
      <c r="BN17" s="252" t="n">
        <f aca="false">BM17+BN16</f>
        <v>-95771</v>
      </c>
      <c r="BO17" s="252" t="n">
        <f aca="false">BN17+BO16</f>
        <v>-95771</v>
      </c>
      <c r="BP17" s="252" t="n">
        <f aca="false">BO17+BP16</f>
        <v>-95771</v>
      </c>
      <c r="BQ17" s="252" t="n">
        <f aca="false">BP17+BQ16</f>
        <v>-95771</v>
      </c>
      <c r="BR17" s="252" t="n">
        <f aca="false">BQ17+BR16</f>
        <v>-95771</v>
      </c>
      <c r="BS17" s="252" t="n">
        <f aca="false">BR17+BS16</f>
        <v>-95771</v>
      </c>
      <c r="BT17" s="252" t="n">
        <f aca="false">BS17+BT16</f>
        <v>-95771</v>
      </c>
      <c r="BU17" s="252" t="n">
        <f aca="false">BT17+BU16</f>
        <v>-95771</v>
      </c>
      <c r="BV17" s="252" t="n">
        <f aca="false">BU17+BV16</f>
        <v>-95771</v>
      </c>
      <c r="BW17" s="252" t="n">
        <f aca="false">BV17+BW16</f>
        <v>-95771</v>
      </c>
      <c r="BX17" s="252" t="n">
        <f aca="false">BW17+BX16</f>
        <v>-95771</v>
      </c>
      <c r="BY17" s="252" t="n">
        <f aca="false">BX17+BY16</f>
        <v>-95771</v>
      </c>
      <c r="BZ17" s="252" t="n">
        <f aca="false">BY17+BZ16</f>
        <v>-95771</v>
      </c>
      <c r="CA17" s="252" t="n">
        <f aca="false">BZ17+CA16</f>
        <v>-95771</v>
      </c>
      <c r="CB17" s="252" t="n">
        <f aca="false">CA17+CB16</f>
        <v>-95771</v>
      </c>
      <c r="CC17" s="252" t="n">
        <f aca="false">CB17+CC16</f>
        <v>-95771</v>
      </c>
      <c r="CD17" s="252" t="n">
        <f aca="false">CC17+CD16</f>
        <v>-95771</v>
      </c>
      <c r="CE17" s="252" t="n">
        <f aca="false">CD17+CE16</f>
        <v>-95771</v>
      </c>
      <c r="CF17" s="252" t="n">
        <f aca="false">CE17+CF16</f>
        <v>-95771</v>
      </c>
      <c r="CG17" s="252" t="n">
        <f aca="false">CF17+CG16</f>
        <v>-95771</v>
      </c>
      <c r="CH17" s="252"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849</v>
      </c>
      <c r="B20" s="3"/>
      <c r="C20" s="249" t="n">
        <f aca="false">Model!E251+Model!E252+Model!E253</f>
        <v>0</v>
      </c>
      <c r="D20" s="249" t="n">
        <f aca="false">Model!F251+Model!F252+Model!F253</f>
        <v>0</v>
      </c>
      <c r="E20" s="249" t="n">
        <f aca="false">Model!G251+Model!G252+Model!G253</f>
        <v>0</v>
      </c>
      <c r="F20" s="249" t="n">
        <f aca="false">Model!H251+Model!H252+Model!H253</f>
        <v>0</v>
      </c>
      <c r="G20" s="249" t="n">
        <f aca="false">Model!I251+Model!I252+Model!I253</f>
        <v>0</v>
      </c>
      <c r="H20" s="249" t="n">
        <f aca="false">Model!J251+Model!J252+Model!J253</f>
        <v>0</v>
      </c>
      <c r="I20" s="249" t="n">
        <f aca="false">Model!K251+Model!K252+Model!K253</f>
        <v>0</v>
      </c>
      <c r="J20" s="249" t="n">
        <f aca="false">Model!L251+Model!L252+Model!L253</f>
        <v>0</v>
      </c>
      <c r="K20" s="249" t="n">
        <f aca="false">Model!M251+Model!M252+Model!M253</f>
        <v>0</v>
      </c>
      <c r="L20" s="249" t="n">
        <f aca="false">Model!N251+Model!N252+Model!N253</f>
        <v>3157.89473684211</v>
      </c>
      <c r="M20" s="249" t="n">
        <f aca="false">Model!O251+Model!O252+Model!O253</f>
        <v>3157.89473684211</v>
      </c>
      <c r="N20" s="249" t="n">
        <f aca="false">Model!P251+Model!P252+Model!P253</f>
        <v>3157.89473684211</v>
      </c>
      <c r="O20" s="249" t="n">
        <f aca="false">Model!Q251+Model!Q252+Model!Q253</f>
        <v>3157.89473684211</v>
      </c>
      <c r="P20" s="249" t="n">
        <f aca="false">Model!R251+Model!R252+Model!R253</f>
        <v>3157.89473684211</v>
      </c>
      <c r="Q20" s="249" t="n">
        <f aca="false">Model!S251+Model!S252+Model!S253</f>
        <v>3157.89473684211</v>
      </c>
      <c r="R20" s="249" t="n">
        <f aca="false">Model!T251+Model!T252+Model!T253</f>
        <v>3157.89473684211</v>
      </c>
      <c r="S20" s="249" t="n">
        <f aca="false">Model!U251+Model!U252+Model!U253</f>
        <v>3157.89473684211</v>
      </c>
      <c r="T20" s="249" t="n">
        <f aca="false">Model!V251+Model!V252+Model!V253</f>
        <v>3157.89473684211</v>
      </c>
      <c r="U20" s="249" t="n">
        <f aca="false">Model!W251+Model!W252+Model!W253</f>
        <v>3157.89473684211</v>
      </c>
      <c r="V20" s="249" t="n">
        <f aca="false">Model!X251+Model!X252+Model!X253</f>
        <v>3157.89473684211</v>
      </c>
      <c r="W20" s="249" t="n">
        <f aca="false">Model!Y251+Model!Y252+Model!Y253</f>
        <v>3157.89473684211</v>
      </c>
      <c r="X20" s="249" t="n">
        <f aca="false">Model!Z251+Model!Z252+Model!Z253</f>
        <v>3157.89473684211</v>
      </c>
      <c r="Y20" s="249" t="n">
        <f aca="false">Model!AA251+Model!AA252+Model!AA253</f>
        <v>3157.89473684211</v>
      </c>
      <c r="Z20" s="249" t="n">
        <f aca="false">Model!AB251+Model!AB252+Model!AB253</f>
        <v>3157.89473684211</v>
      </c>
      <c r="AA20" s="249" t="n">
        <f aca="false">Model!AC251+Model!AC252+Model!AC253</f>
        <v>3157.89473684211</v>
      </c>
      <c r="AB20" s="249" t="n">
        <f aca="false">Model!AD251+Model!AD252+Model!AD253</f>
        <v>3157.89473684211</v>
      </c>
      <c r="AC20" s="249" t="n">
        <f aca="false">Model!AE251+Model!AE252+Model!AE253</f>
        <v>3157.89473684211</v>
      </c>
      <c r="AD20" s="249" t="n">
        <f aca="false">Model!AF251+Model!AF252+Model!AF253</f>
        <v>3157.89473684211</v>
      </c>
      <c r="AE20" s="249" t="n">
        <f aca="false">Model!AG251+Model!AG252+Model!AG253</f>
        <v>0</v>
      </c>
      <c r="AF20" s="249" t="n">
        <f aca="false">Model!AH251+Model!AH252+Model!AH253</f>
        <v>0</v>
      </c>
      <c r="AG20" s="249" t="n">
        <f aca="false">Model!AI251+Model!AI252+Model!AI253</f>
        <v>0</v>
      </c>
      <c r="AH20" s="249" t="n">
        <f aca="false">Model!AJ251+Model!AJ252+Model!AJ253</f>
        <v>0</v>
      </c>
      <c r="AI20" s="249" t="n">
        <f aca="false">Model!AK251+Model!AK252+Model!AK253</f>
        <v>0</v>
      </c>
      <c r="AJ20" s="249" t="n">
        <f aca="false">Model!AL251+Model!AL252+Model!AL253</f>
        <v>0</v>
      </c>
      <c r="AK20" s="249" t="n">
        <f aca="false">Model!AM251+Model!AM252+Model!AM253</f>
        <v>0</v>
      </c>
      <c r="AL20" s="249" t="n">
        <f aca="false">Model!AN251+Model!AN252+Model!AN253</f>
        <v>0</v>
      </c>
      <c r="AM20" s="249" t="n">
        <f aca="false">Model!AO251+Model!AO252+Model!AO253</f>
        <v>0</v>
      </c>
      <c r="AN20" s="249" t="n">
        <f aca="false">Model!AP251+Model!AP252+Model!AP253</f>
        <v>0</v>
      </c>
      <c r="AO20" s="249" t="n">
        <f aca="false">Model!AQ251+Model!AQ252+Model!AQ253</f>
        <v>0</v>
      </c>
      <c r="AP20" s="249" t="n">
        <f aca="false">Model!AR251+Model!AR252+Model!AR253</f>
        <v>0</v>
      </c>
      <c r="AQ20" s="249" t="n">
        <f aca="false">Model!AS251+Model!AS252+Model!AS253</f>
        <v>0</v>
      </c>
      <c r="AR20" s="249" t="n">
        <f aca="false">Model!AT251+Model!AT252+Model!AT253</f>
        <v>0</v>
      </c>
      <c r="AS20" s="249" t="n">
        <f aca="false">Model!AU251+Model!AU252+Model!AU253</f>
        <v>0</v>
      </c>
      <c r="AT20" s="249" t="n">
        <f aca="false">Model!AV251+Model!AV252+Model!AV253</f>
        <v>0</v>
      </c>
      <c r="AU20" s="249" t="n">
        <f aca="false">Model!AW251+Model!AW252+Model!AW253</f>
        <v>0</v>
      </c>
      <c r="AV20" s="249" t="n">
        <f aca="false">Model!AX251+Model!AX252+Model!AX253</f>
        <v>0</v>
      </c>
      <c r="AW20" s="249" t="n">
        <f aca="false">Model!AY251+Model!AY252+Model!AY253</f>
        <v>0</v>
      </c>
      <c r="AX20" s="249" t="n">
        <f aca="false">Model!AZ251+Model!AZ252+Model!AZ253</f>
        <v>0</v>
      </c>
      <c r="AY20" s="249" t="n">
        <f aca="false">Model!BA251+Model!BA252+Model!BA253</f>
        <v>0</v>
      </c>
      <c r="AZ20" s="249" t="n">
        <f aca="false">Model!BB251+Model!BB252+Model!BB253</f>
        <v>0</v>
      </c>
      <c r="BA20" s="249" t="n">
        <f aca="false">Model!BC251+Model!BC252+Model!BC253</f>
        <v>0</v>
      </c>
      <c r="BB20" s="249" t="n">
        <f aca="false">Model!BD251+Model!BD252+Model!BD253</f>
        <v>0</v>
      </c>
      <c r="BC20" s="249" t="n">
        <f aca="false">Model!BE251+Model!BE252+Model!BE253</f>
        <v>0</v>
      </c>
      <c r="BD20" s="249" t="n">
        <f aca="false">Model!BF251+Model!BF252+Model!BF253</f>
        <v>0</v>
      </c>
      <c r="BE20" s="249" t="n">
        <f aca="false">Model!BG251+Model!BG252+Model!BG253</f>
        <v>0</v>
      </c>
      <c r="BF20" s="249" t="n">
        <f aca="false">Model!BH251+Model!BH252+Model!BH253</f>
        <v>0</v>
      </c>
      <c r="BG20" s="249" t="n">
        <f aca="false">Model!BI251+Model!BI252+Model!BI253</f>
        <v>0</v>
      </c>
      <c r="BH20" s="249" t="n">
        <f aca="false">Model!BJ251+Model!BJ252+Model!BJ253</f>
        <v>0</v>
      </c>
      <c r="BI20" s="249" t="n">
        <f aca="false">Model!BK251+Model!BK252+Model!BK253</f>
        <v>0</v>
      </c>
      <c r="BJ20" s="249" t="n">
        <f aca="false">Model!BL251+Model!BL252+Model!BL253</f>
        <v>0</v>
      </c>
      <c r="BK20" s="249" t="n">
        <f aca="false">Model!BM251+Model!BM252+Model!BM253</f>
        <v>0</v>
      </c>
      <c r="BL20" s="249" t="n">
        <f aca="false">Model!BN251+Model!BN252+Model!BN253</f>
        <v>0</v>
      </c>
      <c r="BM20" s="249" t="n">
        <f aca="false">Model!BO251+Model!BO252+Model!BO253</f>
        <v>0</v>
      </c>
      <c r="BN20" s="249" t="n">
        <f aca="false">Model!BP251+Model!BP252+Model!BP253</f>
        <v>0</v>
      </c>
      <c r="BO20" s="249" t="n">
        <f aca="false">Model!BQ251+Model!BQ252+Model!BQ253</f>
        <v>0</v>
      </c>
      <c r="BP20" s="249" t="n">
        <f aca="false">Model!BR251+Model!BR252+Model!BR253</f>
        <v>0</v>
      </c>
      <c r="BQ20" s="249" t="n">
        <f aca="false">Model!BS251+Model!BS252+Model!BS253</f>
        <v>0</v>
      </c>
      <c r="BR20" s="249" t="n">
        <f aca="false">Model!BT251+Model!BT252+Model!BT253</f>
        <v>0</v>
      </c>
      <c r="BS20" s="249" t="n">
        <f aca="false">Model!BU251+Model!BU252+Model!BU253</f>
        <v>0</v>
      </c>
      <c r="BT20" s="249" t="n">
        <f aca="false">Model!BV251+Model!BV252+Model!BV253</f>
        <v>0</v>
      </c>
      <c r="BU20" s="249" t="n">
        <f aca="false">Model!BW251+Model!BW252+Model!BW253</f>
        <v>0</v>
      </c>
      <c r="BV20" s="249" t="n">
        <f aca="false">Model!BX251+Model!BX252+Model!BX253</f>
        <v>0</v>
      </c>
      <c r="BW20" s="249" t="n">
        <f aca="false">Model!BY251+Model!BY252+Model!BY253</f>
        <v>0</v>
      </c>
      <c r="BX20" s="249" t="n">
        <f aca="false">Model!BZ251+Model!BZ252+Model!BZ253</f>
        <v>0</v>
      </c>
      <c r="BY20" s="249" t="n">
        <f aca="false">Model!CA251+Model!CA252+Model!CA253</f>
        <v>0</v>
      </c>
      <c r="BZ20" s="249" t="n">
        <f aca="false">Model!CB251+Model!CB252+Model!CB253</f>
        <v>0</v>
      </c>
      <c r="CA20" s="249" t="n">
        <f aca="false">Model!CC251+Model!CC252+Model!CC253</f>
        <v>0</v>
      </c>
      <c r="CB20" s="249" t="n">
        <f aca="false">Model!CD251+Model!CD252+Model!CD253</f>
        <v>0</v>
      </c>
      <c r="CC20" s="249" t="n">
        <f aca="false">Model!CE251+Model!CE252+Model!CE253</f>
        <v>0</v>
      </c>
      <c r="CD20" s="249" t="n">
        <f aca="false">Model!CF251+Model!CF252+Model!CF253</f>
        <v>0</v>
      </c>
      <c r="CE20" s="249" t="n">
        <f aca="false">Model!CG251+Model!CG252+Model!CG253</f>
        <v>0</v>
      </c>
      <c r="CF20" s="249" t="n">
        <f aca="false">Model!CH251+Model!CH252+Model!CH253</f>
        <v>0</v>
      </c>
      <c r="CG20" s="249" t="n">
        <f aca="false">Model!CI251+Model!CI252+Model!CI253</f>
        <v>0</v>
      </c>
      <c r="CH20" s="249" t="n">
        <f aca="false">Model!CJ251+Model!CJ252+Model!CJ253</f>
        <v>0</v>
      </c>
    </row>
    <row r="21" customFormat="false" ht="15" hidden="false" customHeight="true" outlineLevel="0" collapsed="false">
      <c r="A21" s="253" t="s">
        <v>852</v>
      </c>
      <c r="B21" s="3"/>
      <c r="C21" s="254" t="n">
        <f aca="false">IF(AND(Projects!$G$12="Yes",1=Projects!$C$12),-135452,0)</f>
        <v>0</v>
      </c>
      <c r="D21" s="254" t="n">
        <f aca="false">IF(AND(Projects!$G$12="Yes",2=Projects!$C$12),-135452,0)</f>
        <v>0</v>
      </c>
      <c r="E21" s="254" t="n">
        <f aca="false">IF(AND(Projects!$G$12="Yes",3=Projects!$C$12),-135452,0)</f>
        <v>0</v>
      </c>
      <c r="F21" s="254" t="n">
        <f aca="false">IF(AND(Projects!$G$12="Yes",4=Projects!$C$12),-135452,0)</f>
        <v>0</v>
      </c>
      <c r="G21" s="254" t="n">
        <f aca="false">IF(AND(Projects!$G$12="Yes",5=Projects!$C$12),-135452,0)</f>
        <v>0</v>
      </c>
      <c r="H21" s="254" t="n">
        <f aca="false">IF(AND(Projects!$G$12="Yes",6=Projects!$C$12),-135452,0)</f>
        <v>0</v>
      </c>
      <c r="I21" s="254" t="n">
        <f aca="false">IF(AND(Projects!$G$12="Yes",7=Projects!$C$12),-135452,0)</f>
        <v>0</v>
      </c>
      <c r="J21" s="254" t="n">
        <f aca="false">IF(AND(Projects!$G$12="Yes",8=Projects!$C$12),-135452,0)</f>
        <v>0</v>
      </c>
      <c r="K21" s="254" t="n">
        <f aca="false">IF(AND(Projects!$G$12="Yes",9=Projects!$C$12),-135452,0)</f>
        <v>0</v>
      </c>
      <c r="L21" s="254" t="n">
        <f aca="false">IF(AND(Projects!$G$12="Yes",10=Projects!$C$12),-135452,0)</f>
        <v>-135452</v>
      </c>
      <c r="M21" s="254" t="n">
        <f aca="false">IF(AND(Projects!$G$12="Yes",11=Projects!$C$12),-135452,0)</f>
        <v>0</v>
      </c>
      <c r="N21" s="254" t="n">
        <f aca="false">IF(AND(Projects!$G$12="Yes",12=Projects!$C$12),-135452,0)</f>
        <v>0</v>
      </c>
      <c r="O21" s="254" t="n">
        <f aca="false">IF(AND(Projects!$G$12="Yes",13=Projects!$C$12),-135452,0)</f>
        <v>0</v>
      </c>
      <c r="P21" s="254" t="n">
        <f aca="false">IF(AND(Projects!$G$12="Yes",14=Projects!$C$12),-135452,0)</f>
        <v>0</v>
      </c>
      <c r="Q21" s="254" t="n">
        <f aca="false">IF(AND(Projects!$G$12="Yes",15=Projects!$C$12),-135452,0)</f>
        <v>0</v>
      </c>
      <c r="R21" s="254" t="n">
        <f aca="false">IF(AND(Projects!$G$12="Yes",16=Projects!$C$12),-135452,0)</f>
        <v>0</v>
      </c>
      <c r="S21" s="254" t="n">
        <f aca="false">IF(AND(Projects!$G$12="Yes",17=Projects!$C$12),-135452,0)</f>
        <v>0</v>
      </c>
      <c r="T21" s="254" t="n">
        <f aca="false">IF(AND(Projects!$G$12="Yes",18=Projects!$C$12),-135452,0)</f>
        <v>0</v>
      </c>
      <c r="U21" s="254" t="n">
        <f aca="false">IF(AND(Projects!$G$12="Yes",19=Projects!$C$12),-135452,0)</f>
        <v>0</v>
      </c>
      <c r="V21" s="254" t="n">
        <f aca="false">IF(AND(Projects!$G$12="Yes",20=Projects!$C$12),-135452,0)</f>
        <v>0</v>
      </c>
      <c r="W21" s="254" t="n">
        <f aca="false">IF(AND(Projects!$G$12="Yes",21=Projects!$C$12),-135452,0)</f>
        <v>0</v>
      </c>
      <c r="X21" s="254" t="n">
        <f aca="false">IF(AND(Projects!$G$12="Yes",22=Projects!$C$12),-135452,0)</f>
        <v>0</v>
      </c>
      <c r="Y21" s="254" t="n">
        <f aca="false">IF(AND(Projects!$G$12="Yes",23=Projects!$C$12),-135452,0)</f>
        <v>0</v>
      </c>
      <c r="Z21" s="254" t="n">
        <f aca="false">IF(AND(Projects!$G$12="Yes",24=Projects!$C$12),-135452,0)</f>
        <v>0</v>
      </c>
      <c r="AA21" s="254" t="n">
        <f aca="false">IF(AND(Projects!$G$12="Yes",25=Projects!$C$12),-135452,0)</f>
        <v>0</v>
      </c>
      <c r="AB21" s="254" t="n">
        <f aca="false">IF(AND(Projects!$G$12="Yes",26=Projects!$C$12),-135452,0)</f>
        <v>0</v>
      </c>
      <c r="AC21" s="254" t="n">
        <f aca="false">IF(AND(Projects!$G$12="Yes",27=Projects!$C$12),-135452,0)</f>
        <v>0</v>
      </c>
      <c r="AD21" s="254" t="n">
        <f aca="false">IF(AND(Projects!$G$12="Yes",28=Projects!$C$12),-135452,0)</f>
        <v>0</v>
      </c>
      <c r="AE21" s="254" t="n">
        <f aca="false">IF(AND(Projects!$G$12="Yes",29=Projects!$C$12),-135452,0)</f>
        <v>0</v>
      </c>
      <c r="AF21" s="254" t="n">
        <f aca="false">IF(AND(Projects!$G$12="Yes",30=Projects!$C$12),-135452,0)</f>
        <v>0</v>
      </c>
      <c r="AG21" s="254" t="n">
        <f aca="false">IF(AND(Projects!$G$12="Yes",31=Projects!$C$12),-135452,0)</f>
        <v>0</v>
      </c>
      <c r="AH21" s="254" t="n">
        <f aca="false">IF(AND(Projects!$G$12="Yes",32=Projects!$C$12),-135452,0)</f>
        <v>0</v>
      </c>
      <c r="AI21" s="254" t="n">
        <f aca="false">IF(AND(Projects!$G$12="Yes",33=Projects!$C$12),-135452,0)</f>
        <v>0</v>
      </c>
      <c r="AJ21" s="254" t="n">
        <f aca="false">IF(AND(Projects!$G$12="Yes",34=Projects!$C$12),-135452,0)</f>
        <v>0</v>
      </c>
      <c r="AK21" s="254" t="n">
        <f aca="false">IF(AND(Projects!$G$12="Yes",35=Projects!$C$12),-135452,0)</f>
        <v>0</v>
      </c>
      <c r="AL21" s="254" t="n">
        <f aca="false">IF(AND(Projects!$G$12="Yes",36=Projects!$C$12),-135452,0)</f>
        <v>0</v>
      </c>
      <c r="AM21" s="254" t="n">
        <f aca="false">IF(AND(Projects!$G$12="Yes",37=Projects!$C$12),-135452,0)</f>
        <v>0</v>
      </c>
      <c r="AN21" s="254" t="n">
        <f aca="false">IF(AND(Projects!$G$12="Yes",38=Projects!$C$12),-135452,0)</f>
        <v>0</v>
      </c>
      <c r="AO21" s="254" t="n">
        <f aca="false">IF(AND(Projects!$G$12="Yes",39=Projects!$C$12),-135452,0)</f>
        <v>0</v>
      </c>
      <c r="AP21" s="254" t="n">
        <f aca="false">IF(AND(Projects!$G$12="Yes",40=Projects!$C$12),-135452,0)</f>
        <v>0</v>
      </c>
      <c r="AQ21" s="254" t="n">
        <f aca="false">IF(AND(Projects!$G$12="Yes",41=Projects!$C$12),-135452,0)</f>
        <v>0</v>
      </c>
      <c r="AR21" s="254" t="n">
        <f aca="false">IF(AND(Projects!$G$12="Yes",42=Projects!$C$12),-135452,0)</f>
        <v>0</v>
      </c>
      <c r="AS21" s="254" t="n">
        <f aca="false">IF(AND(Projects!$G$12="Yes",43=Projects!$C$12),-135452,0)</f>
        <v>0</v>
      </c>
      <c r="AT21" s="254" t="n">
        <f aca="false">IF(AND(Projects!$G$12="Yes",44=Projects!$C$12),-135452,0)</f>
        <v>0</v>
      </c>
      <c r="AU21" s="254" t="n">
        <f aca="false">IF(AND(Projects!$G$12="Yes",45=Projects!$C$12),-135452,0)</f>
        <v>0</v>
      </c>
      <c r="AV21" s="254" t="n">
        <f aca="false">IF(AND(Projects!$G$12="Yes",46=Projects!$C$12),-135452,0)</f>
        <v>0</v>
      </c>
      <c r="AW21" s="254" t="n">
        <f aca="false">IF(AND(Projects!$G$12="Yes",47=Projects!$C$12),-135452,0)</f>
        <v>0</v>
      </c>
      <c r="AX21" s="254" t="n">
        <f aca="false">IF(AND(Projects!$G$12="Yes",48=Projects!$C$12),-135452,0)</f>
        <v>0</v>
      </c>
      <c r="AY21" s="254" t="n">
        <f aca="false">IF(AND(Projects!$G$12="Yes",49=Projects!$C$12),-135452,0)</f>
        <v>0</v>
      </c>
      <c r="AZ21" s="254" t="n">
        <f aca="false">IF(AND(Projects!$G$12="Yes",50=Projects!$C$12),-135452,0)</f>
        <v>0</v>
      </c>
      <c r="BA21" s="254" t="n">
        <f aca="false">IF(AND(Projects!$G$12="Yes",51=Projects!$C$12),-135452,0)</f>
        <v>0</v>
      </c>
      <c r="BB21" s="254" t="n">
        <f aca="false">IF(AND(Projects!$G$12="Yes",52=Projects!$C$12),-135452,0)</f>
        <v>0</v>
      </c>
      <c r="BC21" s="254" t="n">
        <f aca="false">IF(AND(Projects!$G$12="Yes",53=Projects!$C$12),-135452,0)</f>
        <v>0</v>
      </c>
      <c r="BD21" s="254" t="n">
        <f aca="false">IF(AND(Projects!$G$12="Yes",54=Projects!$C$12),-135452,0)</f>
        <v>0</v>
      </c>
      <c r="BE21" s="254" t="n">
        <f aca="false">IF(AND(Projects!$G$12="Yes",55=Projects!$C$12),-135452,0)</f>
        <v>0</v>
      </c>
      <c r="BF21" s="254" t="n">
        <f aca="false">IF(AND(Projects!$G$12="Yes",56=Projects!$C$12),-135452,0)</f>
        <v>0</v>
      </c>
      <c r="BG21" s="254" t="n">
        <f aca="false">IF(AND(Projects!$G$12="Yes",57=Projects!$C$12),-135452,0)</f>
        <v>0</v>
      </c>
      <c r="BH21" s="254" t="n">
        <f aca="false">IF(AND(Projects!$G$12="Yes",58=Projects!$C$12),-135452,0)</f>
        <v>0</v>
      </c>
      <c r="BI21" s="254" t="n">
        <f aca="false">IF(AND(Projects!$G$12="Yes",59=Projects!$C$12),-135452,0)</f>
        <v>0</v>
      </c>
      <c r="BJ21" s="254" t="n">
        <f aca="false">IF(AND(Projects!$G$12="Yes",60=Projects!$C$12),-135452,0)</f>
        <v>0</v>
      </c>
      <c r="BK21" s="254" t="n">
        <f aca="false">IF(AND(Projects!$G$12="Yes",61=Projects!$C$12),-135452,0)</f>
        <v>0</v>
      </c>
      <c r="BL21" s="254" t="n">
        <f aca="false">IF(AND(Projects!$G$12="Yes",62=Projects!$C$12),-135452,0)</f>
        <v>0</v>
      </c>
      <c r="BM21" s="254" t="n">
        <f aca="false">IF(AND(Projects!$G$12="Yes",63=Projects!$C$12),-135452,0)</f>
        <v>0</v>
      </c>
      <c r="BN21" s="254" t="n">
        <f aca="false">IF(AND(Projects!$G$12="Yes",64=Projects!$C$12),-135452,0)</f>
        <v>0</v>
      </c>
      <c r="BO21" s="254" t="n">
        <f aca="false">IF(AND(Projects!$G$12="Yes",65=Projects!$C$12),-135452,0)</f>
        <v>0</v>
      </c>
      <c r="BP21" s="254" t="n">
        <f aca="false">IF(AND(Projects!$G$12="Yes",66=Projects!$C$12),-135452,0)</f>
        <v>0</v>
      </c>
      <c r="BQ21" s="254" t="n">
        <f aca="false">IF(AND(Projects!$G$12="Yes",67=Projects!$C$12),-135452,0)</f>
        <v>0</v>
      </c>
      <c r="BR21" s="254" t="n">
        <f aca="false">IF(AND(Projects!$G$12="Yes",68=Projects!$C$12),-135452,0)</f>
        <v>0</v>
      </c>
      <c r="BS21" s="254" t="n">
        <f aca="false">IF(AND(Projects!$G$12="Yes",69=Projects!$C$12),-135452,0)</f>
        <v>0</v>
      </c>
      <c r="BT21" s="254" t="n">
        <f aca="false">IF(AND(Projects!$G$12="Yes",70=Projects!$C$12),-135452,0)</f>
        <v>0</v>
      </c>
      <c r="BU21" s="254" t="n">
        <f aca="false">IF(AND(Projects!$G$12="Yes",71=Projects!$C$12),-135452,0)</f>
        <v>0</v>
      </c>
      <c r="BV21" s="254" t="n">
        <f aca="false">IF(AND(Projects!$G$12="Yes",72=Projects!$C$12),-135452,0)</f>
        <v>0</v>
      </c>
      <c r="BW21" s="254" t="n">
        <f aca="false">IF(AND(Projects!$G$12="Yes",73=Projects!$C$12),-135452,0)</f>
        <v>0</v>
      </c>
      <c r="BX21" s="254" t="n">
        <f aca="false">IF(AND(Projects!$G$12="Yes",74=Projects!$C$12),-135452,0)</f>
        <v>0</v>
      </c>
      <c r="BY21" s="254" t="n">
        <f aca="false">IF(AND(Projects!$G$12="Yes",75=Projects!$C$12),-135452,0)</f>
        <v>0</v>
      </c>
      <c r="BZ21" s="254" t="n">
        <f aca="false">IF(AND(Projects!$G$12="Yes",76=Projects!$C$12),-135452,0)</f>
        <v>0</v>
      </c>
      <c r="CA21" s="254" t="n">
        <f aca="false">IF(AND(Projects!$G$12="Yes",77=Projects!$C$12),-135452,0)</f>
        <v>0</v>
      </c>
      <c r="CB21" s="254" t="n">
        <f aca="false">IF(AND(Projects!$G$12="Yes",78=Projects!$C$12),-135452,0)</f>
        <v>0</v>
      </c>
      <c r="CC21" s="254" t="n">
        <f aca="false">IF(AND(Projects!$G$12="Yes",79=Projects!$C$12),-135452,0)</f>
        <v>0</v>
      </c>
      <c r="CD21" s="254" t="n">
        <f aca="false">IF(AND(Projects!$G$12="Yes",80=Projects!$C$12),-135452,0)</f>
        <v>0</v>
      </c>
      <c r="CE21" s="254" t="n">
        <f aca="false">IF(AND(Projects!$G$12="Yes",81=Projects!$C$12),-135452,0)</f>
        <v>0</v>
      </c>
      <c r="CF21" s="254" t="n">
        <f aca="false">IF(AND(Projects!$G$12="Yes",82=Projects!$C$12),-135452,0)</f>
        <v>0</v>
      </c>
      <c r="CG21" s="254" t="n">
        <f aca="false">IF(AND(Projects!$G$12="Yes",83=Projects!$C$12),-135452,0)</f>
        <v>0</v>
      </c>
      <c r="CH21" s="254" t="n">
        <f aca="false">IF(AND(Projects!$G$12="Yes",84=Projects!$C$12),-135452,0)</f>
        <v>0</v>
      </c>
    </row>
    <row r="22" customFormat="false" ht="15" hidden="false" customHeight="true" outlineLevel="0" collapsed="false">
      <c r="A22" s="250" t="s">
        <v>850</v>
      </c>
      <c r="B22" s="250"/>
      <c r="C22" s="251" t="n">
        <f aca="false">C20+C21</f>
        <v>0</v>
      </c>
      <c r="D22" s="251" t="n">
        <f aca="false">D20+D21</f>
        <v>0</v>
      </c>
      <c r="E22" s="251" t="n">
        <f aca="false">E20+E21</f>
        <v>0</v>
      </c>
      <c r="F22" s="251" t="n">
        <f aca="false">F20+F21</f>
        <v>0</v>
      </c>
      <c r="G22" s="251" t="n">
        <f aca="false">G20+G21</f>
        <v>0</v>
      </c>
      <c r="H22" s="251" t="n">
        <f aca="false">H20+H21</f>
        <v>0</v>
      </c>
      <c r="I22" s="251" t="n">
        <f aca="false">I20+I21</f>
        <v>0</v>
      </c>
      <c r="J22" s="251" t="n">
        <f aca="false">J20+J21</f>
        <v>0</v>
      </c>
      <c r="K22" s="251" t="n">
        <f aca="false">K20+K21</f>
        <v>0</v>
      </c>
      <c r="L22" s="251" t="n">
        <f aca="false">L20+L21</f>
        <v>-132294.105263158</v>
      </c>
      <c r="M22" s="251" t="n">
        <f aca="false">M20+M21</f>
        <v>3157.89473684211</v>
      </c>
      <c r="N22" s="251" t="n">
        <f aca="false">N20+N21</f>
        <v>3157.89473684211</v>
      </c>
      <c r="O22" s="251" t="n">
        <f aca="false">O20+O21</f>
        <v>3157.89473684211</v>
      </c>
      <c r="P22" s="251" t="n">
        <f aca="false">P20+P21</f>
        <v>3157.89473684211</v>
      </c>
      <c r="Q22" s="251" t="n">
        <f aca="false">Q20+Q21</f>
        <v>3157.89473684211</v>
      </c>
      <c r="R22" s="251" t="n">
        <f aca="false">R20+R21</f>
        <v>3157.89473684211</v>
      </c>
      <c r="S22" s="251" t="n">
        <f aca="false">S20+S21</f>
        <v>3157.89473684211</v>
      </c>
      <c r="T22" s="251" t="n">
        <f aca="false">T20+T21</f>
        <v>3157.89473684211</v>
      </c>
      <c r="U22" s="251" t="n">
        <f aca="false">U20+U21</f>
        <v>3157.89473684211</v>
      </c>
      <c r="V22" s="251" t="n">
        <f aca="false">V20+V21</f>
        <v>3157.89473684211</v>
      </c>
      <c r="W22" s="251" t="n">
        <f aca="false">W20+W21</f>
        <v>3157.89473684211</v>
      </c>
      <c r="X22" s="251" t="n">
        <f aca="false">X20+X21</f>
        <v>3157.89473684211</v>
      </c>
      <c r="Y22" s="251" t="n">
        <f aca="false">Y20+Y21</f>
        <v>3157.89473684211</v>
      </c>
      <c r="Z22" s="251" t="n">
        <f aca="false">Z20+Z21</f>
        <v>3157.89473684211</v>
      </c>
      <c r="AA22" s="251" t="n">
        <f aca="false">AA20+AA21</f>
        <v>3157.89473684211</v>
      </c>
      <c r="AB22" s="251" t="n">
        <f aca="false">AB20+AB21</f>
        <v>3157.89473684211</v>
      </c>
      <c r="AC22" s="251" t="n">
        <f aca="false">AC20+AC21</f>
        <v>3157.89473684211</v>
      </c>
      <c r="AD22" s="251" t="n">
        <f aca="false">AD20+AD21</f>
        <v>3157.89473684211</v>
      </c>
      <c r="AE22" s="251" t="n">
        <f aca="false">AE20+AE21</f>
        <v>0</v>
      </c>
      <c r="AF22" s="251" t="n">
        <f aca="false">AF20+AF21</f>
        <v>0</v>
      </c>
      <c r="AG22" s="251" t="n">
        <f aca="false">AG20+AG21</f>
        <v>0</v>
      </c>
      <c r="AH22" s="251" t="n">
        <f aca="false">AH20+AH21</f>
        <v>0</v>
      </c>
      <c r="AI22" s="251" t="n">
        <f aca="false">AI20+AI21</f>
        <v>0</v>
      </c>
      <c r="AJ22" s="251" t="n">
        <f aca="false">AJ20+AJ21</f>
        <v>0</v>
      </c>
      <c r="AK22" s="251" t="n">
        <f aca="false">AK20+AK21</f>
        <v>0</v>
      </c>
      <c r="AL22" s="251" t="n">
        <f aca="false">AL20+AL21</f>
        <v>0</v>
      </c>
      <c r="AM22" s="251" t="n">
        <f aca="false">AM20+AM21</f>
        <v>0</v>
      </c>
      <c r="AN22" s="251" t="n">
        <f aca="false">AN20+AN21</f>
        <v>0</v>
      </c>
      <c r="AO22" s="251" t="n">
        <f aca="false">AO20+AO21</f>
        <v>0</v>
      </c>
      <c r="AP22" s="251" t="n">
        <f aca="false">AP20+AP21</f>
        <v>0</v>
      </c>
      <c r="AQ22" s="251" t="n">
        <f aca="false">AQ20+AQ21</f>
        <v>0</v>
      </c>
      <c r="AR22" s="251" t="n">
        <f aca="false">AR20+AR21</f>
        <v>0</v>
      </c>
      <c r="AS22" s="251" t="n">
        <f aca="false">AS20+AS21</f>
        <v>0</v>
      </c>
      <c r="AT22" s="251" t="n">
        <f aca="false">AT20+AT21</f>
        <v>0</v>
      </c>
      <c r="AU22" s="251" t="n">
        <f aca="false">AU20+AU21</f>
        <v>0</v>
      </c>
      <c r="AV22" s="251" t="n">
        <f aca="false">AV20+AV21</f>
        <v>0</v>
      </c>
      <c r="AW22" s="251" t="n">
        <f aca="false">AW20+AW21</f>
        <v>0</v>
      </c>
      <c r="AX22" s="251" t="n">
        <f aca="false">AX20+AX21</f>
        <v>0</v>
      </c>
      <c r="AY22" s="251" t="n">
        <f aca="false">AY20+AY21</f>
        <v>0</v>
      </c>
      <c r="AZ22" s="251" t="n">
        <f aca="false">AZ20+AZ21</f>
        <v>0</v>
      </c>
      <c r="BA22" s="251" t="n">
        <f aca="false">BA20+BA21</f>
        <v>0</v>
      </c>
      <c r="BB22" s="251" t="n">
        <f aca="false">BB20+BB21</f>
        <v>0</v>
      </c>
      <c r="BC22" s="251" t="n">
        <f aca="false">BC20+BC21</f>
        <v>0</v>
      </c>
      <c r="BD22" s="251" t="n">
        <f aca="false">BD20+BD21</f>
        <v>0</v>
      </c>
      <c r="BE22" s="251" t="n">
        <f aca="false">BE20+BE21</f>
        <v>0</v>
      </c>
      <c r="BF22" s="251" t="n">
        <f aca="false">BF20+BF21</f>
        <v>0</v>
      </c>
      <c r="BG22" s="251" t="n">
        <f aca="false">BG20+BG21</f>
        <v>0</v>
      </c>
      <c r="BH22" s="251" t="n">
        <f aca="false">BH20+BH21</f>
        <v>0</v>
      </c>
      <c r="BI22" s="251" t="n">
        <f aca="false">BI20+BI21</f>
        <v>0</v>
      </c>
      <c r="BJ22" s="251" t="n">
        <f aca="false">BJ20+BJ21</f>
        <v>0</v>
      </c>
      <c r="BK22" s="251" t="n">
        <f aca="false">BK20+BK21</f>
        <v>0</v>
      </c>
      <c r="BL22" s="251" t="n">
        <f aca="false">BL20+BL21</f>
        <v>0</v>
      </c>
      <c r="BM22" s="251" t="n">
        <f aca="false">BM20+BM21</f>
        <v>0</v>
      </c>
      <c r="BN22" s="251" t="n">
        <f aca="false">BN20+BN21</f>
        <v>0</v>
      </c>
      <c r="BO22" s="251" t="n">
        <f aca="false">BO20+BO21</f>
        <v>0</v>
      </c>
      <c r="BP22" s="251" t="n">
        <f aca="false">BP20+BP21</f>
        <v>0</v>
      </c>
      <c r="BQ22" s="251" t="n">
        <f aca="false">BQ20+BQ21</f>
        <v>0</v>
      </c>
      <c r="BR22" s="251" t="n">
        <f aca="false">BR20+BR21</f>
        <v>0</v>
      </c>
      <c r="BS22" s="251" t="n">
        <f aca="false">BS20+BS21</f>
        <v>0</v>
      </c>
      <c r="BT22" s="251" t="n">
        <f aca="false">BT20+BT21</f>
        <v>0</v>
      </c>
      <c r="BU22" s="251" t="n">
        <f aca="false">BU20+BU21</f>
        <v>0</v>
      </c>
      <c r="BV22" s="251" t="n">
        <f aca="false">BV20+BV21</f>
        <v>0</v>
      </c>
      <c r="BW22" s="251" t="n">
        <f aca="false">BW20+BW21</f>
        <v>0</v>
      </c>
      <c r="BX22" s="251" t="n">
        <f aca="false">BX20+BX21</f>
        <v>0</v>
      </c>
      <c r="BY22" s="251" t="n">
        <f aca="false">BY20+BY21</f>
        <v>0</v>
      </c>
      <c r="BZ22" s="251" t="n">
        <f aca="false">BZ20+BZ21</f>
        <v>0</v>
      </c>
      <c r="CA22" s="251" t="n">
        <f aca="false">CA20+CA21</f>
        <v>0</v>
      </c>
      <c r="CB22" s="251" t="n">
        <f aca="false">CB20+CB21</f>
        <v>0</v>
      </c>
      <c r="CC22" s="251" t="n">
        <f aca="false">CC20+CC21</f>
        <v>0</v>
      </c>
      <c r="CD22" s="251" t="n">
        <f aca="false">CD20+CD21</f>
        <v>0</v>
      </c>
      <c r="CE22" s="251" t="n">
        <f aca="false">CE20+CE21</f>
        <v>0</v>
      </c>
      <c r="CF22" s="251" t="n">
        <f aca="false">CF20+CF21</f>
        <v>0</v>
      </c>
      <c r="CG22" s="251" t="n">
        <f aca="false">CG20+CG21</f>
        <v>0</v>
      </c>
      <c r="CH22" s="251" t="n">
        <f aca="false">CH20+CH21</f>
        <v>0</v>
      </c>
    </row>
    <row r="23" customFormat="false" ht="15" hidden="false" customHeight="true" outlineLevel="0" collapsed="false">
      <c r="A23" s="2" t="s">
        <v>851</v>
      </c>
      <c r="B23" s="3"/>
      <c r="C23" s="252" t="n">
        <f aca="false">C22</f>
        <v>0</v>
      </c>
      <c r="D23" s="252" t="n">
        <f aca="false">C23+D22</f>
        <v>0</v>
      </c>
      <c r="E23" s="252" t="n">
        <f aca="false">D23+E22</f>
        <v>0</v>
      </c>
      <c r="F23" s="252" t="n">
        <f aca="false">E23+F22</f>
        <v>0</v>
      </c>
      <c r="G23" s="252" t="n">
        <f aca="false">F23+G22</f>
        <v>0</v>
      </c>
      <c r="H23" s="252" t="n">
        <f aca="false">G23+H22</f>
        <v>0</v>
      </c>
      <c r="I23" s="252" t="n">
        <f aca="false">H23+I22</f>
        <v>0</v>
      </c>
      <c r="J23" s="252" t="n">
        <f aca="false">I23+J22</f>
        <v>0</v>
      </c>
      <c r="K23" s="252" t="n">
        <f aca="false">J23+K22</f>
        <v>0</v>
      </c>
      <c r="L23" s="252" t="n">
        <f aca="false">K23+L22</f>
        <v>-132294.105263158</v>
      </c>
      <c r="M23" s="252" t="n">
        <f aca="false">L23+M22</f>
        <v>-129136.210526316</v>
      </c>
      <c r="N23" s="252" t="n">
        <f aca="false">M23+N22</f>
        <v>-125978.315789474</v>
      </c>
      <c r="O23" s="252" t="n">
        <f aca="false">N23+O22</f>
        <v>-122820.421052632</v>
      </c>
      <c r="P23" s="252" t="n">
        <f aca="false">O23+P22</f>
        <v>-119662.526315789</v>
      </c>
      <c r="Q23" s="252" t="n">
        <f aca="false">P23+Q22</f>
        <v>-116504.631578947</v>
      </c>
      <c r="R23" s="252" t="n">
        <f aca="false">Q23+R22</f>
        <v>-113346.736842105</v>
      </c>
      <c r="S23" s="252" t="n">
        <f aca="false">R23+S22</f>
        <v>-110188.842105263</v>
      </c>
      <c r="T23" s="252" t="n">
        <f aca="false">S23+T22</f>
        <v>-107030.947368421</v>
      </c>
      <c r="U23" s="252" t="n">
        <f aca="false">T23+U22</f>
        <v>-103873.052631579</v>
      </c>
      <c r="V23" s="252" t="n">
        <f aca="false">U23+V22</f>
        <v>-100715.157894737</v>
      </c>
      <c r="W23" s="252" t="n">
        <f aca="false">V23+W22</f>
        <v>-97557.2631578947</v>
      </c>
      <c r="X23" s="252" t="n">
        <f aca="false">W23+X22</f>
        <v>-94399.3684210526</v>
      </c>
      <c r="Y23" s="252" t="n">
        <f aca="false">X23+Y22</f>
        <v>-91241.4736842105</v>
      </c>
      <c r="Z23" s="252" t="n">
        <f aca="false">Y23+Z22</f>
        <v>-88083.5789473684</v>
      </c>
      <c r="AA23" s="252" t="n">
        <f aca="false">Z23+AA22</f>
        <v>-84925.6842105263</v>
      </c>
      <c r="AB23" s="252" t="n">
        <f aca="false">AA23+AB22</f>
        <v>-81767.7894736842</v>
      </c>
      <c r="AC23" s="252" t="n">
        <f aca="false">AB23+AC22</f>
        <v>-78609.8947368421</v>
      </c>
      <c r="AD23" s="252" t="n">
        <f aca="false">AC23+AD22</f>
        <v>-75452</v>
      </c>
      <c r="AE23" s="252" t="n">
        <f aca="false">AD23+AE22</f>
        <v>-75452</v>
      </c>
      <c r="AF23" s="252" t="n">
        <f aca="false">AE23+AF22</f>
        <v>-75452</v>
      </c>
      <c r="AG23" s="252" t="n">
        <f aca="false">AF23+AG22</f>
        <v>-75452</v>
      </c>
      <c r="AH23" s="252" t="n">
        <f aca="false">AG23+AH22</f>
        <v>-75452</v>
      </c>
      <c r="AI23" s="252" t="n">
        <f aca="false">AH23+AI22</f>
        <v>-75452</v>
      </c>
      <c r="AJ23" s="252" t="n">
        <f aca="false">AI23+AJ22</f>
        <v>-75452</v>
      </c>
      <c r="AK23" s="252" t="n">
        <f aca="false">AJ23+AK22</f>
        <v>-75452</v>
      </c>
      <c r="AL23" s="252" t="n">
        <f aca="false">AK23+AL22</f>
        <v>-75452</v>
      </c>
      <c r="AM23" s="252" t="n">
        <f aca="false">AL23+AM22</f>
        <v>-75452</v>
      </c>
      <c r="AN23" s="252" t="n">
        <f aca="false">AM23+AN22</f>
        <v>-75452</v>
      </c>
      <c r="AO23" s="252" t="n">
        <f aca="false">AN23+AO22</f>
        <v>-75452</v>
      </c>
      <c r="AP23" s="252" t="n">
        <f aca="false">AO23+AP22</f>
        <v>-75452</v>
      </c>
      <c r="AQ23" s="252" t="n">
        <f aca="false">AP23+AQ22</f>
        <v>-75452</v>
      </c>
      <c r="AR23" s="252" t="n">
        <f aca="false">AQ23+AR22</f>
        <v>-75452</v>
      </c>
      <c r="AS23" s="252" t="n">
        <f aca="false">AR23+AS22</f>
        <v>-75452</v>
      </c>
      <c r="AT23" s="252" t="n">
        <f aca="false">AS23+AT22</f>
        <v>-75452</v>
      </c>
      <c r="AU23" s="252" t="n">
        <f aca="false">AT23+AU22</f>
        <v>-75452</v>
      </c>
      <c r="AV23" s="252" t="n">
        <f aca="false">AU23+AV22</f>
        <v>-75452</v>
      </c>
      <c r="AW23" s="252" t="n">
        <f aca="false">AV23+AW22</f>
        <v>-75452</v>
      </c>
      <c r="AX23" s="252" t="n">
        <f aca="false">AW23+AX22</f>
        <v>-75452</v>
      </c>
      <c r="AY23" s="252" t="n">
        <f aca="false">AX23+AY22</f>
        <v>-75452</v>
      </c>
      <c r="AZ23" s="252" t="n">
        <f aca="false">AY23+AZ22</f>
        <v>-75452</v>
      </c>
      <c r="BA23" s="252" t="n">
        <f aca="false">AZ23+BA22</f>
        <v>-75452</v>
      </c>
      <c r="BB23" s="252" t="n">
        <f aca="false">BA23+BB22</f>
        <v>-75452</v>
      </c>
      <c r="BC23" s="252" t="n">
        <f aca="false">BB23+BC22</f>
        <v>-75452</v>
      </c>
      <c r="BD23" s="252" t="n">
        <f aca="false">BC23+BD22</f>
        <v>-75452</v>
      </c>
      <c r="BE23" s="252" t="n">
        <f aca="false">BD23+BE22</f>
        <v>-75452</v>
      </c>
      <c r="BF23" s="252" t="n">
        <f aca="false">BE23+BF22</f>
        <v>-75452</v>
      </c>
      <c r="BG23" s="252" t="n">
        <f aca="false">BF23+BG22</f>
        <v>-75452</v>
      </c>
      <c r="BH23" s="252" t="n">
        <f aca="false">BG23+BH22</f>
        <v>-75452</v>
      </c>
      <c r="BI23" s="252" t="n">
        <f aca="false">BH23+BI22</f>
        <v>-75452</v>
      </c>
      <c r="BJ23" s="252" t="n">
        <f aca="false">BI23+BJ22</f>
        <v>-75452</v>
      </c>
      <c r="BK23" s="252" t="n">
        <f aca="false">BJ23+BK22</f>
        <v>-75452</v>
      </c>
      <c r="BL23" s="252" t="n">
        <f aca="false">BK23+BL22</f>
        <v>-75452</v>
      </c>
      <c r="BM23" s="252" t="n">
        <f aca="false">BL23+BM22</f>
        <v>-75452</v>
      </c>
      <c r="BN23" s="252" t="n">
        <f aca="false">BM23+BN22</f>
        <v>-75452</v>
      </c>
      <c r="BO23" s="252" t="n">
        <f aca="false">BN23+BO22</f>
        <v>-75452</v>
      </c>
      <c r="BP23" s="252" t="n">
        <f aca="false">BO23+BP22</f>
        <v>-75452</v>
      </c>
      <c r="BQ23" s="252" t="n">
        <f aca="false">BP23+BQ22</f>
        <v>-75452</v>
      </c>
      <c r="BR23" s="252" t="n">
        <f aca="false">BQ23+BR22</f>
        <v>-75452</v>
      </c>
      <c r="BS23" s="252" t="n">
        <f aca="false">BR23+BS22</f>
        <v>-75452</v>
      </c>
      <c r="BT23" s="252" t="n">
        <f aca="false">BS23+BT22</f>
        <v>-75452</v>
      </c>
      <c r="BU23" s="252" t="n">
        <f aca="false">BT23+BU22</f>
        <v>-75452</v>
      </c>
      <c r="BV23" s="252" t="n">
        <f aca="false">BU23+BV22</f>
        <v>-75452</v>
      </c>
      <c r="BW23" s="252" t="n">
        <f aca="false">BV23+BW22</f>
        <v>-75452</v>
      </c>
      <c r="BX23" s="252" t="n">
        <f aca="false">BW23+BX22</f>
        <v>-75452</v>
      </c>
      <c r="BY23" s="252" t="n">
        <f aca="false">BX23+BY22</f>
        <v>-75452</v>
      </c>
      <c r="BZ23" s="252" t="n">
        <f aca="false">BY23+BZ22</f>
        <v>-75452</v>
      </c>
      <c r="CA23" s="252" t="n">
        <f aca="false">BZ23+CA22</f>
        <v>-75452</v>
      </c>
      <c r="CB23" s="252" t="n">
        <f aca="false">CA23+CB22</f>
        <v>-75452</v>
      </c>
      <c r="CC23" s="252" t="n">
        <f aca="false">CB23+CC22</f>
        <v>-75452</v>
      </c>
      <c r="CD23" s="252" t="n">
        <f aca="false">CC23+CD22</f>
        <v>-75452</v>
      </c>
      <c r="CE23" s="252" t="n">
        <f aca="false">CD23+CE22</f>
        <v>-75452</v>
      </c>
      <c r="CF23" s="252" t="n">
        <f aca="false">CE23+CF22</f>
        <v>-75452</v>
      </c>
      <c r="CG23" s="252" t="n">
        <f aca="false">CF23+CG22</f>
        <v>-75452</v>
      </c>
      <c r="CH23" s="252"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849</v>
      </c>
      <c r="B26" s="3"/>
      <c r="C26" s="249" t="n">
        <f aca="false">Model!E254</f>
        <v>0</v>
      </c>
      <c r="D26" s="249" t="n">
        <f aca="false">Model!F254</f>
        <v>0</v>
      </c>
      <c r="E26" s="249" t="n">
        <f aca="false">Model!G254</f>
        <v>0</v>
      </c>
      <c r="F26" s="249" t="n">
        <f aca="false">Model!H254</f>
        <v>0</v>
      </c>
      <c r="G26" s="249" t="n">
        <f aca="false">Model!I254</f>
        <v>127514</v>
      </c>
      <c r="H26" s="249" t="n">
        <f aca="false">Model!J254</f>
        <v>0</v>
      </c>
      <c r="I26" s="249" t="n">
        <f aca="false">Model!K254</f>
        <v>0</v>
      </c>
      <c r="J26" s="249" t="n">
        <f aca="false">Model!L254</f>
        <v>0</v>
      </c>
      <c r="K26" s="249" t="n">
        <f aca="false">Model!M254</f>
        <v>0</v>
      </c>
      <c r="L26" s="249" t="n">
        <f aca="false">Model!N254</f>
        <v>0</v>
      </c>
      <c r="M26" s="249" t="n">
        <f aca="false">Model!O254</f>
        <v>0</v>
      </c>
      <c r="N26" s="249" t="n">
        <f aca="false">Model!P254</f>
        <v>0</v>
      </c>
      <c r="O26" s="249" t="n">
        <f aca="false">Model!Q254</f>
        <v>0</v>
      </c>
      <c r="P26" s="249" t="n">
        <f aca="false">Model!R254</f>
        <v>0</v>
      </c>
      <c r="Q26" s="249" t="n">
        <f aca="false">Model!S254</f>
        <v>0</v>
      </c>
      <c r="R26" s="249" t="n">
        <f aca="false">Model!T254</f>
        <v>0</v>
      </c>
      <c r="S26" s="249" t="n">
        <f aca="false">Model!U254</f>
        <v>0</v>
      </c>
      <c r="T26" s="249" t="n">
        <f aca="false">Model!V254</f>
        <v>0</v>
      </c>
      <c r="U26" s="249" t="n">
        <f aca="false">Model!W254</f>
        <v>0</v>
      </c>
      <c r="V26" s="249" t="n">
        <f aca="false">Model!X254</f>
        <v>0</v>
      </c>
      <c r="W26" s="249" t="n">
        <f aca="false">Model!Y254</f>
        <v>0</v>
      </c>
      <c r="X26" s="249" t="n">
        <f aca="false">Model!Z254</f>
        <v>0</v>
      </c>
      <c r="Y26" s="249" t="n">
        <f aca="false">Model!AA254</f>
        <v>0</v>
      </c>
      <c r="Z26" s="249" t="n">
        <f aca="false">Model!AB254</f>
        <v>0</v>
      </c>
      <c r="AA26" s="249" t="n">
        <f aca="false">Model!AC254</f>
        <v>0</v>
      </c>
      <c r="AB26" s="249" t="n">
        <f aca="false">Model!AD254</f>
        <v>0</v>
      </c>
      <c r="AC26" s="249" t="n">
        <f aca="false">Model!AE254</f>
        <v>0</v>
      </c>
      <c r="AD26" s="249" t="n">
        <f aca="false">Model!AF254</f>
        <v>0</v>
      </c>
      <c r="AE26" s="249" t="n">
        <f aca="false">Model!AG254</f>
        <v>0</v>
      </c>
      <c r="AF26" s="249" t="n">
        <f aca="false">Model!AH254</f>
        <v>0</v>
      </c>
      <c r="AG26" s="249" t="n">
        <f aca="false">Model!AI254</f>
        <v>0</v>
      </c>
      <c r="AH26" s="249" t="n">
        <f aca="false">Model!AJ254</f>
        <v>0</v>
      </c>
      <c r="AI26" s="249" t="n">
        <f aca="false">Model!AK254</f>
        <v>0</v>
      </c>
      <c r="AJ26" s="249" t="n">
        <f aca="false">Model!AL254</f>
        <v>0</v>
      </c>
      <c r="AK26" s="249" t="n">
        <f aca="false">Model!AM254</f>
        <v>0</v>
      </c>
      <c r="AL26" s="249" t="n">
        <f aca="false">Model!AN254</f>
        <v>0</v>
      </c>
      <c r="AM26" s="249" t="n">
        <f aca="false">Model!AO254</f>
        <v>0</v>
      </c>
      <c r="AN26" s="249" t="n">
        <f aca="false">Model!AP254</f>
        <v>0</v>
      </c>
      <c r="AO26" s="249" t="n">
        <f aca="false">Model!AQ254</f>
        <v>0</v>
      </c>
      <c r="AP26" s="249" t="n">
        <f aca="false">Model!AR254</f>
        <v>0</v>
      </c>
      <c r="AQ26" s="249" t="n">
        <f aca="false">Model!AS254</f>
        <v>0</v>
      </c>
      <c r="AR26" s="249" t="n">
        <f aca="false">Model!AT254</f>
        <v>81683</v>
      </c>
      <c r="AS26" s="249" t="n">
        <f aca="false">Model!AU254</f>
        <v>0</v>
      </c>
      <c r="AT26" s="249" t="n">
        <f aca="false">Model!AV254</f>
        <v>0</v>
      </c>
      <c r="AU26" s="249" t="n">
        <f aca="false">Model!AW254</f>
        <v>81682</v>
      </c>
      <c r="AV26" s="249" t="n">
        <f aca="false">Model!AX254</f>
        <v>0</v>
      </c>
      <c r="AW26" s="249" t="n">
        <f aca="false">Model!AY254</f>
        <v>0</v>
      </c>
      <c r="AX26" s="249" t="n">
        <f aca="false">Model!AZ254</f>
        <v>81682</v>
      </c>
      <c r="AY26" s="249" t="n">
        <f aca="false">Model!BA254</f>
        <v>0</v>
      </c>
      <c r="AZ26" s="249" t="n">
        <f aca="false">Model!BB254</f>
        <v>0</v>
      </c>
      <c r="BA26" s="249" t="n">
        <f aca="false">Model!BC254</f>
        <v>81682</v>
      </c>
      <c r="BB26" s="249" t="n">
        <f aca="false">Model!BD254</f>
        <v>0</v>
      </c>
      <c r="BC26" s="249" t="n">
        <f aca="false">Model!BE254</f>
        <v>0</v>
      </c>
      <c r="BD26" s="249" t="n">
        <f aca="false">Model!BF254</f>
        <v>59178</v>
      </c>
      <c r="BE26" s="249" t="n">
        <f aca="false">Model!BG254</f>
        <v>0</v>
      </c>
      <c r="BF26" s="249" t="n">
        <f aca="false">Model!BH254</f>
        <v>0</v>
      </c>
      <c r="BG26" s="249" t="n">
        <f aca="false">Model!BI254</f>
        <v>59176</v>
      </c>
      <c r="BH26" s="249" t="n">
        <f aca="false">Model!BJ254</f>
        <v>0</v>
      </c>
      <c r="BI26" s="249" t="n">
        <f aca="false">Model!BK254</f>
        <v>0</v>
      </c>
      <c r="BJ26" s="249" t="n">
        <f aca="false">Model!BL254</f>
        <v>59176</v>
      </c>
      <c r="BK26" s="249" t="n">
        <f aca="false">Model!BM254</f>
        <v>0</v>
      </c>
      <c r="BL26" s="249" t="n">
        <f aca="false">Model!BN254</f>
        <v>0</v>
      </c>
      <c r="BM26" s="249" t="n">
        <f aca="false">Model!BO254</f>
        <v>59176</v>
      </c>
      <c r="BN26" s="249" t="n">
        <f aca="false">Model!BP254</f>
        <v>0</v>
      </c>
      <c r="BO26" s="249" t="n">
        <f aca="false">Model!BQ254</f>
        <v>0</v>
      </c>
      <c r="BP26" s="249" t="n">
        <f aca="false">Model!BR254</f>
        <v>67763</v>
      </c>
      <c r="BQ26" s="249" t="n">
        <f aca="false">Model!BS254</f>
        <v>0</v>
      </c>
      <c r="BR26" s="249" t="n">
        <f aca="false">Model!BT254</f>
        <v>0</v>
      </c>
      <c r="BS26" s="249" t="n">
        <f aca="false">Model!BU254</f>
        <v>67762</v>
      </c>
      <c r="BT26" s="249" t="n">
        <f aca="false">Model!BV254</f>
        <v>0</v>
      </c>
      <c r="BU26" s="249" t="n">
        <f aca="false">Model!BW254</f>
        <v>0</v>
      </c>
      <c r="BV26" s="249" t="n">
        <f aca="false">Model!BX254</f>
        <v>67762</v>
      </c>
      <c r="BW26" s="249" t="n">
        <f aca="false">Model!BY254</f>
        <v>0</v>
      </c>
      <c r="BX26" s="249" t="n">
        <f aca="false">Model!BZ254</f>
        <v>0</v>
      </c>
      <c r="BY26" s="249" t="n">
        <f aca="false">Model!CA254</f>
        <v>67762</v>
      </c>
      <c r="BZ26" s="249" t="n">
        <f aca="false">Model!CB254</f>
        <v>0</v>
      </c>
      <c r="CA26" s="249" t="n">
        <f aca="false">Model!CC254</f>
        <v>0</v>
      </c>
      <c r="CB26" s="249" t="n">
        <f aca="false">Model!CD254</f>
        <v>76499</v>
      </c>
      <c r="CC26" s="249" t="n">
        <f aca="false">Model!CE254</f>
        <v>0</v>
      </c>
      <c r="CD26" s="249" t="n">
        <f aca="false">Model!CF254</f>
        <v>0</v>
      </c>
      <c r="CE26" s="249" t="n">
        <f aca="false">Model!CG254</f>
        <v>76499</v>
      </c>
      <c r="CF26" s="249" t="n">
        <f aca="false">Model!CH254</f>
        <v>0</v>
      </c>
      <c r="CG26" s="249" t="n">
        <f aca="false">Model!CI254</f>
        <v>0</v>
      </c>
      <c r="CH26" s="249" t="n">
        <f aca="false">Model!CJ254</f>
        <v>76499</v>
      </c>
    </row>
    <row r="27" customFormat="false" ht="15" hidden="false" customHeight="true" outlineLevel="0" collapsed="false">
      <c r="A27" s="253" t="s">
        <v>852</v>
      </c>
      <c r="B27" s="3"/>
      <c r="C27" s="254" t="n">
        <f aca="false">Model!E289</f>
        <v>-0</v>
      </c>
      <c r="D27" s="254" t="n">
        <f aca="false">Model!F289</f>
        <v>-0</v>
      </c>
      <c r="E27" s="254" t="n">
        <f aca="false">Model!G289</f>
        <v>-0</v>
      </c>
      <c r="F27" s="254" t="n">
        <f aca="false">Model!H289</f>
        <v>-0</v>
      </c>
      <c r="G27" s="254" t="n">
        <f aca="false">Model!I289</f>
        <v>0</v>
      </c>
      <c r="H27" s="254" t="n">
        <f aca="false">Model!J289</f>
        <v>-0</v>
      </c>
      <c r="I27" s="254" t="n">
        <f aca="false">Model!K289</f>
        <v>-0</v>
      </c>
      <c r="J27" s="254" t="n">
        <f aca="false">Model!L289</f>
        <v>-0</v>
      </c>
      <c r="K27" s="254" t="n">
        <f aca="false">Model!M289</f>
        <v>-0</v>
      </c>
      <c r="L27" s="254" t="n">
        <f aca="false">Model!N289</f>
        <v>-0</v>
      </c>
      <c r="M27" s="254" t="n">
        <f aca="false">Model!O289</f>
        <v>-0</v>
      </c>
      <c r="N27" s="254" t="n">
        <f aca="false">Model!P289</f>
        <v>-0</v>
      </c>
      <c r="O27" s="254" t="n">
        <f aca="false">Model!Q289</f>
        <v>-0</v>
      </c>
      <c r="P27" s="254" t="n">
        <f aca="false">Model!R289</f>
        <v>-0</v>
      </c>
      <c r="Q27" s="254" t="n">
        <f aca="false">Model!S289</f>
        <v>-0</v>
      </c>
      <c r="R27" s="254" t="n">
        <f aca="false">Model!T289</f>
        <v>-0</v>
      </c>
      <c r="S27" s="254" t="n">
        <f aca="false">Model!U289</f>
        <v>-0</v>
      </c>
      <c r="T27" s="254" t="n">
        <f aca="false">Model!V289</f>
        <v>-0</v>
      </c>
      <c r="U27" s="254" t="n">
        <f aca="false">Model!W289</f>
        <v>-0</v>
      </c>
      <c r="V27" s="254" t="n">
        <f aca="false">Model!X289</f>
        <v>-0</v>
      </c>
      <c r="W27" s="254" t="n">
        <f aca="false">Model!Y289</f>
        <v>-0</v>
      </c>
      <c r="X27" s="254" t="n">
        <f aca="false">Model!Z289</f>
        <v>-0</v>
      </c>
      <c r="Y27" s="254" t="n">
        <f aca="false">Model!AA289</f>
        <v>-0</v>
      </c>
      <c r="Z27" s="254" t="n">
        <f aca="false">Model!AB289</f>
        <v>-0</v>
      </c>
      <c r="AA27" s="254" t="n">
        <f aca="false">Model!AC289</f>
        <v>-0</v>
      </c>
      <c r="AB27" s="254" t="n">
        <f aca="false">Model!AD289</f>
        <v>-0</v>
      </c>
      <c r="AC27" s="254" t="n">
        <f aca="false">Model!AE289</f>
        <v>-0</v>
      </c>
      <c r="AD27" s="254" t="n">
        <f aca="false">Model!AF289</f>
        <v>-0</v>
      </c>
      <c r="AE27" s="254" t="n">
        <f aca="false">Model!AG289</f>
        <v>-0</v>
      </c>
      <c r="AF27" s="254" t="n">
        <f aca="false">Model!AH289</f>
        <v>-0</v>
      </c>
      <c r="AG27" s="254" t="n">
        <f aca="false">Model!AI289</f>
        <v>-0</v>
      </c>
      <c r="AH27" s="254" t="n">
        <f aca="false">Model!AJ289</f>
        <v>-0</v>
      </c>
      <c r="AI27" s="254" t="n">
        <f aca="false">Model!AK289</f>
        <v>-0</v>
      </c>
      <c r="AJ27" s="254" t="n">
        <f aca="false">Model!AL289</f>
        <v>-0</v>
      </c>
      <c r="AK27" s="254" t="n">
        <f aca="false">Model!AM289</f>
        <v>-0</v>
      </c>
      <c r="AL27" s="254" t="n">
        <f aca="false">Model!AN289</f>
        <v>-0</v>
      </c>
      <c r="AM27" s="254" t="n">
        <f aca="false">Model!AO289</f>
        <v>-0</v>
      </c>
      <c r="AN27" s="254" t="n">
        <f aca="false">Model!AP289</f>
        <v>-0</v>
      </c>
      <c r="AO27" s="254" t="n">
        <f aca="false">Model!AQ289</f>
        <v>-0</v>
      </c>
      <c r="AP27" s="254" t="n">
        <f aca="false">Model!AR289</f>
        <v>-0</v>
      </c>
      <c r="AQ27" s="254" t="n">
        <f aca="false">Model!AS289</f>
        <v>-0</v>
      </c>
      <c r="AR27" s="254" t="n">
        <f aca="false">Model!AT289</f>
        <v>-81683</v>
      </c>
      <c r="AS27" s="254" t="n">
        <f aca="false">Model!AU289</f>
        <v>-0</v>
      </c>
      <c r="AT27" s="254" t="n">
        <f aca="false">Model!AV289</f>
        <v>-0</v>
      </c>
      <c r="AU27" s="254" t="n">
        <f aca="false">Model!AW289</f>
        <v>-81682</v>
      </c>
      <c r="AV27" s="254" t="n">
        <f aca="false">Model!AX289</f>
        <v>-0</v>
      </c>
      <c r="AW27" s="254" t="n">
        <f aca="false">Model!AY289</f>
        <v>-0</v>
      </c>
      <c r="AX27" s="254" t="n">
        <f aca="false">Model!AZ289</f>
        <v>-81682</v>
      </c>
      <c r="AY27" s="254" t="n">
        <f aca="false">Model!BA289</f>
        <v>-0</v>
      </c>
      <c r="AZ27" s="254" t="n">
        <f aca="false">Model!BB289</f>
        <v>-0</v>
      </c>
      <c r="BA27" s="254" t="n">
        <f aca="false">Model!BC289</f>
        <v>-81682</v>
      </c>
      <c r="BB27" s="254" t="n">
        <f aca="false">Model!BD289</f>
        <v>-0</v>
      </c>
      <c r="BC27" s="254" t="n">
        <f aca="false">Model!BE289</f>
        <v>-0</v>
      </c>
      <c r="BD27" s="254" t="n">
        <f aca="false">Model!BF289</f>
        <v>-59178</v>
      </c>
      <c r="BE27" s="254" t="n">
        <f aca="false">Model!BG289</f>
        <v>-0</v>
      </c>
      <c r="BF27" s="254" t="n">
        <f aca="false">Model!BH289</f>
        <v>-0</v>
      </c>
      <c r="BG27" s="254" t="n">
        <f aca="false">Model!BI289</f>
        <v>-59176</v>
      </c>
      <c r="BH27" s="254" t="n">
        <f aca="false">Model!BJ289</f>
        <v>-0</v>
      </c>
      <c r="BI27" s="254" t="n">
        <f aca="false">Model!BK289</f>
        <v>-0</v>
      </c>
      <c r="BJ27" s="254" t="n">
        <f aca="false">Model!BL289</f>
        <v>-59176</v>
      </c>
      <c r="BK27" s="254" t="n">
        <f aca="false">Model!BM289</f>
        <v>-0</v>
      </c>
      <c r="BL27" s="254" t="n">
        <f aca="false">Model!BN289</f>
        <v>-0</v>
      </c>
      <c r="BM27" s="254" t="n">
        <f aca="false">Model!BO289</f>
        <v>-59176</v>
      </c>
      <c r="BN27" s="254" t="n">
        <f aca="false">Model!BP289</f>
        <v>-0</v>
      </c>
      <c r="BO27" s="254" t="n">
        <f aca="false">Model!BQ289</f>
        <v>-0</v>
      </c>
      <c r="BP27" s="254" t="n">
        <f aca="false">Model!BR289</f>
        <v>-14512.65</v>
      </c>
      <c r="BQ27" s="254" t="n">
        <f aca="false">Model!BS289</f>
        <v>-0</v>
      </c>
      <c r="BR27" s="254" t="n">
        <f aca="false">Model!BT289</f>
        <v>-0</v>
      </c>
      <c r="BS27" s="254" t="n">
        <f aca="false">Model!BU289</f>
        <v>-0</v>
      </c>
      <c r="BT27" s="254" t="n">
        <f aca="false">Model!BV289</f>
        <v>-0</v>
      </c>
      <c r="BU27" s="254" t="n">
        <f aca="false">Model!BW289</f>
        <v>-0</v>
      </c>
      <c r="BV27" s="254" t="n">
        <f aca="false">Model!BX289</f>
        <v>-0</v>
      </c>
      <c r="BW27" s="254" t="n">
        <f aca="false">Model!BY289</f>
        <v>-0</v>
      </c>
      <c r="BX27" s="254" t="n">
        <f aca="false">Model!BZ289</f>
        <v>-0</v>
      </c>
      <c r="BY27" s="254" t="n">
        <f aca="false">Model!CA289</f>
        <v>-0</v>
      </c>
      <c r="BZ27" s="254" t="n">
        <f aca="false">Model!CB289</f>
        <v>-0</v>
      </c>
      <c r="CA27" s="254" t="n">
        <f aca="false">Model!CC289</f>
        <v>-0</v>
      </c>
      <c r="CB27" s="254" t="n">
        <f aca="false">Model!CD289</f>
        <v>-0</v>
      </c>
      <c r="CC27" s="254" t="n">
        <f aca="false">Model!CE289</f>
        <v>-0</v>
      </c>
      <c r="CD27" s="254" t="n">
        <f aca="false">Model!CF289</f>
        <v>-0</v>
      </c>
      <c r="CE27" s="254" t="n">
        <f aca="false">Model!CG289</f>
        <v>-0</v>
      </c>
      <c r="CF27" s="254" t="n">
        <f aca="false">Model!CH289</f>
        <v>-0</v>
      </c>
      <c r="CG27" s="254" t="n">
        <f aca="false">Model!CI289</f>
        <v>-0</v>
      </c>
      <c r="CH27" s="254" t="n">
        <f aca="false">Model!CJ289</f>
        <v>-0</v>
      </c>
    </row>
    <row r="28" customFormat="false" ht="15" hidden="false" customHeight="true" outlineLevel="0" collapsed="false">
      <c r="A28" s="250" t="s">
        <v>850</v>
      </c>
      <c r="B28" s="250"/>
      <c r="C28" s="251" t="n">
        <f aca="false">C26+C27</f>
        <v>0</v>
      </c>
      <c r="D28" s="251" t="n">
        <f aca="false">D26+D27</f>
        <v>0</v>
      </c>
      <c r="E28" s="251" t="n">
        <f aca="false">E26+E27</f>
        <v>0</v>
      </c>
      <c r="F28" s="251" t="n">
        <f aca="false">F26+F27</f>
        <v>0</v>
      </c>
      <c r="G28" s="251" t="n">
        <f aca="false">G26+G27</f>
        <v>127514</v>
      </c>
      <c r="H28" s="251" t="n">
        <f aca="false">H26+H27</f>
        <v>0</v>
      </c>
      <c r="I28" s="251" t="n">
        <f aca="false">I26+I27</f>
        <v>0</v>
      </c>
      <c r="J28" s="251" t="n">
        <f aca="false">J26+J27</f>
        <v>0</v>
      </c>
      <c r="K28" s="251" t="n">
        <f aca="false">K26+K27</f>
        <v>0</v>
      </c>
      <c r="L28" s="251" t="n">
        <f aca="false">L26+L27</f>
        <v>0</v>
      </c>
      <c r="M28" s="251" t="n">
        <f aca="false">M26+M27</f>
        <v>0</v>
      </c>
      <c r="N28" s="251" t="n">
        <f aca="false">N26+N27</f>
        <v>0</v>
      </c>
      <c r="O28" s="251" t="n">
        <f aca="false">O26+O27</f>
        <v>0</v>
      </c>
      <c r="P28" s="251" t="n">
        <f aca="false">P26+P27</f>
        <v>0</v>
      </c>
      <c r="Q28" s="251" t="n">
        <f aca="false">Q26+Q27</f>
        <v>0</v>
      </c>
      <c r="R28" s="251" t="n">
        <f aca="false">R26+R27</f>
        <v>0</v>
      </c>
      <c r="S28" s="251" t="n">
        <f aca="false">S26+S27</f>
        <v>0</v>
      </c>
      <c r="T28" s="251" t="n">
        <f aca="false">T26+T27</f>
        <v>0</v>
      </c>
      <c r="U28" s="251" t="n">
        <f aca="false">U26+U27</f>
        <v>0</v>
      </c>
      <c r="V28" s="251" t="n">
        <f aca="false">V26+V27</f>
        <v>0</v>
      </c>
      <c r="W28" s="251" t="n">
        <f aca="false">W26+W27</f>
        <v>0</v>
      </c>
      <c r="X28" s="251" t="n">
        <f aca="false">X26+X27</f>
        <v>0</v>
      </c>
      <c r="Y28" s="251" t="n">
        <f aca="false">Y26+Y27</f>
        <v>0</v>
      </c>
      <c r="Z28" s="251" t="n">
        <f aca="false">Z26+Z27</f>
        <v>0</v>
      </c>
      <c r="AA28" s="251" t="n">
        <f aca="false">AA26+AA27</f>
        <v>0</v>
      </c>
      <c r="AB28" s="251" t="n">
        <f aca="false">AB26+AB27</f>
        <v>0</v>
      </c>
      <c r="AC28" s="251" t="n">
        <f aca="false">AC26+AC27</f>
        <v>0</v>
      </c>
      <c r="AD28" s="251" t="n">
        <f aca="false">AD26+AD27</f>
        <v>0</v>
      </c>
      <c r="AE28" s="251" t="n">
        <f aca="false">AE26+AE27</f>
        <v>0</v>
      </c>
      <c r="AF28" s="251" t="n">
        <f aca="false">AF26+AF27</f>
        <v>0</v>
      </c>
      <c r="AG28" s="251" t="n">
        <f aca="false">AG26+AG27</f>
        <v>0</v>
      </c>
      <c r="AH28" s="251" t="n">
        <f aca="false">AH26+AH27</f>
        <v>0</v>
      </c>
      <c r="AI28" s="251" t="n">
        <f aca="false">AI26+AI27</f>
        <v>0</v>
      </c>
      <c r="AJ28" s="251" t="n">
        <f aca="false">AJ26+AJ27</f>
        <v>0</v>
      </c>
      <c r="AK28" s="251" t="n">
        <f aca="false">AK26+AK27</f>
        <v>0</v>
      </c>
      <c r="AL28" s="251" t="n">
        <f aca="false">AL26+AL27</f>
        <v>0</v>
      </c>
      <c r="AM28" s="251" t="n">
        <f aca="false">AM26+AM27</f>
        <v>0</v>
      </c>
      <c r="AN28" s="251" t="n">
        <f aca="false">AN26+AN27</f>
        <v>0</v>
      </c>
      <c r="AO28" s="251" t="n">
        <f aca="false">AO26+AO27</f>
        <v>0</v>
      </c>
      <c r="AP28" s="251" t="n">
        <f aca="false">AP26+AP27</f>
        <v>0</v>
      </c>
      <c r="AQ28" s="251" t="n">
        <f aca="false">AQ26+AQ27</f>
        <v>0</v>
      </c>
      <c r="AR28" s="251" t="n">
        <f aca="false">AR26+AR27</f>
        <v>0</v>
      </c>
      <c r="AS28" s="251" t="n">
        <f aca="false">AS26+AS27</f>
        <v>0</v>
      </c>
      <c r="AT28" s="251" t="n">
        <f aca="false">AT26+AT27</f>
        <v>0</v>
      </c>
      <c r="AU28" s="251" t="n">
        <f aca="false">AU26+AU27</f>
        <v>0</v>
      </c>
      <c r="AV28" s="251" t="n">
        <f aca="false">AV26+AV27</f>
        <v>0</v>
      </c>
      <c r="AW28" s="251" t="n">
        <f aca="false">AW26+AW27</f>
        <v>0</v>
      </c>
      <c r="AX28" s="251" t="n">
        <f aca="false">AX26+AX27</f>
        <v>0</v>
      </c>
      <c r="AY28" s="251" t="n">
        <f aca="false">AY26+AY27</f>
        <v>0</v>
      </c>
      <c r="AZ28" s="251" t="n">
        <f aca="false">AZ26+AZ27</f>
        <v>0</v>
      </c>
      <c r="BA28" s="251" t="n">
        <f aca="false">BA26+BA27</f>
        <v>0</v>
      </c>
      <c r="BB28" s="251" t="n">
        <f aca="false">BB26+BB27</f>
        <v>0</v>
      </c>
      <c r="BC28" s="251" t="n">
        <f aca="false">BC26+BC27</f>
        <v>0</v>
      </c>
      <c r="BD28" s="251" t="n">
        <f aca="false">BD26+BD27</f>
        <v>0</v>
      </c>
      <c r="BE28" s="251" t="n">
        <f aca="false">BE26+BE27</f>
        <v>0</v>
      </c>
      <c r="BF28" s="251" t="n">
        <f aca="false">BF26+BF27</f>
        <v>0</v>
      </c>
      <c r="BG28" s="251" t="n">
        <f aca="false">BG26+BG27</f>
        <v>0</v>
      </c>
      <c r="BH28" s="251" t="n">
        <f aca="false">BH26+BH27</f>
        <v>0</v>
      </c>
      <c r="BI28" s="251" t="n">
        <f aca="false">BI26+BI27</f>
        <v>0</v>
      </c>
      <c r="BJ28" s="251" t="n">
        <f aca="false">BJ26+BJ27</f>
        <v>0</v>
      </c>
      <c r="BK28" s="251" t="n">
        <f aca="false">BK26+BK27</f>
        <v>0</v>
      </c>
      <c r="BL28" s="251" t="n">
        <f aca="false">BL26+BL27</f>
        <v>0</v>
      </c>
      <c r="BM28" s="251" t="n">
        <f aca="false">BM26+BM27</f>
        <v>0</v>
      </c>
      <c r="BN28" s="251" t="n">
        <f aca="false">BN26+BN27</f>
        <v>0</v>
      </c>
      <c r="BO28" s="251" t="n">
        <f aca="false">BO26+BO27</f>
        <v>0</v>
      </c>
      <c r="BP28" s="251" t="n">
        <f aca="false">BP26+BP27</f>
        <v>53250.35</v>
      </c>
      <c r="BQ28" s="251" t="n">
        <f aca="false">BQ26+BQ27</f>
        <v>0</v>
      </c>
      <c r="BR28" s="251" t="n">
        <f aca="false">BR26+BR27</f>
        <v>0</v>
      </c>
      <c r="BS28" s="251" t="n">
        <f aca="false">BS26+BS27</f>
        <v>67762</v>
      </c>
      <c r="BT28" s="251" t="n">
        <f aca="false">BT26+BT27</f>
        <v>0</v>
      </c>
      <c r="BU28" s="251" t="n">
        <f aca="false">BU26+BU27</f>
        <v>0</v>
      </c>
      <c r="BV28" s="251" t="n">
        <f aca="false">BV26+BV27</f>
        <v>67762</v>
      </c>
      <c r="BW28" s="251" t="n">
        <f aca="false">BW26+BW27</f>
        <v>0</v>
      </c>
      <c r="BX28" s="251" t="n">
        <f aca="false">BX26+BX27</f>
        <v>0</v>
      </c>
      <c r="BY28" s="251" t="n">
        <f aca="false">BY26+BY27</f>
        <v>67762</v>
      </c>
      <c r="BZ28" s="251" t="n">
        <f aca="false">BZ26+BZ27</f>
        <v>0</v>
      </c>
      <c r="CA28" s="251" t="n">
        <f aca="false">CA26+CA27</f>
        <v>0</v>
      </c>
      <c r="CB28" s="251" t="n">
        <f aca="false">CB26+CB27</f>
        <v>76499</v>
      </c>
      <c r="CC28" s="251" t="n">
        <f aca="false">CC26+CC27</f>
        <v>0</v>
      </c>
      <c r="CD28" s="251" t="n">
        <f aca="false">CD26+CD27</f>
        <v>0</v>
      </c>
      <c r="CE28" s="251" t="n">
        <f aca="false">CE26+CE27</f>
        <v>76499</v>
      </c>
      <c r="CF28" s="251" t="n">
        <f aca="false">CF26+CF27</f>
        <v>0</v>
      </c>
      <c r="CG28" s="251" t="n">
        <f aca="false">CG26+CG27</f>
        <v>0</v>
      </c>
      <c r="CH28" s="251" t="n">
        <f aca="false">CH26+CH27</f>
        <v>76499</v>
      </c>
    </row>
    <row r="29" customFormat="false" ht="15" hidden="false" customHeight="true" outlineLevel="0" collapsed="false">
      <c r="A29" s="2" t="s">
        <v>851</v>
      </c>
      <c r="B29" s="3"/>
      <c r="C29" s="252" t="n">
        <f aca="false">C28</f>
        <v>0</v>
      </c>
      <c r="D29" s="252" t="n">
        <f aca="false">C29+D28</f>
        <v>0</v>
      </c>
      <c r="E29" s="252" t="n">
        <f aca="false">D29+E28</f>
        <v>0</v>
      </c>
      <c r="F29" s="252" t="n">
        <f aca="false">E29+F28</f>
        <v>0</v>
      </c>
      <c r="G29" s="252" t="n">
        <f aca="false">F29+G28</f>
        <v>127514</v>
      </c>
      <c r="H29" s="252" t="n">
        <f aca="false">G29+H28</f>
        <v>127514</v>
      </c>
      <c r="I29" s="252" t="n">
        <f aca="false">H29+I28</f>
        <v>127514</v>
      </c>
      <c r="J29" s="252" t="n">
        <f aca="false">I29+J28</f>
        <v>127514</v>
      </c>
      <c r="K29" s="252" t="n">
        <f aca="false">J29+K28</f>
        <v>127514</v>
      </c>
      <c r="L29" s="252" t="n">
        <f aca="false">K29+L28</f>
        <v>127514</v>
      </c>
      <c r="M29" s="252" t="n">
        <f aca="false">L29+M28</f>
        <v>127514</v>
      </c>
      <c r="N29" s="252" t="n">
        <f aca="false">M29+N28</f>
        <v>127514</v>
      </c>
      <c r="O29" s="252" t="n">
        <f aca="false">N29+O28</f>
        <v>127514</v>
      </c>
      <c r="P29" s="252" t="n">
        <f aca="false">O29+P28</f>
        <v>127514</v>
      </c>
      <c r="Q29" s="252" t="n">
        <f aca="false">P29+Q28</f>
        <v>127514</v>
      </c>
      <c r="R29" s="252" t="n">
        <f aca="false">Q29+R28</f>
        <v>127514</v>
      </c>
      <c r="S29" s="252" t="n">
        <f aca="false">R29+S28</f>
        <v>127514</v>
      </c>
      <c r="T29" s="252" t="n">
        <f aca="false">S29+T28</f>
        <v>127514</v>
      </c>
      <c r="U29" s="252" t="n">
        <f aca="false">T29+U28</f>
        <v>127514</v>
      </c>
      <c r="V29" s="252" t="n">
        <f aca="false">U29+V28</f>
        <v>127514</v>
      </c>
      <c r="W29" s="252" t="n">
        <f aca="false">V29+W28</f>
        <v>127514</v>
      </c>
      <c r="X29" s="252" t="n">
        <f aca="false">W29+X28</f>
        <v>127514</v>
      </c>
      <c r="Y29" s="252" t="n">
        <f aca="false">X29+Y28</f>
        <v>127514</v>
      </c>
      <c r="Z29" s="252" t="n">
        <f aca="false">Y29+Z28</f>
        <v>127514</v>
      </c>
      <c r="AA29" s="252" t="n">
        <f aca="false">Z29+AA28</f>
        <v>127514</v>
      </c>
      <c r="AB29" s="252" t="n">
        <f aca="false">AA29+AB28</f>
        <v>127514</v>
      </c>
      <c r="AC29" s="252" t="n">
        <f aca="false">AB29+AC28</f>
        <v>127514</v>
      </c>
      <c r="AD29" s="252" t="n">
        <f aca="false">AC29+AD28</f>
        <v>127514</v>
      </c>
      <c r="AE29" s="252" t="n">
        <f aca="false">AD29+AE28</f>
        <v>127514</v>
      </c>
      <c r="AF29" s="252" t="n">
        <f aca="false">AE29+AF28</f>
        <v>127514</v>
      </c>
      <c r="AG29" s="252" t="n">
        <f aca="false">AF29+AG28</f>
        <v>127514</v>
      </c>
      <c r="AH29" s="252" t="n">
        <f aca="false">AG29+AH28</f>
        <v>127514</v>
      </c>
      <c r="AI29" s="252" t="n">
        <f aca="false">AH29+AI28</f>
        <v>127514</v>
      </c>
      <c r="AJ29" s="252" t="n">
        <f aca="false">AI29+AJ28</f>
        <v>127514</v>
      </c>
      <c r="AK29" s="252" t="n">
        <f aca="false">AJ29+AK28</f>
        <v>127514</v>
      </c>
      <c r="AL29" s="252" t="n">
        <f aca="false">AK29+AL28</f>
        <v>127514</v>
      </c>
      <c r="AM29" s="252" t="n">
        <f aca="false">AL29+AM28</f>
        <v>127514</v>
      </c>
      <c r="AN29" s="252" t="n">
        <f aca="false">AM29+AN28</f>
        <v>127514</v>
      </c>
      <c r="AO29" s="252" t="n">
        <f aca="false">AN29+AO28</f>
        <v>127514</v>
      </c>
      <c r="AP29" s="252" t="n">
        <f aca="false">AO29+AP28</f>
        <v>127514</v>
      </c>
      <c r="AQ29" s="252" t="n">
        <f aca="false">AP29+AQ28</f>
        <v>127514</v>
      </c>
      <c r="AR29" s="252" t="n">
        <f aca="false">AQ29+AR28</f>
        <v>127514</v>
      </c>
      <c r="AS29" s="252" t="n">
        <f aca="false">AR29+AS28</f>
        <v>127514</v>
      </c>
      <c r="AT29" s="252" t="n">
        <f aca="false">AS29+AT28</f>
        <v>127514</v>
      </c>
      <c r="AU29" s="252" t="n">
        <f aca="false">AT29+AU28</f>
        <v>127514</v>
      </c>
      <c r="AV29" s="252" t="n">
        <f aca="false">AU29+AV28</f>
        <v>127514</v>
      </c>
      <c r="AW29" s="252" t="n">
        <f aca="false">AV29+AW28</f>
        <v>127514</v>
      </c>
      <c r="AX29" s="252" t="n">
        <f aca="false">AW29+AX28</f>
        <v>127514</v>
      </c>
      <c r="AY29" s="252" t="n">
        <f aca="false">AX29+AY28</f>
        <v>127514</v>
      </c>
      <c r="AZ29" s="252" t="n">
        <f aca="false">AY29+AZ28</f>
        <v>127514</v>
      </c>
      <c r="BA29" s="252" t="n">
        <f aca="false">AZ29+BA28</f>
        <v>127514</v>
      </c>
      <c r="BB29" s="252" t="n">
        <f aca="false">BA29+BB28</f>
        <v>127514</v>
      </c>
      <c r="BC29" s="252" t="n">
        <f aca="false">BB29+BC28</f>
        <v>127514</v>
      </c>
      <c r="BD29" s="252" t="n">
        <f aca="false">BC29+BD28</f>
        <v>127514</v>
      </c>
      <c r="BE29" s="252" t="n">
        <f aca="false">BD29+BE28</f>
        <v>127514</v>
      </c>
      <c r="BF29" s="252" t="n">
        <f aca="false">BE29+BF28</f>
        <v>127514</v>
      </c>
      <c r="BG29" s="252" t="n">
        <f aca="false">BF29+BG28</f>
        <v>127514</v>
      </c>
      <c r="BH29" s="252" t="n">
        <f aca="false">BG29+BH28</f>
        <v>127514</v>
      </c>
      <c r="BI29" s="252" t="n">
        <f aca="false">BH29+BI28</f>
        <v>127514</v>
      </c>
      <c r="BJ29" s="252" t="n">
        <f aca="false">BI29+BJ28</f>
        <v>127514</v>
      </c>
      <c r="BK29" s="252" t="n">
        <f aca="false">BJ29+BK28</f>
        <v>127514</v>
      </c>
      <c r="BL29" s="252" t="n">
        <f aca="false">BK29+BL28</f>
        <v>127514</v>
      </c>
      <c r="BM29" s="252" t="n">
        <f aca="false">BL29+BM28</f>
        <v>127514</v>
      </c>
      <c r="BN29" s="252" t="n">
        <f aca="false">BM29+BN28</f>
        <v>127514</v>
      </c>
      <c r="BO29" s="252" t="n">
        <f aca="false">BN29+BO28</f>
        <v>127514</v>
      </c>
      <c r="BP29" s="252" t="n">
        <f aca="false">BO29+BP28</f>
        <v>180764.35</v>
      </c>
      <c r="BQ29" s="252" t="n">
        <f aca="false">BP29+BQ28</f>
        <v>180764.35</v>
      </c>
      <c r="BR29" s="252" t="n">
        <f aca="false">BQ29+BR28</f>
        <v>180764.35</v>
      </c>
      <c r="BS29" s="252" t="n">
        <f aca="false">BR29+BS28</f>
        <v>248526.35</v>
      </c>
      <c r="BT29" s="252" t="n">
        <f aca="false">BS29+BT28</f>
        <v>248526.35</v>
      </c>
      <c r="BU29" s="252" t="n">
        <f aca="false">BT29+BU28</f>
        <v>248526.35</v>
      </c>
      <c r="BV29" s="252" t="n">
        <f aca="false">BU29+BV28</f>
        <v>316288.35</v>
      </c>
      <c r="BW29" s="252" t="n">
        <f aca="false">BV29+BW28</f>
        <v>316288.35</v>
      </c>
      <c r="BX29" s="252" t="n">
        <f aca="false">BW29+BX28</f>
        <v>316288.35</v>
      </c>
      <c r="BY29" s="252" t="n">
        <f aca="false">BX29+BY28</f>
        <v>384050.35</v>
      </c>
      <c r="BZ29" s="252" t="n">
        <f aca="false">BY29+BZ28</f>
        <v>384050.35</v>
      </c>
      <c r="CA29" s="252" t="n">
        <f aca="false">BZ29+CA28</f>
        <v>384050.35</v>
      </c>
      <c r="CB29" s="252" t="n">
        <f aca="false">CA29+CB28</f>
        <v>460549.35</v>
      </c>
      <c r="CC29" s="252" t="n">
        <f aca="false">CB29+CC28</f>
        <v>460549.35</v>
      </c>
      <c r="CD29" s="252" t="n">
        <f aca="false">CC29+CD28</f>
        <v>460549.35</v>
      </c>
      <c r="CE29" s="252" t="n">
        <f aca="false">CD29+CE28</f>
        <v>537048.35</v>
      </c>
      <c r="CF29" s="252" t="n">
        <f aca="false">CE29+CF28</f>
        <v>537048.35</v>
      </c>
      <c r="CG29" s="252" t="n">
        <f aca="false">CF29+CG28</f>
        <v>537048.35</v>
      </c>
      <c r="CH29" s="252"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849</v>
      </c>
      <c r="B32" s="3"/>
      <c r="C32" s="249" t="n">
        <f aca="false">Model!E255</f>
        <v>0</v>
      </c>
      <c r="D32" s="249" t="n">
        <f aca="false">Model!F255</f>
        <v>0</v>
      </c>
      <c r="E32" s="249" t="n">
        <f aca="false">Model!G255</f>
        <v>0</v>
      </c>
      <c r="F32" s="249" t="n">
        <f aca="false">Model!H255</f>
        <v>0</v>
      </c>
      <c r="G32" s="249" t="n">
        <f aca="false">Model!I255</f>
        <v>0</v>
      </c>
      <c r="H32" s="249" t="n">
        <f aca="false">Model!J255</f>
        <v>0</v>
      </c>
      <c r="I32" s="249" t="n">
        <f aca="false">Model!K255</f>
        <v>0</v>
      </c>
      <c r="J32" s="249" t="n">
        <f aca="false">Model!L255</f>
        <v>0</v>
      </c>
      <c r="K32" s="249" t="n">
        <f aca="false">Model!M255</f>
        <v>0</v>
      </c>
      <c r="L32" s="249" t="n">
        <f aca="false">Model!N255</f>
        <v>0</v>
      </c>
      <c r="M32" s="249" t="n">
        <f aca="false">Model!O255</f>
        <v>0</v>
      </c>
      <c r="N32" s="249" t="n">
        <f aca="false">Model!P255</f>
        <v>0</v>
      </c>
      <c r="O32" s="249" t="n">
        <f aca="false">Model!Q255</f>
        <v>0</v>
      </c>
      <c r="P32" s="249" t="n">
        <f aca="false">Model!R255</f>
        <v>0</v>
      </c>
      <c r="Q32" s="249" t="n">
        <f aca="false">Model!S255</f>
        <v>0</v>
      </c>
      <c r="R32" s="249" t="n">
        <f aca="false">Model!T255</f>
        <v>0</v>
      </c>
      <c r="S32" s="249" t="n">
        <f aca="false">Model!U255</f>
        <v>0</v>
      </c>
      <c r="T32" s="249" t="n">
        <f aca="false">Model!V255</f>
        <v>0</v>
      </c>
      <c r="U32" s="249" t="n">
        <f aca="false">Model!W255</f>
        <v>0</v>
      </c>
      <c r="V32" s="249" t="n">
        <f aca="false">Model!X255</f>
        <v>0</v>
      </c>
      <c r="W32" s="249" t="n">
        <f aca="false">Model!Y255</f>
        <v>0</v>
      </c>
      <c r="X32" s="249" t="n">
        <f aca="false">Model!Z255</f>
        <v>0</v>
      </c>
      <c r="Y32" s="249" t="n">
        <f aca="false">Model!AA255</f>
        <v>0</v>
      </c>
      <c r="Z32" s="249" t="n">
        <f aca="false">Model!AB255</f>
        <v>0</v>
      </c>
      <c r="AA32" s="249" t="n">
        <f aca="false">Model!AC255</f>
        <v>0</v>
      </c>
      <c r="AB32" s="249" t="n">
        <f aca="false">Model!AD255</f>
        <v>0</v>
      </c>
      <c r="AC32" s="249" t="n">
        <f aca="false">Model!AE255</f>
        <v>0</v>
      </c>
      <c r="AD32" s="249" t="n">
        <f aca="false">Model!AF255</f>
        <v>0</v>
      </c>
      <c r="AE32" s="249" t="n">
        <f aca="false">Model!AG255</f>
        <v>0</v>
      </c>
      <c r="AF32" s="249" t="n">
        <f aca="false">Model!AH255</f>
        <v>0</v>
      </c>
      <c r="AG32" s="249" t="n">
        <f aca="false">Model!AI255</f>
        <v>0</v>
      </c>
      <c r="AH32" s="249" t="n">
        <f aca="false">Model!AJ255</f>
        <v>0</v>
      </c>
      <c r="AI32" s="249" t="n">
        <f aca="false">Model!AK255</f>
        <v>0</v>
      </c>
      <c r="AJ32" s="249" t="n">
        <f aca="false">Model!AL255</f>
        <v>0</v>
      </c>
      <c r="AK32" s="249" t="n">
        <f aca="false">Model!AM255</f>
        <v>0</v>
      </c>
      <c r="AL32" s="249" t="n">
        <f aca="false">Model!AN255</f>
        <v>0</v>
      </c>
      <c r="AM32" s="249" t="n">
        <f aca="false">Model!AO255</f>
        <v>0</v>
      </c>
      <c r="AN32" s="249" t="n">
        <f aca="false">Model!AP255</f>
        <v>0</v>
      </c>
      <c r="AO32" s="249" t="n">
        <f aca="false">Model!AQ255</f>
        <v>0</v>
      </c>
      <c r="AP32" s="249" t="n">
        <f aca="false">Model!AR255</f>
        <v>0</v>
      </c>
      <c r="AQ32" s="249" t="n">
        <f aca="false">Model!AS255</f>
        <v>0</v>
      </c>
      <c r="AR32" s="249" t="n">
        <f aca="false">Model!AT255</f>
        <v>0</v>
      </c>
      <c r="AS32" s="249" t="n">
        <f aca="false">Model!AU255</f>
        <v>0</v>
      </c>
      <c r="AT32" s="249" t="n">
        <f aca="false">Model!AV255</f>
        <v>0</v>
      </c>
      <c r="AU32" s="249" t="n">
        <f aca="false">Model!AW255</f>
        <v>0</v>
      </c>
      <c r="AV32" s="249" t="n">
        <f aca="false">Model!AX255</f>
        <v>0</v>
      </c>
      <c r="AW32" s="249" t="n">
        <f aca="false">Model!AY255</f>
        <v>0</v>
      </c>
      <c r="AX32" s="249" t="n">
        <f aca="false">Model!AZ255</f>
        <v>0</v>
      </c>
      <c r="AY32" s="249" t="n">
        <f aca="false">Model!BA255</f>
        <v>0</v>
      </c>
      <c r="AZ32" s="249" t="n">
        <f aca="false">Model!BB255</f>
        <v>0</v>
      </c>
      <c r="BA32" s="249" t="n">
        <f aca="false">Model!BC255</f>
        <v>851839</v>
      </c>
      <c r="BB32" s="249" t="n">
        <f aca="false">Model!BD255</f>
        <v>0</v>
      </c>
      <c r="BC32" s="249" t="n">
        <f aca="false">Model!BE255</f>
        <v>0</v>
      </c>
      <c r="BD32" s="249" t="n">
        <f aca="false">Model!BF255</f>
        <v>71700</v>
      </c>
      <c r="BE32" s="249" t="n">
        <f aca="false">Model!BG255</f>
        <v>0</v>
      </c>
      <c r="BF32" s="249" t="n">
        <f aca="false">Model!BH255</f>
        <v>0</v>
      </c>
      <c r="BG32" s="249" t="n">
        <f aca="false">Model!BI255</f>
        <v>71700</v>
      </c>
      <c r="BH32" s="249" t="n">
        <f aca="false">Model!BJ255</f>
        <v>0</v>
      </c>
      <c r="BI32" s="249" t="n">
        <f aca="false">Model!BK255</f>
        <v>0</v>
      </c>
      <c r="BJ32" s="249" t="n">
        <f aca="false">Model!BL255</f>
        <v>71700</v>
      </c>
      <c r="BK32" s="249" t="n">
        <f aca="false">Model!BM255</f>
        <v>0</v>
      </c>
      <c r="BL32" s="249" t="n">
        <f aca="false">Model!BN255</f>
        <v>0</v>
      </c>
      <c r="BM32" s="249" t="n">
        <f aca="false">Model!BO255</f>
        <v>71700</v>
      </c>
      <c r="BN32" s="249" t="n">
        <f aca="false">Model!BP255</f>
        <v>0</v>
      </c>
      <c r="BO32" s="249" t="n">
        <f aca="false">Model!BQ255</f>
        <v>0</v>
      </c>
      <c r="BP32" s="249" t="n">
        <f aca="false">Model!BR255</f>
        <v>74643</v>
      </c>
      <c r="BQ32" s="249" t="n">
        <f aca="false">Model!BS255</f>
        <v>0</v>
      </c>
      <c r="BR32" s="249" t="n">
        <f aca="false">Model!BT255</f>
        <v>0</v>
      </c>
      <c r="BS32" s="249" t="n">
        <f aca="false">Model!BU255</f>
        <v>74640</v>
      </c>
      <c r="BT32" s="249" t="n">
        <f aca="false">Model!BV255</f>
        <v>0</v>
      </c>
      <c r="BU32" s="249" t="n">
        <f aca="false">Model!BW255</f>
        <v>0</v>
      </c>
      <c r="BV32" s="249" t="n">
        <f aca="false">Model!BX255</f>
        <v>74640</v>
      </c>
      <c r="BW32" s="249" t="n">
        <f aca="false">Model!BY255</f>
        <v>0</v>
      </c>
      <c r="BX32" s="249" t="n">
        <f aca="false">Model!BZ255</f>
        <v>0</v>
      </c>
      <c r="BY32" s="249" t="n">
        <f aca="false">Model!CA255</f>
        <v>74640</v>
      </c>
      <c r="BZ32" s="249" t="n">
        <f aca="false">Model!CB255</f>
        <v>0</v>
      </c>
      <c r="CA32" s="249" t="n">
        <f aca="false">Model!CC255</f>
        <v>0</v>
      </c>
      <c r="CB32" s="249" t="n">
        <f aca="false">Model!CD255</f>
        <v>81363</v>
      </c>
      <c r="CC32" s="249" t="n">
        <f aca="false">Model!CE255</f>
        <v>0</v>
      </c>
      <c r="CD32" s="249" t="n">
        <f aca="false">Model!CF255</f>
        <v>0</v>
      </c>
      <c r="CE32" s="249" t="n">
        <f aca="false">Model!CG255</f>
        <v>81362</v>
      </c>
      <c r="CF32" s="249" t="n">
        <f aca="false">Model!CH255</f>
        <v>0</v>
      </c>
      <c r="CG32" s="249" t="n">
        <f aca="false">Model!CI255</f>
        <v>0</v>
      </c>
      <c r="CH32" s="249" t="n">
        <f aca="false">Model!CJ255</f>
        <v>81362</v>
      </c>
    </row>
    <row r="33" customFormat="false" ht="15" hidden="false" customHeight="true" outlineLevel="0" collapsed="false">
      <c r="A33" s="253" t="s">
        <v>852</v>
      </c>
      <c r="B33" s="3"/>
      <c r="C33" s="254" t="n">
        <f aca="false">Model!E290</f>
        <v>-0</v>
      </c>
      <c r="D33" s="254" t="n">
        <f aca="false">Model!F290</f>
        <v>-0</v>
      </c>
      <c r="E33" s="254" t="n">
        <f aca="false">Model!G290</f>
        <v>-0</v>
      </c>
      <c r="F33" s="254" t="n">
        <f aca="false">Model!H290</f>
        <v>-0</v>
      </c>
      <c r="G33" s="254" t="n">
        <f aca="false">Model!I290</f>
        <v>-0</v>
      </c>
      <c r="H33" s="254" t="n">
        <f aca="false">Model!J290</f>
        <v>-0</v>
      </c>
      <c r="I33" s="254" t="n">
        <f aca="false">Model!K290</f>
        <v>-0</v>
      </c>
      <c r="J33" s="254" t="n">
        <f aca="false">Model!L290</f>
        <v>-0</v>
      </c>
      <c r="K33" s="254" t="n">
        <f aca="false">Model!M290</f>
        <v>-0</v>
      </c>
      <c r="L33" s="254" t="n">
        <f aca="false">Model!N290</f>
        <v>-0</v>
      </c>
      <c r="M33" s="254" t="n">
        <f aca="false">Model!O290</f>
        <v>-0</v>
      </c>
      <c r="N33" s="254" t="n">
        <f aca="false">Model!P290</f>
        <v>-0</v>
      </c>
      <c r="O33" s="254" t="n">
        <f aca="false">Model!Q290</f>
        <v>-0</v>
      </c>
      <c r="P33" s="254" t="n">
        <f aca="false">Model!R290</f>
        <v>-0</v>
      </c>
      <c r="Q33" s="254" t="n">
        <f aca="false">Model!S290</f>
        <v>-0</v>
      </c>
      <c r="R33" s="254" t="n">
        <f aca="false">Model!T290</f>
        <v>-0</v>
      </c>
      <c r="S33" s="254" t="n">
        <f aca="false">Model!U290</f>
        <v>-0</v>
      </c>
      <c r="T33" s="254" t="n">
        <f aca="false">Model!V290</f>
        <v>-0</v>
      </c>
      <c r="U33" s="254" t="n">
        <f aca="false">Model!W290</f>
        <v>-0</v>
      </c>
      <c r="V33" s="254" t="n">
        <f aca="false">Model!X290</f>
        <v>-0</v>
      </c>
      <c r="W33" s="254" t="n">
        <f aca="false">Model!Y290</f>
        <v>-0</v>
      </c>
      <c r="X33" s="254" t="n">
        <f aca="false">Model!Z290</f>
        <v>-0</v>
      </c>
      <c r="Y33" s="254" t="n">
        <f aca="false">Model!AA290</f>
        <v>-0</v>
      </c>
      <c r="Z33" s="254" t="n">
        <f aca="false">Model!AB290</f>
        <v>-0</v>
      </c>
      <c r="AA33" s="254" t="n">
        <f aca="false">Model!AC290</f>
        <v>-0</v>
      </c>
      <c r="AB33" s="254" t="n">
        <f aca="false">Model!AD290</f>
        <v>-0</v>
      </c>
      <c r="AC33" s="254" t="n">
        <f aca="false">Model!AE290</f>
        <v>-0</v>
      </c>
      <c r="AD33" s="254" t="n">
        <f aca="false">Model!AF290</f>
        <v>-0</v>
      </c>
      <c r="AE33" s="254" t="n">
        <f aca="false">Model!AG290</f>
        <v>-0</v>
      </c>
      <c r="AF33" s="254" t="n">
        <f aca="false">Model!AH290</f>
        <v>-0</v>
      </c>
      <c r="AG33" s="254" t="n">
        <f aca="false">Model!AI290</f>
        <v>-0</v>
      </c>
      <c r="AH33" s="254" t="n">
        <f aca="false">Model!AJ290</f>
        <v>-0</v>
      </c>
      <c r="AI33" s="254" t="n">
        <f aca="false">Model!AK290</f>
        <v>-0</v>
      </c>
      <c r="AJ33" s="254" t="n">
        <f aca="false">Model!AL290</f>
        <v>-0</v>
      </c>
      <c r="AK33" s="254" t="n">
        <f aca="false">Model!AM290</f>
        <v>-0</v>
      </c>
      <c r="AL33" s="254" t="n">
        <f aca="false">Model!AN290</f>
        <v>-0</v>
      </c>
      <c r="AM33" s="254" t="n">
        <f aca="false">Model!AO290</f>
        <v>-0</v>
      </c>
      <c r="AN33" s="254" t="n">
        <f aca="false">Model!AP290</f>
        <v>-0</v>
      </c>
      <c r="AO33" s="254" t="n">
        <f aca="false">Model!AQ290</f>
        <v>-0</v>
      </c>
      <c r="AP33" s="254" t="n">
        <f aca="false">Model!AR290</f>
        <v>-0</v>
      </c>
      <c r="AQ33" s="254" t="n">
        <f aca="false">Model!AS290</f>
        <v>-0</v>
      </c>
      <c r="AR33" s="254" t="n">
        <f aca="false">Model!AT290</f>
        <v>-0</v>
      </c>
      <c r="AS33" s="254" t="n">
        <f aca="false">Model!AU290</f>
        <v>-0</v>
      </c>
      <c r="AT33" s="254" t="n">
        <f aca="false">Model!AV290</f>
        <v>-0</v>
      </c>
      <c r="AU33" s="254" t="n">
        <f aca="false">Model!AW290</f>
        <v>-0</v>
      </c>
      <c r="AV33" s="254" t="n">
        <f aca="false">Model!AX290</f>
        <v>-0</v>
      </c>
      <c r="AW33" s="254" t="n">
        <f aca="false">Model!AY290</f>
        <v>-0</v>
      </c>
      <c r="AX33" s="254" t="n">
        <f aca="false">Model!AZ290</f>
        <v>-0</v>
      </c>
      <c r="AY33" s="254" t="n">
        <f aca="false">Model!BA290</f>
        <v>-0</v>
      </c>
      <c r="AZ33" s="254" t="n">
        <f aca="false">Model!BB290</f>
        <v>-0</v>
      </c>
      <c r="BA33" s="254" t="n">
        <f aca="false">Model!BC290</f>
        <v>-851839</v>
      </c>
      <c r="BB33" s="254" t="n">
        <f aca="false">Model!BD290</f>
        <v>-0</v>
      </c>
      <c r="BC33" s="254" t="n">
        <f aca="false">Model!BE290</f>
        <v>-0</v>
      </c>
      <c r="BD33" s="254" t="n">
        <f aca="false">Model!BF290</f>
        <v>-71700</v>
      </c>
      <c r="BE33" s="254" t="n">
        <f aca="false">Model!BG290</f>
        <v>-0</v>
      </c>
      <c r="BF33" s="254" t="n">
        <f aca="false">Model!BH290</f>
        <v>-0</v>
      </c>
      <c r="BG33" s="254" t="n">
        <f aca="false">Model!BI290</f>
        <v>-71700</v>
      </c>
      <c r="BH33" s="254" t="n">
        <f aca="false">Model!BJ290</f>
        <v>-0</v>
      </c>
      <c r="BI33" s="254" t="n">
        <f aca="false">Model!BK290</f>
        <v>-0</v>
      </c>
      <c r="BJ33" s="254" t="n">
        <f aca="false">Model!BL290</f>
        <v>-71700</v>
      </c>
      <c r="BK33" s="254" t="n">
        <f aca="false">Model!BM290</f>
        <v>-0</v>
      </c>
      <c r="BL33" s="254" t="n">
        <f aca="false">Model!BN290</f>
        <v>-0</v>
      </c>
      <c r="BM33" s="254" t="n">
        <f aca="false">Model!BO290</f>
        <v>-71700</v>
      </c>
      <c r="BN33" s="254" t="n">
        <f aca="false">Model!BP290</f>
        <v>-0</v>
      </c>
      <c r="BO33" s="254" t="n">
        <f aca="false">Model!BQ290</f>
        <v>-0</v>
      </c>
      <c r="BP33" s="254" t="n">
        <f aca="false">Model!BR290</f>
        <v>-74643</v>
      </c>
      <c r="BQ33" s="254" t="n">
        <f aca="false">Model!BS290</f>
        <v>-0</v>
      </c>
      <c r="BR33" s="254" t="n">
        <f aca="false">Model!BT290</f>
        <v>-0</v>
      </c>
      <c r="BS33" s="254" t="n">
        <f aca="false">Model!BU290</f>
        <v>-74640</v>
      </c>
      <c r="BT33" s="254" t="n">
        <f aca="false">Model!BV290</f>
        <v>-0</v>
      </c>
      <c r="BU33" s="254" t="n">
        <f aca="false">Model!BW290</f>
        <v>-0</v>
      </c>
      <c r="BV33" s="254" t="n">
        <f aca="false">Model!BX290</f>
        <v>-74640</v>
      </c>
      <c r="BW33" s="254" t="n">
        <f aca="false">Model!BY290</f>
        <v>-0</v>
      </c>
      <c r="BX33" s="254" t="n">
        <f aca="false">Model!BZ290</f>
        <v>-0</v>
      </c>
      <c r="BY33" s="254" t="n">
        <f aca="false">Model!CA290</f>
        <v>-74640</v>
      </c>
      <c r="BZ33" s="254" t="n">
        <f aca="false">Model!CB290</f>
        <v>-0</v>
      </c>
      <c r="CA33" s="254" t="n">
        <f aca="false">Model!CC290</f>
        <v>-0</v>
      </c>
      <c r="CB33" s="254" t="n">
        <f aca="false">Model!CD290</f>
        <v>-81363</v>
      </c>
      <c r="CC33" s="254" t="n">
        <f aca="false">Model!CE290</f>
        <v>-0</v>
      </c>
      <c r="CD33" s="254" t="n">
        <f aca="false">Model!CF290</f>
        <v>-0</v>
      </c>
      <c r="CE33" s="254" t="n">
        <f aca="false">Model!CG290</f>
        <v>-81362</v>
      </c>
      <c r="CF33" s="254" t="n">
        <f aca="false">Model!CH290</f>
        <v>-0</v>
      </c>
      <c r="CG33" s="254" t="n">
        <f aca="false">Model!CI290</f>
        <v>-0</v>
      </c>
      <c r="CH33" s="254" t="n">
        <f aca="false">Model!CJ290</f>
        <v>-74753.9733935208</v>
      </c>
    </row>
    <row r="34" customFormat="false" ht="15" hidden="false" customHeight="true" outlineLevel="0" collapsed="false">
      <c r="A34" s="253" t="s">
        <v>300</v>
      </c>
      <c r="B34" s="3"/>
      <c r="C34" s="254" t="n">
        <f aca="false">Model!E372</f>
        <v>0</v>
      </c>
      <c r="D34" s="254" t="n">
        <f aca="false">Model!F372</f>
        <v>0</v>
      </c>
      <c r="E34" s="254" t="n">
        <f aca="false">Model!G372</f>
        <v>0</v>
      </c>
      <c r="F34" s="254" t="n">
        <f aca="false">Model!H372</f>
        <v>0</v>
      </c>
      <c r="G34" s="254" t="n">
        <f aca="false">Model!I372</f>
        <v>0</v>
      </c>
      <c r="H34" s="254" t="n">
        <f aca="false">Model!J372</f>
        <v>0</v>
      </c>
      <c r="I34" s="254" t="n">
        <f aca="false">Model!K372</f>
        <v>0</v>
      </c>
      <c r="J34" s="254" t="n">
        <f aca="false">Model!L372</f>
        <v>0</v>
      </c>
      <c r="K34" s="254" t="n">
        <f aca="false">Model!M372</f>
        <v>0</v>
      </c>
      <c r="L34" s="254" t="n">
        <f aca="false">Model!N372</f>
        <v>0</v>
      </c>
      <c r="M34" s="254" t="n">
        <f aca="false">Model!O372</f>
        <v>0</v>
      </c>
      <c r="N34" s="254" t="n">
        <f aca="false">Model!P372</f>
        <v>0</v>
      </c>
      <c r="O34" s="254" t="n">
        <f aca="false">Model!Q372</f>
        <v>0</v>
      </c>
      <c r="P34" s="254" t="n">
        <f aca="false">Model!R372</f>
        <v>0</v>
      </c>
      <c r="Q34" s="254" t="n">
        <f aca="false">Model!S372</f>
        <v>0</v>
      </c>
      <c r="R34" s="254" t="n">
        <f aca="false">Model!T372</f>
        <v>0</v>
      </c>
      <c r="S34" s="254" t="n">
        <f aca="false">Model!U372</f>
        <v>0</v>
      </c>
      <c r="T34" s="254" t="n">
        <f aca="false">Model!V372</f>
        <v>0</v>
      </c>
      <c r="U34" s="254" t="n">
        <f aca="false">Model!W372</f>
        <v>0</v>
      </c>
      <c r="V34" s="254" t="n">
        <f aca="false">Model!X372</f>
        <v>0</v>
      </c>
      <c r="W34" s="254" t="n">
        <f aca="false">Model!Y372</f>
        <v>0</v>
      </c>
      <c r="X34" s="254" t="n">
        <f aca="false">Model!Z372</f>
        <v>0</v>
      </c>
      <c r="Y34" s="254" t="n">
        <f aca="false">Model!AA372</f>
        <v>0</v>
      </c>
      <c r="Z34" s="254" t="n">
        <f aca="false">Model!AB372</f>
        <v>0</v>
      </c>
      <c r="AA34" s="254" t="n">
        <f aca="false">Model!AC372</f>
        <v>0</v>
      </c>
      <c r="AB34" s="254" t="n">
        <f aca="false">Model!AD372</f>
        <v>0</v>
      </c>
      <c r="AC34" s="254" t="n">
        <f aca="false">Model!AE372</f>
        <v>0</v>
      </c>
      <c r="AD34" s="254" t="n">
        <f aca="false">Model!AF372</f>
        <v>0</v>
      </c>
      <c r="AE34" s="254" t="n">
        <f aca="false">Model!AG372</f>
        <v>0</v>
      </c>
      <c r="AF34" s="254" t="n">
        <f aca="false">Model!AH372</f>
        <v>0</v>
      </c>
      <c r="AG34" s="254" t="n">
        <f aca="false">Model!AI372</f>
        <v>0</v>
      </c>
      <c r="AH34" s="254" t="n">
        <f aca="false">Model!AJ372</f>
        <v>0</v>
      </c>
      <c r="AI34" s="254" t="n">
        <f aca="false">Model!AK372</f>
        <v>0</v>
      </c>
      <c r="AJ34" s="254" t="n">
        <f aca="false">Model!AL372</f>
        <v>0</v>
      </c>
      <c r="AK34" s="254" t="n">
        <f aca="false">Model!AM372</f>
        <v>0</v>
      </c>
      <c r="AL34" s="254" t="n">
        <f aca="false">Model!AN372</f>
        <v>0</v>
      </c>
      <c r="AM34" s="254" t="n">
        <f aca="false">Model!AO372</f>
        <v>0</v>
      </c>
      <c r="AN34" s="254" t="n">
        <f aca="false">Model!AP372</f>
        <v>0</v>
      </c>
      <c r="AO34" s="254" t="n">
        <f aca="false">Model!AQ372</f>
        <v>0</v>
      </c>
      <c r="AP34" s="254" t="n">
        <f aca="false">Model!AR372</f>
        <v>0</v>
      </c>
      <c r="AQ34" s="254" t="n">
        <f aca="false">Model!AS372</f>
        <v>0</v>
      </c>
      <c r="AR34" s="254" t="n">
        <f aca="false">Model!AT372</f>
        <v>0</v>
      </c>
      <c r="AS34" s="254" t="n">
        <f aca="false">Model!AU372</f>
        <v>0</v>
      </c>
      <c r="AT34" s="254" t="n">
        <f aca="false">Model!AV372</f>
        <v>0</v>
      </c>
      <c r="AU34" s="254" t="n">
        <f aca="false">Model!AW372</f>
        <v>0</v>
      </c>
      <c r="AV34" s="254" t="n">
        <f aca="false">Model!AX372</f>
        <v>0</v>
      </c>
      <c r="AW34" s="254" t="n">
        <f aca="false">Model!AY372</f>
        <v>0</v>
      </c>
      <c r="AX34" s="254" t="n">
        <f aca="false">Model!AZ372</f>
        <v>0</v>
      </c>
      <c r="AY34" s="254" t="n">
        <f aca="false">Model!BA372</f>
        <v>0</v>
      </c>
      <c r="AZ34" s="254" t="n">
        <f aca="false">Model!BB372</f>
        <v>0</v>
      </c>
      <c r="BA34" s="254" t="n">
        <f aca="false">Model!BC372</f>
        <v>0</v>
      </c>
      <c r="BB34" s="254" t="n">
        <f aca="false">Model!BD372</f>
        <v>0</v>
      </c>
      <c r="BC34" s="254" t="n">
        <f aca="false">Model!BE372</f>
        <v>0</v>
      </c>
      <c r="BD34" s="254" t="n">
        <f aca="false">Model!BF372</f>
        <v>0</v>
      </c>
      <c r="BE34" s="254" t="n">
        <f aca="false">Model!BG372</f>
        <v>0</v>
      </c>
      <c r="BF34" s="254" t="n">
        <f aca="false">Model!BH372</f>
        <v>0</v>
      </c>
      <c r="BG34" s="254" t="n">
        <f aca="false">Model!BI372</f>
        <v>0</v>
      </c>
      <c r="BH34" s="254" t="n">
        <f aca="false">Model!BJ372</f>
        <v>0</v>
      </c>
      <c r="BI34" s="254" t="n">
        <f aca="false">Model!BK372</f>
        <v>0</v>
      </c>
      <c r="BJ34" s="254" t="n">
        <f aca="false">Model!BL372</f>
        <v>0</v>
      </c>
      <c r="BK34" s="254" t="n">
        <f aca="false">Model!BM372</f>
        <v>0</v>
      </c>
      <c r="BL34" s="254" t="n">
        <f aca="false">Model!BN372</f>
        <v>0</v>
      </c>
      <c r="BM34" s="254" t="n">
        <f aca="false">Model!BO372</f>
        <v>0</v>
      </c>
      <c r="BN34" s="254" t="n">
        <f aca="false">Model!BP372</f>
        <v>0</v>
      </c>
      <c r="BO34" s="254" t="n">
        <f aca="false">Model!BQ372</f>
        <v>0</v>
      </c>
      <c r="BP34" s="254" t="n">
        <f aca="false">Model!BR372</f>
        <v>0</v>
      </c>
      <c r="BQ34" s="254" t="n">
        <f aca="false">Model!BS372</f>
        <v>0</v>
      </c>
      <c r="BR34" s="254" t="n">
        <f aca="false">Model!BT372</f>
        <v>0</v>
      </c>
      <c r="BS34" s="254" t="n">
        <f aca="false">Model!BU372</f>
        <v>0</v>
      </c>
      <c r="BT34" s="254" t="n">
        <f aca="false">Model!BV372</f>
        <v>0</v>
      </c>
      <c r="BU34" s="254" t="n">
        <f aca="false">Model!BW372</f>
        <v>0</v>
      </c>
      <c r="BV34" s="254" t="n">
        <f aca="false">Model!BX372</f>
        <v>0</v>
      </c>
      <c r="BW34" s="254" t="n">
        <f aca="false">Model!BY372</f>
        <v>0</v>
      </c>
      <c r="BX34" s="254" t="n">
        <f aca="false">Model!BZ372</f>
        <v>0</v>
      </c>
      <c r="BY34" s="254" t="n">
        <f aca="false">Model!CA372</f>
        <v>0</v>
      </c>
      <c r="BZ34" s="254" t="n">
        <f aca="false">Model!CB372</f>
        <v>0</v>
      </c>
      <c r="CA34" s="254" t="n">
        <f aca="false">Model!CC372</f>
        <v>0</v>
      </c>
      <c r="CB34" s="254" t="n">
        <f aca="false">Model!CD372</f>
        <v>0</v>
      </c>
      <c r="CC34" s="254" t="n">
        <f aca="false">Model!CE372</f>
        <v>0</v>
      </c>
      <c r="CD34" s="254" t="n">
        <f aca="false">Model!CF372</f>
        <v>0</v>
      </c>
      <c r="CE34" s="254" t="n">
        <f aca="false">Model!CG372</f>
        <v>0</v>
      </c>
      <c r="CF34" s="254" t="n">
        <f aca="false">Model!CH372</f>
        <v>0</v>
      </c>
      <c r="CG34" s="254" t="n">
        <f aca="false">Model!CI372</f>
        <v>0</v>
      </c>
      <c r="CH34" s="254" t="n">
        <f aca="false">Model!CJ372</f>
        <v>0</v>
      </c>
    </row>
    <row r="35" customFormat="false" ht="15" hidden="false" customHeight="true" outlineLevel="0" collapsed="false">
      <c r="A35" s="250" t="s">
        <v>850</v>
      </c>
      <c r="B35" s="250"/>
      <c r="C35" s="251" t="n">
        <f aca="false">C32+C33+C34</f>
        <v>0</v>
      </c>
      <c r="D35" s="251" t="n">
        <f aca="false">D32+D33+D34</f>
        <v>0</v>
      </c>
      <c r="E35" s="251" t="n">
        <f aca="false">E32+E33+E34</f>
        <v>0</v>
      </c>
      <c r="F35" s="251" t="n">
        <f aca="false">F32+F33+F34</f>
        <v>0</v>
      </c>
      <c r="G35" s="251" t="n">
        <f aca="false">G32+G33+G34</f>
        <v>0</v>
      </c>
      <c r="H35" s="251" t="n">
        <f aca="false">H32+H33+H34</f>
        <v>0</v>
      </c>
      <c r="I35" s="251" t="n">
        <f aca="false">I32+I33+I34</f>
        <v>0</v>
      </c>
      <c r="J35" s="251" t="n">
        <f aca="false">J32+J33+J34</f>
        <v>0</v>
      </c>
      <c r="K35" s="251" t="n">
        <f aca="false">K32+K33+K34</f>
        <v>0</v>
      </c>
      <c r="L35" s="251" t="n">
        <f aca="false">L32+L33+L34</f>
        <v>0</v>
      </c>
      <c r="M35" s="251" t="n">
        <f aca="false">M32+M33+M34</f>
        <v>0</v>
      </c>
      <c r="N35" s="251" t="n">
        <f aca="false">N32+N33+N34</f>
        <v>0</v>
      </c>
      <c r="O35" s="251" t="n">
        <f aca="false">O32+O33+O34</f>
        <v>0</v>
      </c>
      <c r="P35" s="251" t="n">
        <f aca="false">P32+P33+P34</f>
        <v>0</v>
      </c>
      <c r="Q35" s="251" t="n">
        <f aca="false">Q32+Q33+Q34</f>
        <v>0</v>
      </c>
      <c r="R35" s="251" t="n">
        <f aca="false">R32+R33+R34</f>
        <v>0</v>
      </c>
      <c r="S35" s="251" t="n">
        <f aca="false">S32+S33+S34</f>
        <v>0</v>
      </c>
      <c r="T35" s="251" t="n">
        <f aca="false">T32+T33+T34</f>
        <v>0</v>
      </c>
      <c r="U35" s="251" t="n">
        <f aca="false">U32+U33+U34</f>
        <v>0</v>
      </c>
      <c r="V35" s="251" t="n">
        <f aca="false">V32+V33+V34</f>
        <v>0</v>
      </c>
      <c r="W35" s="251" t="n">
        <f aca="false">W32+W33+W34</f>
        <v>0</v>
      </c>
      <c r="X35" s="251" t="n">
        <f aca="false">X32+X33+X34</f>
        <v>0</v>
      </c>
      <c r="Y35" s="251" t="n">
        <f aca="false">Y32+Y33+Y34</f>
        <v>0</v>
      </c>
      <c r="Z35" s="251" t="n">
        <f aca="false">Z32+Z33+Z34</f>
        <v>0</v>
      </c>
      <c r="AA35" s="251" t="n">
        <f aca="false">AA32+AA33+AA34</f>
        <v>0</v>
      </c>
      <c r="AB35" s="251" t="n">
        <f aca="false">AB32+AB33+AB34</f>
        <v>0</v>
      </c>
      <c r="AC35" s="251" t="n">
        <f aca="false">AC32+AC33+AC34</f>
        <v>0</v>
      </c>
      <c r="AD35" s="251" t="n">
        <f aca="false">AD32+AD33+AD34</f>
        <v>0</v>
      </c>
      <c r="AE35" s="251" t="n">
        <f aca="false">AE32+AE33+AE34</f>
        <v>0</v>
      </c>
      <c r="AF35" s="251" t="n">
        <f aca="false">AF32+AF33+AF34</f>
        <v>0</v>
      </c>
      <c r="AG35" s="251" t="n">
        <f aca="false">AG32+AG33+AG34</f>
        <v>0</v>
      </c>
      <c r="AH35" s="251" t="n">
        <f aca="false">AH32+AH33+AH34</f>
        <v>0</v>
      </c>
      <c r="AI35" s="251" t="n">
        <f aca="false">AI32+AI33+AI34</f>
        <v>0</v>
      </c>
      <c r="AJ35" s="251" t="n">
        <f aca="false">AJ32+AJ33+AJ34</f>
        <v>0</v>
      </c>
      <c r="AK35" s="251" t="n">
        <f aca="false">AK32+AK33+AK34</f>
        <v>0</v>
      </c>
      <c r="AL35" s="251" t="n">
        <f aca="false">AL32+AL33+AL34</f>
        <v>0</v>
      </c>
      <c r="AM35" s="251" t="n">
        <f aca="false">AM32+AM33+AM34</f>
        <v>0</v>
      </c>
      <c r="AN35" s="251" t="n">
        <f aca="false">AN32+AN33+AN34</f>
        <v>0</v>
      </c>
      <c r="AO35" s="251" t="n">
        <f aca="false">AO32+AO33+AO34</f>
        <v>0</v>
      </c>
      <c r="AP35" s="251" t="n">
        <f aca="false">AP32+AP33+AP34</f>
        <v>0</v>
      </c>
      <c r="AQ35" s="251" t="n">
        <f aca="false">AQ32+AQ33+AQ34</f>
        <v>0</v>
      </c>
      <c r="AR35" s="251" t="n">
        <f aca="false">AR32+AR33+AR34</f>
        <v>0</v>
      </c>
      <c r="AS35" s="251" t="n">
        <f aca="false">AS32+AS33+AS34</f>
        <v>0</v>
      </c>
      <c r="AT35" s="251" t="n">
        <f aca="false">AT32+AT33+AT34</f>
        <v>0</v>
      </c>
      <c r="AU35" s="251" t="n">
        <f aca="false">AU32+AU33+AU34</f>
        <v>0</v>
      </c>
      <c r="AV35" s="251" t="n">
        <f aca="false">AV32+AV33+AV34</f>
        <v>0</v>
      </c>
      <c r="AW35" s="251" t="n">
        <f aca="false">AW32+AW33+AW34</f>
        <v>0</v>
      </c>
      <c r="AX35" s="251" t="n">
        <f aca="false">AX32+AX33+AX34</f>
        <v>0</v>
      </c>
      <c r="AY35" s="251" t="n">
        <f aca="false">AY32+AY33+AY34</f>
        <v>0</v>
      </c>
      <c r="AZ35" s="251" t="n">
        <f aca="false">AZ32+AZ33+AZ34</f>
        <v>0</v>
      </c>
      <c r="BA35" s="251" t="n">
        <f aca="false">BA32+BA33+BA34</f>
        <v>0</v>
      </c>
      <c r="BB35" s="251" t="n">
        <f aca="false">BB32+BB33+BB34</f>
        <v>0</v>
      </c>
      <c r="BC35" s="251" t="n">
        <f aca="false">BC32+BC33+BC34</f>
        <v>0</v>
      </c>
      <c r="BD35" s="251" t="n">
        <f aca="false">BD32+BD33+BD34</f>
        <v>0</v>
      </c>
      <c r="BE35" s="251" t="n">
        <f aca="false">BE32+BE33+BE34</f>
        <v>0</v>
      </c>
      <c r="BF35" s="251" t="n">
        <f aca="false">BF32+BF33+BF34</f>
        <v>0</v>
      </c>
      <c r="BG35" s="251" t="n">
        <f aca="false">BG32+BG33+BG34</f>
        <v>0</v>
      </c>
      <c r="BH35" s="251" t="n">
        <f aca="false">BH32+BH33+BH34</f>
        <v>0</v>
      </c>
      <c r="BI35" s="251" t="n">
        <f aca="false">BI32+BI33+BI34</f>
        <v>0</v>
      </c>
      <c r="BJ35" s="251" t="n">
        <f aca="false">BJ32+BJ33+BJ34</f>
        <v>0</v>
      </c>
      <c r="BK35" s="251" t="n">
        <f aca="false">BK32+BK33+BK34</f>
        <v>0</v>
      </c>
      <c r="BL35" s="251" t="n">
        <f aca="false">BL32+BL33+BL34</f>
        <v>0</v>
      </c>
      <c r="BM35" s="251" t="n">
        <f aca="false">BM32+BM33+BM34</f>
        <v>0</v>
      </c>
      <c r="BN35" s="251" t="n">
        <f aca="false">BN32+BN33+BN34</f>
        <v>0</v>
      </c>
      <c r="BO35" s="251" t="n">
        <f aca="false">BO32+BO33+BO34</f>
        <v>0</v>
      </c>
      <c r="BP35" s="251" t="n">
        <f aca="false">BP32+BP33+BP34</f>
        <v>0</v>
      </c>
      <c r="BQ35" s="251" t="n">
        <f aca="false">BQ32+BQ33+BQ34</f>
        <v>0</v>
      </c>
      <c r="BR35" s="251" t="n">
        <f aca="false">BR32+BR33+BR34</f>
        <v>0</v>
      </c>
      <c r="BS35" s="251" t="n">
        <f aca="false">BS32+BS33+BS34</f>
        <v>0</v>
      </c>
      <c r="BT35" s="251" t="n">
        <f aca="false">BT32+BT33+BT34</f>
        <v>0</v>
      </c>
      <c r="BU35" s="251" t="n">
        <f aca="false">BU32+BU33+BU34</f>
        <v>0</v>
      </c>
      <c r="BV35" s="251" t="n">
        <f aca="false">BV32+BV33+BV34</f>
        <v>0</v>
      </c>
      <c r="BW35" s="251" t="n">
        <f aca="false">BW32+BW33+BW34</f>
        <v>0</v>
      </c>
      <c r="BX35" s="251" t="n">
        <f aca="false">BX32+BX33+BX34</f>
        <v>0</v>
      </c>
      <c r="BY35" s="251" t="n">
        <f aca="false">BY32+BY33+BY34</f>
        <v>0</v>
      </c>
      <c r="BZ35" s="251" t="n">
        <f aca="false">BZ32+BZ33+BZ34</f>
        <v>0</v>
      </c>
      <c r="CA35" s="251" t="n">
        <f aca="false">CA32+CA33+CA34</f>
        <v>0</v>
      </c>
      <c r="CB35" s="251" t="n">
        <f aca="false">CB32+CB33+CB34</f>
        <v>0</v>
      </c>
      <c r="CC35" s="251" t="n">
        <f aca="false">CC32+CC33+CC34</f>
        <v>0</v>
      </c>
      <c r="CD35" s="251" t="n">
        <f aca="false">CD32+CD33+CD34</f>
        <v>0</v>
      </c>
      <c r="CE35" s="251" t="n">
        <f aca="false">CE32+CE33+CE34</f>
        <v>0</v>
      </c>
      <c r="CF35" s="251" t="n">
        <f aca="false">CF32+CF33+CF34</f>
        <v>0</v>
      </c>
      <c r="CG35" s="251" t="n">
        <f aca="false">CG32+CG33+CG34</f>
        <v>0</v>
      </c>
      <c r="CH35" s="251" t="n">
        <f aca="false">CH32+CH33+CH34</f>
        <v>6608.02660647922</v>
      </c>
    </row>
    <row r="36" customFormat="false" ht="15" hidden="false" customHeight="true" outlineLevel="0" collapsed="false">
      <c r="A36" s="2" t="s">
        <v>851</v>
      </c>
      <c r="B36" s="3"/>
      <c r="C36" s="252" t="n">
        <f aca="false">C35</f>
        <v>0</v>
      </c>
      <c r="D36" s="252" t="n">
        <f aca="false">C36+D35</f>
        <v>0</v>
      </c>
      <c r="E36" s="252" t="n">
        <f aca="false">D36+E35</f>
        <v>0</v>
      </c>
      <c r="F36" s="252" t="n">
        <f aca="false">E36+F35</f>
        <v>0</v>
      </c>
      <c r="G36" s="252" t="n">
        <f aca="false">F36+G35</f>
        <v>0</v>
      </c>
      <c r="H36" s="252" t="n">
        <f aca="false">G36+H35</f>
        <v>0</v>
      </c>
      <c r="I36" s="252" t="n">
        <f aca="false">H36+I35</f>
        <v>0</v>
      </c>
      <c r="J36" s="252" t="n">
        <f aca="false">I36+J35</f>
        <v>0</v>
      </c>
      <c r="K36" s="252" t="n">
        <f aca="false">J36+K35</f>
        <v>0</v>
      </c>
      <c r="L36" s="252" t="n">
        <f aca="false">K36+L35</f>
        <v>0</v>
      </c>
      <c r="M36" s="252" t="n">
        <f aca="false">L36+M35</f>
        <v>0</v>
      </c>
      <c r="N36" s="252" t="n">
        <f aca="false">M36+N35</f>
        <v>0</v>
      </c>
      <c r="O36" s="252" t="n">
        <f aca="false">N36+O35</f>
        <v>0</v>
      </c>
      <c r="P36" s="252" t="n">
        <f aca="false">O36+P35</f>
        <v>0</v>
      </c>
      <c r="Q36" s="252" t="n">
        <f aca="false">P36+Q35</f>
        <v>0</v>
      </c>
      <c r="R36" s="252" t="n">
        <f aca="false">Q36+R35</f>
        <v>0</v>
      </c>
      <c r="S36" s="252" t="n">
        <f aca="false">R36+S35</f>
        <v>0</v>
      </c>
      <c r="T36" s="252" t="n">
        <f aca="false">S36+T35</f>
        <v>0</v>
      </c>
      <c r="U36" s="252" t="n">
        <f aca="false">T36+U35</f>
        <v>0</v>
      </c>
      <c r="V36" s="252" t="n">
        <f aca="false">U36+V35</f>
        <v>0</v>
      </c>
      <c r="W36" s="252" t="n">
        <f aca="false">V36+W35</f>
        <v>0</v>
      </c>
      <c r="X36" s="252" t="n">
        <f aca="false">W36+X35</f>
        <v>0</v>
      </c>
      <c r="Y36" s="252" t="n">
        <f aca="false">X36+Y35</f>
        <v>0</v>
      </c>
      <c r="Z36" s="252" t="n">
        <f aca="false">Y36+Z35</f>
        <v>0</v>
      </c>
      <c r="AA36" s="252" t="n">
        <f aca="false">Z36+AA35</f>
        <v>0</v>
      </c>
      <c r="AB36" s="252" t="n">
        <f aca="false">AA36+AB35</f>
        <v>0</v>
      </c>
      <c r="AC36" s="252" t="n">
        <f aca="false">AB36+AC35</f>
        <v>0</v>
      </c>
      <c r="AD36" s="252" t="n">
        <f aca="false">AC36+AD35</f>
        <v>0</v>
      </c>
      <c r="AE36" s="252" t="n">
        <f aca="false">AD36+AE35</f>
        <v>0</v>
      </c>
      <c r="AF36" s="252" t="n">
        <f aca="false">AE36+AF35</f>
        <v>0</v>
      </c>
      <c r="AG36" s="252" t="n">
        <f aca="false">AF36+AG35</f>
        <v>0</v>
      </c>
      <c r="AH36" s="252" t="n">
        <f aca="false">AG36+AH35</f>
        <v>0</v>
      </c>
      <c r="AI36" s="252" t="n">
        <f aca="false">AH36+AI35</f>
        <v>0</v>
      </c>
      <c r="AJ36" s="252" t="n">
        <f aca="false">AI36+AJ35</f>
        <v>0</v>
      </c>
      <c r="AK36" s="252" t="n">
        <f aca="false">AJ36+AK35</f>
        <v>0</v>
      </c>
      <c r="AL36" s="252" t="n">
        <f aca="false">AK36+AL35</f>
        <v>0</v>
      </c>
      <c r="AM36" s="252" t="n">
        <f aca="false">AL36+AM35</f>
        <v>0</v>
      </c>
      <c r="AN36" s="252" t="n">
        <f aca="false">AM36+AN35</f>
        <v>0</v>
      </c>
      <c r="AO36" s="252" t="n">
        <f aca="false">AN36+AO35</f>
        <v>0</v>
      </c>
      <c r="AP36" s="252" t="n">
        <f aca="false">AO36+AP35</f>
        <v>0</v>
      </c>
      <c r="AQ36" s="252" t="n">
        <f aca="false">AP36+AQ35</f>
        <v>0</v>
      </c>
      <c r="AR36" s="252" t="n">
        <f aca="false">AQ36+AR35</f>
        <v>0</v>
      </c>
      <c r="AS36" s="252" t="n">
        <f aca="false">AR36+AS35</f>
        <v>0</v>
      </c>
      <c r="AT36" s="252" t="n">
        <f aca="false">AS36+AT35</f>
        <v>0</v>
      </c>
      <c r="AU36" s="252" t="n">
        <f aca="false">AT36+AU35</f>
        <v>0</v>
      </c>
      <c r="AV36" s="252" t="n">
        <f aca="false">AU36+AV35</f>
        <v>0</v>
      </c>
      <c r="AW36" s="252" t="n">
        <f aca="false">AV36+AW35</f>
        <v>0</v>
      </c>
      <c r="AX36" s="252" t="n">
        <f aca="false">AW36+AX35</f>
        <v>0</v>
      </c>
      <c r="AY36" s="252" t="n">
        <f aca="false">AX36+AY35</f>
        <v>0</v>
      </c>
      <c r="AZ36" s="252" t="n">
        <f aca="false">AY36+AZ35</f>
        <v>0</v>
      </c>
      <c r="BA36" s="252" t="n">
        <f aca="false">AZ36+BA35</f>
        <v>0</v>
      </c>
      <c r="BB36" s="252" t="n">
        <f aca="false">BA36+BB35</f>
        <v>0</v>
      </c>
      <c r="BC36" s="252" t="n">
        <f aca="false">BB36+BC35</f>
        <v>0</v>
      </c>
      <c r="BD36" s="252" t="n">
        <f aca="false">BC36+BD35</f>
        <v>0</v>
      </c>
      <c r="BE36" s="252" t="n">
        <f aca="false">BD36+BE35</f>
        <v>0</v>
      </c>
      <c r="BF36" s="252" t="n">
        <f aca="false">BE36+BF35</f>
        <v>0</v>
      </c>
      <c r="BG36" s="252" t="n">
        <f aca="false">BF36+BG35</f>
        <v>0</v>
      </c>
      <c r="BH36" s="252" t="n">
        <f aca="false">BG36+BH35</f>
        <v>0</v>
      </c>
      <c r="BI36" s="252" t="n">
        <f aca="false">BH36+BI35</f>
        <v>0</v>
      </c>
      <c r="BJ36" s="252" t="n">
        <f aca="false">BI36+BJ35</f>
        <v>0</v>
      </c>
      <c r="BK36" s="252" t="n">
        <f aca="false">BJ36+BK35</f>
        <v>0</v>
      </c>
      <c r="BL36" s="252" t="n">
        <f aca="false">BK36+BL35</f>
        <v>0</v>
      </c>
      <c r="BM36" s="252" t="n">
        <f aca="false">BL36+BM35</f>
        <v>0</v>
      </c>
      <c r="BN36" s="252" t="n">
        <f aca="false">BM36+BN35</f>
        <v>0</v>
      </c>
      <c r="BO36" s="252" t="n">
        <f aca="false">BN36+BO35</f>
        <v>0</v>
      </c>
      <c r="BP36" s="252" t="n">
        <f aca="false">BO36+BP35</f>
        <v>0</v>
      </c>
      <c r="BQ36" s="252" t="n">
        <f aca="false">BP36+BQ35</f>
        <v>0</v>
      </c>
      <c r="BR36" s="252" t="n">
        <f aca="false">BQ36+BR35</f>
        <v>0</v>
      </c>
      <c r="BS36" s="252" t="n">
        <f aca="false">BR36+BS35</f>
        <v>0</v>
      </c>
      <c r="BT36" s="252" t="n">
        <f aca="false">BS36+BT35</f>
        <v>0</v>
      </c>
      <c r="BU36" s="252" t="n">
        <f aca="false">BT36+BU35</f>
        <v>0</v>
      </c>
      <c r="BV36" s="252" t="n">
        <f aca="false">BU36+BV35</f>
        <v>0</v>
      </c>
      <c r="BW36" s="252" t="n">
        <f aca="false">BV36+BW35</f>
        <v>0</v>
      </c>
      <c r="BX36" s="252" t="n">
        <f aca="false">BW36+BX35</f>
        <v>0</v>
      </c>
      <c r="BY36" s="252" t="n">
        <f aca="false">BX36+BY35</f>
        <v>0</v>
      </c>
      <c r="BZ36" s="252" t="n">
        <f aca="false">BY36+BZ35</f>
        <v>0</v>
      </c>
      <c r="CA36" s="252" t="n">
        <f aca="false">BZ36+CA35</f>
        <v>0</v>
      </c>
      <c r="CB36" s="252" t="n">
        <f aca="false">CA36+CB35</f>
        <v>0</v>
      </c>
      <c r="CC36" s="252" t="n">
        <f aca="false">CB36+CC35</f>
        <v>0</v>
      </c>
      <c r="CD36" s="252" t="n">
        <f aca="false">CC36+CD35</f>
        <v>0</v>
      </c>
      <c r="CE36" s="252" t="n">
        <f aca="false">CD36+CE35</f>
        <v>0</v>
      </c>
      <c r="CF36" s="252" t="n">
        <f aca="false">CE36+CF35</f>
        <v>0</v>
      </c>
      <c r="CG36" s="252" t="n">
        <f aca="false">CF36+CG35</f>
        <v>0</v>
      </c>
      <c r="CH36" s="252"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849</v>
      </c>
      <c r="B39" s="3"/>
      <c r="C39" s="249" t="n">
        <v>0</v>
      </c>
      <c r="D39" s="249" t="n">
        <v>0</v>
      </c>
      <c r="E39" s="249" t="n">
        <v>0</v>
      </c>
      <c r="F39" s="249" t="n">
        <v>0</v>
      </c>
      <c r="G39" s="249" t="n">
        <v>0</v>
      </c>
      <c r="H39" s="249" t="n">
        <v>0</v>
      </c>
      <c r="I39" s="249" t="n">
        <v>0</v>
      </c>
      <c r="J39" s="249" t="n">
        <v>0</v>
      </c>
      <c r="K39" s="249" t="n">
        <v>0</v>
      </c>
      <c r="L39" s="249" t="n">
        <v>0</v>
      </c>
      <c r="M39" s="249" t="n">
        <v>0</v>
      </c>
      <c r="N39" s="249" t="n">
        <v>0</v>
      </c>
      <c r="O39" s="249" t="n">
        <v>0</v>
      </c>
      <c r="P39" s="249" t="n">
        <v>0</v>
      </c>
      <c r="Q39" s="249" t="n">
        <v>0</v>
      </c>
      <c r="R39" s="249" t="n">
        <v>0</v>
      </c>
      <c r="S39" s="249" t="n">
        <v>0</v>
      </c>
      <c r="T39" s="249" t="n">
        <v>0</v>
      </c>
      <c r="U39" s="249" t="n">
        <v>0</v>
      </c>
      <c r="V39" s="249" t="n">
        <v>0</v>
      </c>
      <c r="W39" s="249" t="n">
        <v>0</v>
      </c>
      <c r="X39" s="249" t="n">
        <v>0</v>
      </c>
      <c r="Y39" s="249" t="n">
        <v>0</v>
      </c>
      <c r="Z39" s="249" t="n">
        <v>0</v>
      </c>
      <c r="AA39" s="249" t="n">
        <v>0</v>
      </c>
      <c r="AB39" s="249" t="n">
        <v>0</v>
      </c>
      <c r="AC39" s="249" t="n">
        <v>0</v>
      </c>
      <c r="AD39" s="249" t="n">
        <v>0</v>
      </c>
      <c r="AE39" s="249" t="n">
        <v>0</v>
      </c>
      <c r="AF39" s="249" t="n">
        <v>0</v>
      </c>
      <c r="AG39" s="249" t="n">
        <v>0</v>
      </c>
      <c r="AH39" s="249" t="n">
        <v>0</v>
      </c>
      <c r="AI39" s="249" t="n">
        <v>0</v>
      </c>
      <c r="AJ39" s="249" t="n">
        <v>0</v>
      </c>
      <c r="AK39" s="249" t="n">
        <v>0</v>
      </c>
      <c r="AL39" s="249" t="n">
        <v>0</v>
      </c>
      <c r="AM39" s="249" t="n">
        <v>0</v>
      </c>
      <c r="AN39" s="249" t="n">
        <v>0</v>
      </c>
      <c r="AO39" s="249" t="n">
        <v>0</v>
      </c>
      <c r="AP39" s="249" t="n">
        <v>0</v>
      </c>
      <c r="AQ39" s="249" t="n">
        <v>0</v>
      </c>
      <c r="AR39" s="249" t="n">
        <v>0</v>
      </c>
      <c r="AS39" s="249" t="n">
        <v>0</v>
      </c>
      <c r="AT39" s="249" t="n">
        <v>0</v>
      </c>
      <c r="AU39" s="249" t="n">
        <v>0</v>
      </c>
      <c r="AV39" s="249" t="n">
        <v>0</v>
      </c>
      <c r="AW39" s="249" t="n">
        <v>0</v>
      </c>
      <c r="AX39" s="249" t="n">
        <v>0</v>
      </c>
      <c r="AY39" s="249" t="n">
        <v>0</v>
      </c>
      <c r="AZ39" s="249" t="n">
        <v>0</v>
      </c>
      <c r="BA39" s="249" t="n">
        <v>0</v>
      </c>
      <c r="BB39" s="249" t="n">
        <v>0</v>
      </c>
      <c r="BC39" s="249" t="n">
        <v>0</v>
      </c>
      <c r="BD39" s="249" t="n">
        <v>0</v>
      </c>
      <c r="BE39" s="249" t="n">
        <v>0</v>
      </c>
      <c r="BF39" s="249" t="n">
        <v>0</v>
      </c>
      <c r="BG39" s="249" t="n">
        <v>0</v>
      </c>
      <c r="BH39" s="249" t="n">
        <v>0</v>
      </c>
      <c r="BI39" s="249" t="n">
        <v>0</v>
      </c>
      <c r="BJ39" s="249" t="n">
        <v>0</v>
      </c>
      <c r="BK39" s="249" t="n">
        <v>0</v>
      </c>
      <c r="BL39" s="249" t="n">
        <v>0</v>
      </c>
      <c r="BM39" s="249" t="n">
        <v>0</v>
      </c>
      <c r="BN39" s="249" t="n">
        <v>0</v>
      </c>
      <c r="BO39" s="249" t="n">
        <v>0</v>
      </c>
      <c r="BP39" s="249" t="n">
        <v>0</v>
      </c>
      <c r="BQ39" s="249" t="n">
        <v>0</v>
      </c>
      <c r="BR39" s="249" t="n">
        <v>0</v>
      </c>
      <c r="BS39" s="249" t="n">
        <v>0</v>
      </c>
      <c r="BT39" s="249" t="n">
        <v>0</v>
      </c>
      <c r="BU39" s="249" t="n">
        <v>0</v>
      </c>
      <c r="BV39" s="249" t="n">
        <v>0</v>
      </c>
      <c r="BW39" s="249" t="n">
        <v>0</v>
      </c>
      <c r="BX39" s="249" t="n">
        <v>0</v>
      </c>
      <c r="BY39" s="249" t="n">
        <v>0</v>
      </c>
      <c r="BZ39" s="249" t="n">
        <v>0</v>
      </c>
      <c r="CA39" s="249" t="n">
        <v>0</v>
      </c>
      <c r="CB39" s="249" t="n">
        <v>0</v>
      </c>
      <c r="CC39" s="249" t="n">
        <v>0</v>
      </c>
      <c r="CD39" s="249" t="n">
        <v>0</v>
      </c>
      <c r="CE39" s="249" t="n">
        <v>0</v>
      </c>
      <c r="CF39" s="249" t="n">
        <v>0</v>
      </c>
      <c r="CG39" s="249" t="n">
        <v>0</v>
      </c>
      <c r="CH39" s="249" t="n">
        <v>0</v>
      </c>
    </row>
    <row r="40" customFormat="false" ht="15" hidden="false" customHeight="true" outlineLevel="0" collapsed="false">
      <c r="A40" s="253" t="s">
        <v>852</v>
      </c>
      <c r="B40" s="3"/>
      <c r="C40" s="254" t="n">
        <f aca="false">Model!E291</f>
        <v>-0</v>
      </c>
      <c r="D40" s="254" t="n">
        <f aca="false">Model!F291</f>
        <v>-0</v>
      </c>
      <c r="E40" s="254" t="n">
        <f aca="false">Model!G291</f>
        <v>-0</v>
      </c>
      <c r="F40" s="254" t="n">
        <f aca="false">Model!H291</f>
        <v>-0</v>
      </c>
      <c r="G40" s="254" t="n">
        <f aca="false">Model!I291</f>
        <v>-0</v>
      </c>
      <c r="H40" s="254" t="n">
        <f aca="false">Model!J291</f>
        <v>-0</v>
      </c>
      <c r="I40" s="254" t="n">
        <f aca="false">Model!K291</f>
        <v>-0</v>
      </c>
      <c r="J40" s="254" t="n">
        <f aca="false">Model!L291</f>
        <v>-0</v>
      </c>
      <c r="K40" s="254" t="n">
        <f aca="false">Model!M291</f>
        <v>-0</v>
      </c>
      <c r="L40" s="254" t="n">
        <f aca="false">Model!N291</f>
        <v>-0</v>
      </c>
      <c r="M40" s="254" t="n">
        <f aca="false">Model!O291</f>
        <v>-0</v>
      </c>
      <c r="N40" s="254" t="n">
        <f aca="false">Model!P291</f>
        <v>-0</v>
      </c>
      <c r="O40" s="254" t="n">
        <f aca="false">Model!Q291</f>
        <v>-0</v>
      </c>
      <c r="P40" s="254" t="n">
        <f aca="false">Model!R291</f>
        <v>-0</v>
      </c>
      <c r="Q40" s="254" t="n">
        <f aca="false">Model!S291</f>
        <v>-0</v>
      </c>
      <c r="R40" s="254" t="n">
        <f aca="false">Model!T291</f>
        <v>-0</v>
      </c>
      <c r="S40" s="254" t="n">
        <f aca="false">Model!U291</f>
        <v>-0</v>
      </c>
      <c r="T40" s="254" t="n">
        <f aca="false">Model!V291</f>
        <v>-0</v>
      </c>
      <c r="U40" s="254" t="n">
        <f aca="false">Model!W291</f>
        <v>-0</v>
      </c>
      <c r="V40" s="254" t="n">
        <f aca="false">Model!X291</f>
        <v>-0</v>
      </c>
      <c r="W40" s="254" t="n">
        <f aca="false">Model!Y291</f>
        <v>-0</v>
      </c>
      <c r="X40" s="254" t="n">
        <f aca="false">Model!Z291</f>
        <v>-0</v>
      </c>
      <c r="Y40" s="254" t="n">
        <f aca="false">Model!AA291</f>
        <v>-0</v>
      </c>
      <c r="Z40" s="254" t="n">
        <f aca="false">Model!AB291</f>
        <v>-0</v>
      </c>
      <c r="AA40" s="254" t="n">
        <f aca="false">Model!AC291</f>
        <v>-0</v>
      </c>
      <c r="AB40" s="254" t="n">
        <f aca="false">Model!AD291</f>
        <v>-0</v>
      </c>
      <c r="AC40" s="254" t="n">
        <f aca="false">Model!AE291</f>
        <v>-0</v>
      </c>
      <c r="AD40" s="254" t="n">
        <f aca="false">Model!AF291</f>
        <v>-0</v>
      </c>
      <c r="AE40" s="254" t="n">
        <f aca="false">Model!AG291</f>
        <v>-0</v>
      </c>
      <c r="AF40" s="254" t="n">
        <f aca="false">Model!AH291</f>
        <v>-0</v>
      </c>
      <c r="AG40" s="254" t="n">
        <f aca="false">Model!AI291</f>
        <v>-0</v>
      </c>
      <c r="AH40" s="254" t="n">
        <f aca="false">Model!AJ291</f>
        <v>-0</v>
      </c>
      <c r="AI40" s="254" t="n">
        <f aca="false">Model!AK291</f>
        <v>-0</v>
      </c>
      <c r="AJ40" s="254" t="n">
        <f aca="false">Model!AL291</f>
        <v>-0</v>
      </c>
      <c r="AK40" s="254" t="n">
        <f aca="false">Model!AM291</f>
        <v>-0</v>
      </c>
      <c r="AL40" s="254" t="n">
        <f aca="false">Model!AN291</f>
        <v>-0</v>
      </c>
      <c r="AM40" s="254" t="n">
        <f aca="false">Model!AO291</f>
        <v>-0</v>
      </c>
      <c r="AN40" s="254" t="n">
        <f aca="false">Model!AP291</f>
        <v>-0</v>
      </c>
      <c r="AO40" s="254" t="n">
        <f aca="false">Model!AQ291</f>
        <v>-0</v>
      </c>
      <c r="AP40" s="254" t="n">
        <f aca="false">Model!AR291</f>
        <v>-0</v>
      </c>
      <c r="AQ40" s="254" t="n">
        <f aca="false">Model!AS291</f>
        <v>-0</v>
      </c>
      <c r="AR40" s="254" t="n">
        <f aca="false">Model!AT291</f>
        <v>-0</v>
      </c>
      <c r="AS40" s="254" t="n">
        <f aca="false">Model!AU291</f>
        <v>-0</v>
      </c>
      <c r="AT40" s="254" t="n">
        <f aca="false">Model!AV291</f>
        <v>-0</v>
      </c>
      <c r="AU40" s="254" t="n">
        <f aca="false">Model!AW291</f>
        <v>-0</v>
      </c>
      <c r="AV40" s="254" t="n">
        <f aca="false">Model!AX291</f>
        <v>-0</v>
      </c>
      <c r="AW40" s="254" t="n">
        <f aca="false">Model!AY291</f>
        <v>-0</v>
      </c>
      <c r="AX40" s="254" t="n">
        <f aca="false">Model!AZ291</f>
        <v>-0</v>
      </c>
      <c r="AY40" s="254" t="n">
        <f aca="false">Model!BA291</f>
        <v>-0</v>
      </c>
      <c r="AZ40" s="254" t="n">
        <f aca="false">Model!BB291</f>
        <v>-0</v>
      </c>
      <c r="BA40" s="254" t="n">
        <f aca="false">Model!BC291</f>
        <v>-0</v>
      </c>
      <c r="BB40" s="254" t="n">
        <f aca="false">Model!BD291</f>
        <v>-0</v>
      </c>
      <c r="BC40" s="254" t="n">
        <f aca="false">Model!BE291</f>
        <v>-0</v>
      </c>
      <c r="BD40" s="254" t="n">
        <f aca="false">Model!BF291</f>
        <v>-0</v>
      </c>
      <c r="BE40" s="254" t="n">
        <f aca="false">Model!BG291</f>
        <v>-0</v>
      </c>
      <c r="BF40" s="254" t="n">
        <f aca="false">Model!BH291</f>
        <v>-0</v>
      </c>
      <c r="BG40" s="254" t="n">
        <f aca="false">Model!BI291</f>
        <v>-0</v>
      </c>
      <c r="BH40" s="254" t="n">
        <f aca="false">Model!BJ291</f>
        <v>-0</v>
      </c>
      <c r="BI40" s="254" t="n">
        <f aca="false">Model!BK291</f>
        <v>-0</v>
      </c>
      <c r="BJ40" s="254" t="n">
        <f aca="false">Model!BL291</f>
        <v>-0</v>
      </c>
      <c r="BK40" s="254" t="n">
        <f aca="false">Model!BM291</f>
        <v>-0</v>
      </c>
      <c r="BL40" s="254" t="n">
        <f aca="false">Model!BN291</f>
        <v>-0</v>
      </c>
      <c r="BM40" s="254" t="n">
        <f aca="false">Model!BO291</f>
        <v>-0</v>
      </c>
      <c r="BN40" s="254" t="n">
        <f aca="false">Model!BP291</f>
        <v>-0</v>
      </c>
      <c r="BO40" s="254" t="n">
        <f aca="false">Model!BQ291</f>
        <v>-0</v>
      </c>
      <c r="BP40" s="254" t="n">
        <f aca="false">Model!BR291</f>
        <v>-0</v>
      </c>
      <c r="BQ40" s="254" t="n">
        <f aca="false">Model!BS291</f>
        <v>-0</v>
      </c>
      <c r="BR40" s="254" t="n">
        <f aca="false">Model!BT291</f>
        <v>-0</v>
      </c>
      <c r="BS40" s="254" t="n">
        <f aca="false">Model!BU291</f>
        <v>-0</v>
      </c>
      <c r="BT40" s="254" t="n">
        <f aca="false">Model!BV291</f>
        <v>-0</v>
      </c>
      <c r="BU40" s="254" t="n">
        <f aca="false">Model!BW291</f>
        <v>-0</v>
      </c>
      <c r="BV40" s="254" t="n">
        <f aca="false">Model!BX291</f>
        <v>-0</v>
      </c>
      <c r="BW40" s="254" t="n">
        <f aca="false">Model!BY291</f>
        <v>-0</v>
      </c>
      <c r="BX40" s="254" t="n">
        <f aca="false">Model!BZ291</f>
        <v>-0</v>
      </c>
      <c r="BY40" s="254" t="n">
        <f aca="false">Model!CA291</f>
        <v>-73156</v>
      </c>
      <c r="BZ40" s="254" t="n">
        <f aca="false">Model!CB291</f>
        <v>-0</v>
      </c>
      <c r="CA40" s="254" t="n">
        <f aca="false">Model!CC291</f>
        <v>-0</v>
      </c>
      <c r="CB40" s="254" t="n">
        <f aca="false">Model!CD291</f>
        <v>-73155</v>
      </c>
      <c r="CC40" s="254" t="n">
        <f aca="false">Model!CE291</f>
        <v>-0</v>
      </c>
      <c r="CD40" s="254" t="n">
        <f aca="false">Model!CF291</f>
        <v>-0</v>
      </c>
      <c r="CE40" s="254" t="n">
        <f aca="false">Model!CG291</f>
        <v>-73155</v>
      </c>
      <c r="CF40" s="254" t="n">
        <f aca="false">Model!CH291</f>
        <v>-0</v>
      </c>
      <c r="CG40" s="254" t="n">
        <f aca="false">Model!CI291</f>
        <v>-0</v>
      </c>
      <c r="CH40" s="254" t="n">
        <f aca="false">Model!CJ291</f>
        <v>-73155</v>
      </c>
    </row>
    <row r="41" customFormat="false" ht="15" hidden="false" customHeight="true" outlineLevel="0" collapsed="false">
      <c r="A41" s="250" t="s">
        <v>850</v>
      </c>
      <c r="B41" s="250"/>
      <c r="C41" s="251" t="n">
        <f aca="false">C39+C40</f>
        <v>0</v>
      </c>
      <c r="D41" s="251" t="n">
        <f aca="false">D39+D40</f>
        <v>0</v>
      </c>
      <c r="E41" s="251" t="n">
        <f aca="false">E39+E40</f>
        <v>0</v>
      </c>
      <c r="F41" s="251" t="n">
        <f aca="false">F39+F40</f>
        <v>0</v>
      </c>
      <c r="G41" s="251" t="n">
        <f aca="false">G39+G40</f>
        <v>0</v>
      </c>
      <c r="H41" s="251" t="n">
        <f aca="false">H39+H40</f>
        <v>0</v>
      </c>
      <c r="I41" s="251" t="n">
        <f aca="false">I39+I40</f>
        <v>0</v>
      </c>
      <c r="J41" s="251" t="n">
        <f aca="false">J39+J40</f>
        <v>0</v>
      </c>
      <c r="K41" s="251" t="n">
        <f aca="false">K39+K40</f>
        <v>0</v>
      </c>
      <c r="L41" s="251" t="n">
        <f aca="false">L39+L40</f>
        <v>0</v>
      </c>
      <c r="M41" s="251" t="n">
        <f aca="false">M39+M40</f>
        <v>0</v>
      </c>
      <c r="N41" s="251" t="n">
        <f aca="false">N39+N40</f>
        <v>0</v>
      </c>
      <c r="O41" s="251" t="n">
        <f aca="false">O39+O40</f>
        <v>0</v>
      </c>
      <c r="P41" s="251" t="n">
        <f aca="false">P39+P40</f>
        <v>0</v>
      </c>
      <c r="Q41" s="251" t="n">
        <f aca="false">Q39+Q40</f>
        <v>0</v>
      </c>
      <c r="R41" s="251" t="n">
        <f aca="false">R39+R40</f>
        <v>0</v>
      </c>
      <c r="S41" s="251" t="n">
        <f aca="false">S39+S40</f>
        <v>0</v>
      </c>
      <c r="T41" s="251" t="n">
        <f aca="false">T39+T40</f>
        <v>0</v>
      </c>
      <c r="U41" s="251" t="n">
        <f aca="false">U39+U40</f>
        <v>0</v>
      </c>
      <c r="V41" s="251" t="n">
        <f aca="false">V39+V40</f>
        <v>0</v>
      </c>
      <c r="W41" s="251" t="n">
        <f aca="false">W39+W40</f>
        <v>0</v>
      </c>
      <c r="X41" s="251" t="n">
        <f aca="false">X39+X40</f>
        <v>0</v>
      </c>
      <c r="Y41" s="251" t="n">
        <f aca="false">Y39+Y40</f>
        <v>0</v>
      </c>
      <c r="Z41" s="251" t="n">
        <f aca="false">Z39+Z40</f>
        <v>0</v>
      </c>
      <c r="AA41" s="251" t="n">
        <f aca="false">AA39+AA40</f>
        <v>0</v>
      </c>
      <c r="AB41" s="251" t="n">
        <f aca="false">AB39+AB40</f>
        <v>0</v>
      </c>
      <c r="AC41" s="251" t="n">
        <f aca="false">AC39+AC40</f>
        <v>0</v>
      </c>
      <c r="AD41" s="251" t="n">
        <f aca="false">AD39+AD40</f>
        <v>0</v>
      </c>
      <c r="AE41" s="251" t="n">
        <f aca="false">AE39+AE40</f>
        <v>0</v>
      </c>
      <c r="AF41" s="251" t="n">
        <f aca="false">AF39+AF40</f>
        <v>0</v>
      </c>
      <c r="AG41" s="251" t="n">
        <f aca="false">AG39+AG40</f>
        <v>0</v>
      </c>
      <c r="AH41" s="251" t="n">
        <f aca="false">AH39+AH40</f>
        <v>0</v>
      </c>
      <c r="AI41" s="251" t="n">
        <f aca="false">AI39+AI40</f>
        <v>0</v>
      </c>
      <c r="AJ41" s="251" t="n">
        <f aca="false">AJ39+AJ40</f>
        <v>0</v>
      </c>
      <c r="AK41" s="251" t="n">
        <f aca="false">AK39+AK40</f>
        <v>0</v>
      </c>
      <c r="AL41" s="251" t="n">
        <f aca="false">AL39+AL40</f>
        <v>0</v>
      </c>
      <c r="AM41" s="251" t="n">
        <f aca="false">AM39+AM40</f>
        <v>0</v>
      </c>
      <c r="AN41" s="251" t="n">
        <f aca="false">AN39+AN40</f>
        <v>0</v>
      </c>
      <c r="AO41" s="251" t="n">
        <f aca="false">AO39+AO40</f>
        <v>0</v>
      </c>
      <c r="AP41" s="251" t="n">
        <f aca="false">AP39+AP40</f>
        <v>0</v>
      </c>
      <c r="AQ41" s="251" t="n">
        <f aca="false">AQ39+AQ40</f>
        <v>0</v>
      </c>
      <c r="AR41" s="251" t="n">
        <f aca="false">AR39+AR40</f>
        <v>0</v>
      </c>
      <c r="AS41" s="251" t="n">
        <f aca="false">AS39+AS40</f>
        <v>0</v>
      </c>
      <c r="AT41" s="251" t="n">
        <f aca="false">AT39+AT40</f>
        <v>0</v>
      </c>
      <c r="AU41" s="251" t="n">
        <f aca="false">AU39+AU40</f>
        <v>0</v>
      </c>
      <c r="AV41" s="251" t="n">
        <f aca="false">AV39+AV40</f>
        <v>0</v>
      </c>
      <c r="AW41" s="251" t="n">
        <f aca="false">AW39+AW40</f>
        <v>0</v>
      </c>
      <c r="AX41" s="251" t="n">
        <f aca="false">AX39+AX40</f>
        <v>0</v>
      </c>
      <c r="AY41" s="251" t="n">
        <f aca="false">AY39+AY40</f>
        <v>0</v>
      </c>
      <c r="AZ41" s="251" t="n">
        <f aca="false">AZ39+AZ40</f>
        <v>0</v>
      </c>
      <c r="BA41" s="251" t="n">
        <f aca="false">BA39+BA40</f>
        <v>0</v>
      </c>
      <c r="BB41" s="251" t="n">
        <f aca="false">BB39+BB40</f>
        <v>0</v>
      </c>
      <c r="BC41" s="251" t="n">
        <f aca="false">BC39+BC40</f>
        <v>0</v>
      </c>
      <c r="BD41" s="251" t="n">
        <f aca="false">BD39+BD40</f>
        <v>0</v>
      </c>
      <c r="BE41" s="251" t="n">
        <f aca="false">BE39+BE40</f>
        <v>0</v>
      </c>
      <c r="BF41" s="251" t="n">
        <f aca="false">BF39+BF40</f>
        <v>0</v>
      </c>
      <c r="BG41" s="251" t="n">
        <f aca="false">BG39+BG40</f>
        <v>0</v>
      </c>
      <c r="BH41" s="251" t="n">
        <f aca="false">BH39+BH40</f>
        <v>0</v>
      </c>
      <c r="BI41" s="251" t="n">
        <f aca="false">BI39+BI40</f>
        <v>0</v>
      </c>
      <c r="BJ41" s="251" t="n">
        <f aca="false">BJ39+BJ40</f>
        <v>0</v>
      </c>
      <c r="BK41" s="251" t="n">
        <f aca="false">BK39+BK40</f>
        <v>0</v>
      </c>
      <c r="BL41" s="251" t="n">
        <f aca="false">BL39+BL40</f>
        <v>0</v>
      </c>
      <c r="BM41" s="251" t="n">
        <f aca="false">BM39+BM40</f>
        <v>0</v>
      </c>
      <c r="BN41" s="251" t="n">
        <f aca="false">BN39+BN40</f>
        <v>0</v>
      </c>
      <c r="BO41" s="251" t="n">
        <f aca="false">BO39+BO40</f>
        <v>0</v>
      </c>
      <c r="BP41" s="251" t="n">
        <f aca="false">BP39+BP40</f>
        <v>0</v>
      </c>
      <c r="BQ41" s="251" t="n">
        <f aca="false">BQ39+BQ40</f>
        <v>0</v>
      </c>
      <c r="BR41" s="251" t="n">
        <f aca="false">BR39+BR40</f>
        <v>0</v>
      </c>
      <c r="BS41" s="251" t="n">
        <f aca="false">BS39+BS40</f>
        <v>0</v>
      </c>
      <c r="BT41" s="251" t="n">
        <f aca="false">BT39+BT40</f>
        <v>0</v>
      </c>
      <c r="BU41" s="251" t="n">
        <f aca="false">BU39+BU40</f>
        <v>0</v>
      </c>
      <c r="BV41" s="251" t="n">
        <f aca="false">BV39+BV40</f>
        <v>0</v>
      </c>
      <c r="BW41" s="251" t="n">
        <f aca="false">BW39+BW40</f>
        <v>0</v>
      </c>
      <c r="BX41" s="251" t="n">
        <f aca="false">BX39+BX40</f>
        <v>0</v>
      </c>
      <c r="BY41" s="251" t="n">
        <f aca="false">BY39+BY40</f>
        <v>-73156</v>
      </c>
      <c r="BZ41" s="251" t="n">
        <f aca="false">BZ39+BZ40</f>
        <v>0</v>
      </c>
      <c r="CA41" s="251" t="n">
        <f aca="false">CA39+CA40</f>
        <v>0</v>
      </c>
      <c r="CB41" s="251" t="n">
        <f aca="false">CB39+CB40</f>
        <v>-73155</v>
      </c>
      <c r="CC41" s="251" t="n">
        <f aca="false">CC39+CC40</f>
        <v>0</v>
      </c>
      <c r="CD41" s="251" t="n">
        <f aca="false">CD39+CD40</f>
        <v>0</v>
      </c>
      <c r="CE41" s="251" t="n">
        <f aca="false">CE39+CE40</f>
        <v>-73155</v>
      </c>
      <c r="CF41" s="251" t="n">
        <f aca="false">CF39+CF40</f>
        <v>0</v>
      </c>
      <c r="CG41" s="251" t="n">
        <f aca="false">CG39+CG40</f>
        <v>0</v>
      </c>
      <c r="CH41" s="251" t="n">
        <f aca="false">CH39+CH40</f>
        <v>-73155</v>
      </c>
    </row>
    <row r="42" customFormat="false" ht="15" hidden="false" customHeight="true" outlineLevel="0" collapsed="false">
      <c r="A42" s="2" t="s">
        <v>851</v>
      </c>
      <c r="B42" s="3"/>
      <c r="C42" s="252" t="n">
        <f aca="false">C41</f>
        <v>0</v>
      </c>
      <c r="D42" s="252" t="n">
        <f aca="false">C42+D41</f>
        <v>0</v>
      </c>
      <c r="E42" s="252" t="n">
        <f aca="false">D42+E41</f>
        <v>0</v>
      </c>
      <c r="F42" s="252" t="n">
        <f aca="false">E42+F41</f>
        <v>0</v>
      </c>
      <c r="G42" s="252" t="n">
        <f aca="false">F42+G41</f>
        <v>0</v>
      </c>
      <c r="H42" s="252" t="n">
        <f aca="false">G42+H41</f>
        <v>0</v>
      </c>
      <c r="I42" s="252" t="n">
        <f aca="false">H42+I41</f>
        <v>0</v>
      </c>
      <c r="J42" s="252" t="n">
        <f aca="false">I42+J41</f>
        <v>0</v>
      </c>
      <c r="K42" s="252" t="n">
        <f aca="false">J42+K41</f>
        <v>0</v>
      </c>
      <c r="L42" s="252" t="n">
        <f aca="false">K42+L41</f>
        <v>0</v>
      </c>
      <c r="M42" s="252" t="n">
        <f aca="false">L42+M41</f>
        <v>0</v>
      </c>
      <c r="N42" s="252" t="n">
        <f aca="false">M42+N41</f>
        <v>0</v>
      </c>
      <c r="O42" s="252" t="n">
        <f aca="false">N42+O41</f>
        <v>0</v>
      </c>
      <c r="P42" s="252" t="n">
        <f aca="false">O42+P41</f>
        <v>0</v>
      </c>
      <c r="Q42" s="252" t="n">
        <f aca="false">P42+Q41</f>
        <v>0</v>
      </c>
      <c r="R42" s="252" t="n">
        <f aca="false">Q42+R41</f>
        <v>0</v>
      </c>
      <c r="S42" s="252" t="n">
        <f aca="false">R42+S41</f>
        <v>0</v>
      </c>
      <c r="T42" s="252" t="n">
        <f aca="false">S42+T41</f>
        <v>0</v>
      </c>
      <c r="U42" s="252" t="n">
        <f aca="false">T42+U41</f>
        <v>0</v>
      </c>
      <c r="V42" s="252" t="n">
        <f aca="false">U42+V41</f>
        <v>0</v>
      </c>
      <c r="W42" s="252" t="n">
        <f aca="false">V42+W41</f>
        <v>0</v>
      </c>
      <c r="X42" s="252" t="n">
        <f aca="false">W42+X41</f>
        <v>0</v>
      </c>
      <c r="Y42" s="252" t="n">
        <f aca="false">X42+Y41</f>
        <v>0</v>
      </c>
      <c r="Z42" s="252" t="n">
        <f aca="false">Y42+Z41</f>
        <v>0</v>
      </c>
      <c r="AA42" s="252" t="n">
        <f aca="false">Z42+AA41</f>
        <v>0</v>
      </c>
      <c r="AB42" s="252" t="n">
        <f aca="false">AA42+AB41</f>
        <v>0</v>
      </c>
      <c r="AC42" s="252" t="n">
        <f aca="false">AB42+AC41</f>
        <v>0</v>
      </c>
      <c r="AD42" s="252" t="n">
        <f aca="false">AC42+AD41</f>
        <v>0</v>
      </c>
      <c r="AE42" s="252" t="n">
        <f aca="false">AD42+AE41</f>
        <v>0</v>
      </c>
      <c r="AF42" s="252" t="n">
        <f aca="false">AE42+AF41</f>
        <v>0</v>
      </c>
      <c r="AG42" s="252" t="n">
        <f aca="false">AF42+AG41</f>
        <v>0</v>
      </c>
      <c r="AH42" s="252" t="n">
        <f aca="false">AG42+AH41</f>
        <v>0</v>
      </c>
      <c r="AI42" s="252" t="n">
        <f aca="false">AH42+AI41</f>
        <v>0</v>
      </c>
      <c r="AJ42" s="252" t="n">
        <f aca="false">AI42+AJ41</f>
        <v>0</v>
      </c>
      <c r="AK42" s="252" t="n">
        <f aca="false">AJ42+AK41</f>
        <v>0</v>
      </c>
      <c r="AL42" s="252" t="n">
        <f aca="false">AK42+AL41</f>
        <v>0</v>
      </c>
      <c r="AM42" s="252" t="n">
        <f aca="false">AL42+AM41</f>
        <v>0</v>
      </c>
      <c r="AN42" s="252" t="n">
        <f aca="false">AM42+AN41</f>
        <v>0</v>
      </c>
      <c r="AO42" s="252" t="n">
        <f aca="false">AN42+AO41</f>
        <v>0</v>
      </c>
      <c r="AP42" s="252" t="n">
        <f aca="false">AO42+AP41</f>
        <v>0</v>
      </c>
      <c r="AQ42" s="252" t="n">
        <f aca="false">AP42+AQ41</f>
        <v>0</v>
      </c>
      <c r="AR42" s="252" t="n">
        <f aca="false">AQ42+AR41</f>
        <v>0</v>
      </c>
      <c r="AS42" s="252" t="n">
        <f aca="false">AR42+AS41</f>
        <v>0</v>
      </c>
      <c r="AT42" s="252" t="n">
        <f aca="false">AS42+AT41</f>
        <v>0</v>
      </c>
      <c r="AU42" s="252" t="n">
        <f aca="false">AT42+AU41</f>
        <v>0</v>
      </c>
      <c r="AV42" s="252" t="n">
        <f aca="false">AU42+AV41</f>
        <v>0</v>
      </c>
      <c r="AW42" s="252" t="n">
        <f aca="false">AV42+AW41</f>
        <v>0</v>
      </c>
      <c r="AX42" s="252" t="n">
        <f aca="false">AW42+AX41</f>
        <v>0</v>
      </c>
      <c r="AY42" s="252" t="n">
        <f aca="false">AX42+AY41</f>
        <v>0</v>
      </c>
      <c r="AZ42" s="252" t="n">
        <f aca="false">AY42+AZ41</f>
        <v>0</v>
      </c>
      <c r="BA42" s="252" t="n">
        <f aca="false">AZ42+BA41</f>
        <v>0</v>
      </c>
      <c r="BB42" s="252" t="n">
        <f aca="false">BA42+BB41</f>
        <v>0</v>
      </c>
      <c r="BC42" s="252" t="n">
        <f aca="false">BB42+BC41</f>
        <v>0</v>
      </c>
      <c r="BD42" s="252" t="n">
        <f aca="false">BC42+BD41</f>
        <v>0</v>
      </c>
      <c r="BE42" s="252" t="n">
        <f aca="false">BD42+BE41</f>
        <v>0</v>
      </c>
      <c r="BF42" s="252" t="n">
        <f aca="false">BE42+BF41</f>
        <v>0</v>
      </c>
      <c r="BG42" s="252" t="n">
        <f aca="false">BF42+BG41</f>
        <v>0</v>
      </c>
      <c r="BH42" s="252" t="n">
        <f aca="false">BG42+BH41</f>
        <v>0</v>
      </c>
      <c r="BI42" s="252" t="n">
        <f aca="false">BH42+BI41</f>
        <v>0</v>
      </c>
      <c r="BJ42" s="252" t="n">
        <f aca="false">BI42+BJ41</f>
        <v>0</v>
      </c>
      <c r="BK42" s="252" t="n">
        <f aca="false">BJ42+BK41</f>
        <v>0</v>
      </c>
      <c r="BL42" s="252" t="n">
        <f aca="false">BK42+BL41</f>
        <v>0</v>
      </c>
      <c r="BM42" s="252" t="n">
        <f aca="false">BL42+BM41</f>
        <v>0</v>
      </c>
      <c r="BN42" s="252" t="n">
        <f aca="false">BM42+BN41</f>
        <v>0</v>
      </c>
      <c r="BO42" s="252" t="n">
        <f aca="false">BN42+BO41</f>
        <v>0</v>
      </c>
      <c r="BP42" s="252" t="n">
        <f aca="false">BO42+BP41</f>
        <v>0</v>
      </c>
      <c r="BQ42" s="252" t="n">
        <f aca="false">BP42+BQ41</f>
        <v>0</v>
      </c>
      <c r="BR42" s="252" t="n">
        <f aca="false">BQ42+BR41</f>
        <v>0</v>
      </c>
      <c r="BS42" s="252" t="n">
        <f aca="false">BR42+BS41</f>
        <v>0</v>
      </c>
      <c r="BT42" s="252" t="n">
        <f aca="false">BS42+BT41</f>
        <v>0</v>
      </c>
      <c r="BU42" s="252" t="n">
        <f aca="false">BT42+BU41</f>
        <v>0</v>
      </c>
      <c r="BV42" s="252" t="n">
        <f aca="false">BU42+BV41</f>
        <v>0</v>
      </c>
      <c r="BW42" s="252" t="n">
        <f aca="false">BV42+BW41</f>
        <v>0</v>
      </c>
      <c r="BX42" s="252" t="n">
        <f aca="false">BW42+BX41</f>
        <v>0</v>
      </c>
      <c r="BY42" s="252" t="n">
        <f aca="false">BX42+BY41</f>
        <v>-73156</v>
      </c>
      <c r="BZ42" s="252" t="n">
        <f aca="false">BY42+BZ41</f>
        <v>-73156</v>
      </c>
      <c r="CA42" s="252" t="n">
        <f aca="false">BZ42+CA41</f>
        <v>-73156</v>
      </c>
      <c r="CB42" s="252" t="n">
        <f aca="false">CA42+CB41</f>
        <v>-146311</v>
      </c>
      <c r="CC42" s="252" t="n">
        <f aca="false">CB42+CC41</f>
        <v>-146311</v>
      </c>
      <c r="CD42" s="252" t="n">
        <f aca="false">CC42+CD41</f>
        <v>-146311</v>
      </c>
      <c r="CE42" s="252" t="n">
        <f aca="false">CD42+CE41</f>
        <v>-219466</v>
      </c>
      <c r="CF42" s="252" t="n">
        <f aca="false">CE42+CF41</f>
        <v>-219466</v>
      </c>
      <c r="CG42" s="252" t="n">
        <f aca="false">CF42+CG41</f>
        <v>-219466</v>
      </c>
      <c r="CH42" s="252"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853</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50" t="s">
        <v>854</v>
      </c>
      <c r="B45" s="250"/>
      <c r="C45" s="251" t="n">
        <f aca="false">C5+C10+C16+C22+C28+C35+C41</f>
        <v>33281.25</v>
      </c>
      <c r="D45" s="251" t="n">
        <f aca="false">D5+D10+D16+D22+D28+D35+D41</f>
        <v>33281.25</v>
      </c>
      <c r="E45" s="251" t="n">
        <f aca="false">E5+E10+E16+E22+E28+E35+E41</f>
        <v>33281.25</v>
      </c>
      <c r="F45" s="251" t="n">
        <f aca="false">F5+F10+F16+F22+F28+F35+F41</f>
        <v>33281.25</v>
      </c>
      <c r="G45" s="251" t="n">
        <f aca="false">G5+G10+G16+G22+G28+G35+G41</f>
        <v>160795.25</v>
      </c>
      <c r="H45" s="251" t="n">
        <f aca="false">H5+H10+H16+H22+H28+H35+H41</f>
        <v>33281.25</v>
      </c>
      <c r="I45" s="251" t="n">
        <f aca="false">I5+I10+I16+I22+I28+I35+I41</f>
        <v>33281.25</v>
      </c>
      <c r="J45" s="251" t="n">
        <f aca="false">J5+J10+J16+J22+J28+J35+J41</f>
        <v>23906.25</v>
      </c>
      <c r="K45" s="251" t="n">
        <f aca="false">K5+K10+K16+K22+K28+K35+K41</f>
        <v>23906.25</v>
      </c>
      <c r="L45" s="251" t="n">
        <f aca="false">L5+L10+L16+L22+L28+L35+L41</f>
        <v>-108387.855263158</v>
      </c>
      <c r="M45" s="251" t="n">
        <f aca="false">M5+M10+M16+M22+M28+M35+M41</f>
        <v>-125548.960526316</v>
      </c>
      <c r="N45" s="251" t="n">
        <f aca="false">N5+N10+N16+N22+N28+N35+N41</f>
        <v>30222.0394736842</v>
      </c>
      <c r="O45" s="251" t="n">
        <f aca="false">O5+O10+O16+O22+O28+O35+O41</f>
        <v>30222.0394736842</v>
      </c>
      <c r="P45" s="251" t="n">
        <f aca="false">P5+P10+P16+P22+P28+P35+P41</f>
        <v>30222.0394736842</v>
      </c>
      <c r="Q45" s="251" t="n">
        <f aca="false">Q5+Q10+Q16+Q22+Q28+Q35+Q41</f>
        <v>30222.0394736842</v>
      </c>
      <c r="R45" s="251" t="n">
        <f aca="false">R5+R10+R16+R22+R28+R35+R41</f>
        <v>6315.78947368421</v>
      </c>
      <c r="S45" s="251" t="n">
        <f aca="false">S5+S10+S16+S22+S28+S35+S41</f>
        <v>6315.78947368421</v>
      </c>
      <c r="T45" s="251" t="n">
        <f aca="false">T5+T10+T16+T22+T28+T35+T41</f>
        <v>6315.78947368421</v>
      </c>
      <c r="U45" s="251" t="n">
        <f aca="false">U5+U10+U16+U22+U28+U35+U41</f>
        <v>6315.78947368421</v>
      </c>
      <c r="V45" s="251" t="n">
        <f aca="false">V5+V10+V16+V22+V28+V35+V41</f>
        <v>6315.78947368421</v>
      </c>
      <c r="W45" s="251" t="n">
        <f aca="false">W5+W10+W16+W22+W28+W35+W41</f>
        <v>63690.7894736842</v>
      </c>
      <c r="X45" s="251" t="n">
        <f aca="false">X5+X10+X16+X22+X28+X35+X41</f>
        <v>6315.78947368421</v>
      </c>
      <c r="Y45" s="251" t="n">
        <f aca="false">Y5+Y10+Y16+Y22+Y28+Y35+Y41</f>
        <v>6315.78947368421</v>
      </c>
      <c r="Z45" s="251" t="n">
        <f aca="false">Z5+Z10+Z16+Z22+Z28+Z35+Z41</f>
        <v>63690.7894736842</v>
      </c>
      <c r="AA45" s="251" t="n">
        <f aca="false">AA5+AA10+AA16+AA22+AA28+AA35+AA41</f>
        <v>6315.78947368421</v>
      </c>
      <c r="AB45" s="251" t="n">
        <f aca="false">AB5+AB10+AB16+AB22+AB28+AB35+AB41</f>
        <v>6315.78947368421</v>
      </c>
      <c r="AC45" s="251" t="n">
        <f aca="false">AC5+AC10+AC16+AC22+AC28+AC35+AC41</f>
        <v>63690.7894736842</v>
      </c>
      <c r="AD45" s="251" t="n">
        <f aca="false">AD5+AD10+AD16+AD22+AD28+AD35+AD41</f>
        <v>6315.78947368421</v>
      </c>
      <c r="AE45" s="251" t="n">
        <f aca="false">AE5+AE10+AE16+AE22+AE28+AE35+AE41</f>
        <v>3157.89473684211</v>
      </c>
      <c r="AF45" s="251" t="n">
        <f aca="false">AF5+AF10+AF16+AF22+AF28+AF35+AF41</f>
        <v>0</v>
      </c>
      <c r="AG45" s="251" t="n">
        <f aca="false">AG5+AG10+AG16+AG22+AG28+AG35+AG41</f>
        <v>0</v>
      </c>
      <c r="AH45" s="251" t="n">
        <f aca="false">AH5+AH10+AH16+AH22+AH28+AH35+AH41</f>
        <v>0</v>
      </c>
      <c r="AI45" s="251" t="n">
        <f aca="false">AI5+AI10+AI16+AI22+AI28+AI35+AI41</f>
        <v>0</v>
      </c>
      <c r="AJ45" s="251" t="n">
        <f aca="false">AJ5+AJ10+AJ16+AJ22+AJ28+AJ35+AJ41</f>
        <v>0</v>
      </c>
      <c r="AK45" s="251" t="n">
        <f aca="false">AK5+AK10+AK16+AK22+AK28+AK35+AK41</f>
        <v>0</v>
      </c>
      <c r="AL45" s="251" t="n">
        <f aca="false">AL5+AL10+AL16+AL22+AL28+AL35+AL41</f>
        <v>0</v>
      </c>
      <c r="AM45" s="251" t="n">
        <f aca="false">AM5+AM10+AM16+AM22+AM28+AM35+AM41</f>
        <v>0</v>
      </c>
      <c r="AN45" s="251" t="n">
        <f aca="false">AN5+AN10+AN16+AN22+AN28+AN35+AN41</f>
        <v>0</v>
      </c>
      <c r="AO45" s="251" t="n">
        <f aca="false">AO5+AO10+AO16+AO22+AO28+AO35+AO41</f>
        <v>0</v>
      </c>
      <c r="AP45" s="251" t="n">
        <f aca="false">AP5+AP10+AP16+AP22+AP28+AP35+AP41</f>
        <v>0</v>
      </c>
      <c r="AQ45" s="251" t="n">
        <f aca="false">AQ5+AQ10+AQ16+AQ22+AQ28+AQ35+AQ41</f>
        <v>0</v>
      </c>
      <c r="AR45" s="251" t="n">
        <f aca="false">AR5+AR10+AR16+AR22+AR28+AR35+AR41</f>
        <v>0</v>
      </c>
      <c r="AS45" s="251" t="n">
        <f aca="false">AS5+AS10+AS16+AS22+AS28+AS35+AS41</f>
        <v>0</v>
      </c>
      <c r="AT45" s="251" t="n">
        <f aca="false">AT5+AT10+AT16+AT22+AT28+AT35+AT41</f>
        <v>0</v>
      </c>
      <c r="AU45" s="251" t="n">
        <f aca="false">AU5+AU10+AU16+AU22+AU28+AU35+AU41</f>
        <v>0</v>
      </c>
      <c r="AV45" s="251" t="n">
        <f aca="false">AV5+AV10+AV16+AV22+AV28+AV35+AV41</f>
        <v>0</v>
      </c>
      <c r="AW45" s="251" t="n">
        <f aca="false">AW5+AW10+AW16+AW22+AW28+AW35+AW41</f>
        <v>0</v>
      </c>
      <c r="AX45" s="251" t="n">
        <f aca="false">AX5+AX10+AX16+AX22+AX28+AX35+AX41</f>
        <v>0</v>
      </c>
      <c r="AY45" s="251" t="n">
        <f aca="false">AY5+AY10+AY16+AY22+AY28+AY35+AY41</f>
        <v>0</v>
      </c>
      <c r="AZ45" s="251" t="n">
        <f aca="false">AZ5+AZ10+AZ16+AZ22+AZ28+AZ35+AZ41</f>
        <v>0</v>
      </c>
      <c r="BA45" s="251" t="n">
        <f aca="false">BA5+BA10+BA16+BA22+BA28+BA35+BA41</f>
        <v>0</v>
      </c>
      <c r="BB45" s="251" t="n">
        <f aca="false">BB5+BB10+BB16+BB22+BB28+BB35+BB41</f>
        <v>0</v>
      </c>
      <c r="BC45" s="251" t="n">
        <f aca="false">BC5+BC10+BC16+BC22+BC28+BC35+BC41</f>
        <v>0</v>
      </c>
      <c r="BD45" s="251" t="n">
        <f aca="false">BD5+BD10+BD16+BD22+BD28+BD35+BD41</f>
        <v>0</v>
      </c>
      <c r="BE45" s="251" t="n">
        <f aca="false">BE5+BE10+BE16+BE22+BE28+BE35+BE41</f>
        <v>0</v>
      </c>
      <c r="BF45" s="251" t="n">
        <f aca="false">BF5+BF10+BF16+BF22+BF28+BF35+BF41</f>
        <v>0</v>
      </c>
      <c r="BG45" s="251" t="n">
        <f aca="false">BG5+BG10+BG16+BG22+BG28+BG35+BG41</f>
        <v>0</v>
      </c>
      <c r="BH45" s="251" t="n">
        <f aca="false">BH5+BH10+BH16+BH22+BH28+BH35+BH41</f>
        <v>0</v>
      </c>
      <c r="BI45" s="251" t="n">
        <f aca="false">BI5+BI10+BI16+BI22+BI28+BI35+BI41</f>
        <v>0</v>
      </c>
      <c r="BJ45" s="251" t="n">
        <f aca="false">BJ5+BJ10+BJ16+BJ22+BJ28+BJ35+BJ41</f>
        <v>0</v>
      </c>
      <c r="BK45" s="251" t="n">
        <f aca="false">BK5+BK10+BK16+BK22+BK28+BK35+BK41</f>
        <v>0</v>
      </c>
      <c r="BL45" s="251" t="n">
        <f aca="false">BL5+BL10+BL16+BL22+BL28+BL35+BL41</f>
        <v>0</v>
      </c>
      <c r="BM45" s="251" t="n">
        <f aca="false">BM5+BM10+BM16+BM22+BM28+BM35+BM41</f>
        <v>0</v>
      </c>
      <c r="BN45" s="251" t="n">
        <f aca="false">BN5+BN10+BN16+BN22+BN28+BN35+BN41</f>
        <v>0</v>
      </c>
      <c r="BO45" s="251" t="n">
        <f aca="false">BO5+BO10+BO16+BO22+BO28+BO35+BO41</f>
        <v>0</v>
      </c>
      <c r="BP45" s="251" t="n">
        <f aca="false">BP5+BP10+BP16+BP22+BP28+BP35+BP41</f>
        <v>53250.35</v>
      </c>
      <c r="BQ45" s="251" t="n">
        <f aca="false">BQ5+BQ10+BQ16+BQ22+BQ28+BQ35+BQ41</f>
        <v>0</v>
      </c>
      <c r="BR45" s="251" t="n">
        <f aca="false">BR5+BR10+BR16+BR22+BR28+BR35+BR41</f>
        <v>0</v>
      </c>
      <c r="BS45" s="251" t="n">
        <f aca="false">BS5+BS10+BS16+BS22+BS28+BS35+BS41</f>
        <v>67762</v>
      </c>
      <c r="BT45" s="251" t="n">
        <f aca="false">BT5+BT10+BT16+BT22+BT28+BT35+BT41</f>
        <v>0</v>
      </c>
      <c r="BU45" s="251" t="n">
        <f aca="false">BU5+BU10+BU16+BU22+BU28+BU35+BU41</f>
        <v>0</v>
      </c>
      <c r="BV45" s="251" t="n">
        <f aca="false">BV5+BV10+BV16+BV22+BV28+BV35+BV41</f>
        <v>67762</v>
      </c>
      <c r="BW45" s="251" t="n">
        <f aca="false">BW5+BW10+BW16+BW22+BW28+BW35+BW41</f>
        <v>0</v>
      </c>
      <c r="BX45" s="251" t="n">
        <f aca="false">BX5+BX10+BX16+BX22+BX28+BX35+BX41</f>
        <v>0</v>
      </c>
      <c r="BY45" s="251" t="n">
        <f aca="false">BY5+BY10+BY16+BY22+BY28+BY35+BY41</f>
        <v>-5394</v>
      </c>
      <c r="BZ45" s="251" t="n">
        <f aca="false">BZ5+BZ10+BZ16+BZ22+BZ28+BZ35+BZ41</f>
        <v>0</v>
      </c>
      <c r="CA45" s="251" t="n">
        <f aca="false">CA5+CA10+CA16+CA22+CA28+CA35+CA41</f>
        <v>0</v>
      </c>
      <c r="CB45" s="251" t="n">
        <f aca="false">CB5+CB10+CB16+CB22+CB28+CB35+CB41</f>
        <v>3344</v>
      </c>
      <c r="CC45" s="251" t="n">
        <f aca="false">CC5+CC10+CC16+CC22+CC28+CC35+CC41</f>
        <v>0</v>
      </c>
      <c r="CD45" s="251" t="n">
        <f aca="false">CD5+CD10+CD16+CD22+CD28+CD35+CD41</f>
        <v>0</v>
      </c>
      <c r="CE45" s="251" t="n">
        <f aca="false">CE5+CE10+CE16+CE22+CE28+CE35+CE41</f>
        <v>3344</v>
      </c>
      <c r="CF45" s="251" t="n">
        <f aca="false">CF5+CF10+CF16+CF22+CF28+CF35+CF41</f>
        <v>0</v>
      </c>
      <c r="CG45" s="251" t="n">
        <f aca="false">CG5+CG10+CG16+CG22+CG28+CG35+CG41</f>
        <v>0</v>
      </c>
      <c r="CH45" s="251" t="n">
        <f aca="false">CH5+CH10+CH16+CH22+CH28+CH35+CH41</f>
        <v>9952.02660647922</v>
      </c>
    </row>
    <row r="46" customFormat="false" ht="15" hidden="false" customHeight="true" outlineLevel="0" collapsed="false">
      <c r="A46" s="2" t="s">
        <v>855</v>
      </c>
      <c r="B46" s="3"/>
      <c r="C46" s="252" t="n">
        <f aca="false">C45</f>
        <v>33281.25</v>
      </c>
      <c r="D46" s="252" t="n">
        <f aca="false">C46+D45</f>
        <v>66562.5</v>
      </c>
      <c r="E46" s="252" t="n">
        <f aca="false">D46+E45</f>
        <v>99843.75</v>
      </c>
      <c r="F46" s="252" t="n">
        <f aca="false">E46+F45</f>
        <v>133125</v>
      </c>
      <c r="G46" s="252" t="n">
        <f aca="false">F46+G45</f>
        <v>293920.25</v>
      </c>
      <c r="H46" s="252" t="n">
        <f aca="false">G46+H45</f>
        <v>327201.5</v>
      </c>
      <c r="I46" s="252" t="n">
        <f aca="false">H46+I45</f>
        <v>360482.75</v>
      </c>
      <c r="J46" s="252" t="n">
        <f aca="false">I46+J45</f>
        <v>384389</v>
      </c>
      <c r="K46" s="252" t="n">
        <f aca="false">J46+K45</f>
        <v>408295.25</v>
      </c>
      <c r="L46" s="252" t="n">
        <f aca="false">K46+L45</f>
        <v>299907.394736842</v>
      </c>
      <c r="M46" s="252" t="n">
        <f aca="false">L46+M45</f>
        <v>174358.434210526</v>
      </c>
      <c r="N46" s="252" t="n">
        <f aca="false">M46+N45</f>
        <v>204580.473684211</v>
      </c>
      <c r="O46" s="252" t="n">
        <f aca="false">N46+O45</f>
        <v>234802.513157895</v>
      </c>
      <c r="P46" s="252" t="n">
        <f aca="false">O46+P45</f>
        <v>265024.552631579</v>
      </c>
      <c r="Q46" s="252" t="n">
        <f aca="false">P46+Q45</f>
        <v>295246.592105263</v>
      </c>
      <c r="R46" s="252" t="n">
        <f aca="false">Q46+R45</f>
        <v>301562.381578947</v>
      </c>
      <c r="S46" s="252" t="n">
        <f aca="false">R46+S45</f>
        <v>307878.171052632</v>
      </c>
      <c r="T46" s="252" t="n">
        <f aca="false">S46+T45</f>
        <v>314193.960526316</v>
      </c>
      <c r="U46" s="252" t="n">
        <f aca="false">T46+U45</f>
        <v>320509.75</v>
      </c>
      <c r="V46" s="252" t="n">
        <f aca="false">U46+V45</f>
        <v>326825.539473684</v>
      </c>
      <c r="W46" s="252" t="n">
        <f aca="false">V46+W45</f>
        <v>390516.328947369</v>
      </c>
      <c r="X46" s="252" t="n">
        <f aca="false">W46+X45</f>
        <v>396832.118421053</v>
      </c>
      <c r="Y46" s="252" t="n">
        <f aca="false">X46+Y45</f>
        <v>403147.907894737</v>
      </c>
      <c r="Z46" s="252" t="n">
        <f aca="false">Y46+Z45</f>
        <v>466838.697368421</v>
      </c>
      <c r="AA46" s="252" t="n">
        <f aca="false">Z46+AA45</f>
        <v>473154.486842105</v>
      </c>
      <c r="AB46" s="252" t="n">
        <f aca="false">AA46+AB45</f>
        <v>479470.27631579</v>
      </c>
      <c r="AC46" s="252" t="n">
        <f aca="false">AB46+AC45</f>
        <v>543161.065789474</v>
      </c>
      <c r="AD46" s="252" t="n">
        <f aca="false">AC46+AD45</f>
        <v>549476.855263158</v>
      </c>
      <c r="AE46" s="252" t="n">
        <f aca="false">AD46+AE45</f>
        <v>552634.75</v>
      </c>
      <c r="AF46" s="252" t="n">
        <f aca="false">AE46+AF45</f>
        <v>552634.75</v>
      </c>
      <c r="AG46" s="252" t="n">
        <f aca="false">AF46+AG45</f>
        <v>552634.75</v>
      </c>
      <c r="AH46" s="252" t="n">
        <f aca="false">AG46+AH45</f>
        <v>552634.75</v>
      </c>
      <c r="AI46" s="252" t="n">
        <f aca="false">AH46+AI45</f>
        <v>552634.75</v>
      </c>
      <c r="AJ46" s="252" t="n">
        <f aca="false">AI46+AJ45</f>
        <v>552634.75</v>
      </c>
      <c r="AK46" s="252" t="n">
        <f aca="false">AJ46+AK45</f>
        <v>552634.75</v>
      </c>
      <c r="AL46" s="252" t="n">
        <f aca="false">AK46+AL45</f>
        <v>552634.75</v>
      </c>
      <c r="AM46" s="252" t="n">
        <f aca="false">AL46+AM45</f>
        <v>552634.75</v>
      </c>
      <c r="AN46" s="252" t="n">
        <f aca="false">AM46+AN45</f>
        <v>552634.75</v>
      </c>
      <c r="AO46" s="252" t="n">
        <f aca="false">AN46+AO45</f>
        <v>552634.75</v>
      </c>
      <c r="AP46" s="252" t="n">
        <f aca="false">AO46+AP45</f>
        <v>552634.75</v>
      </c>
      <c r="AQ46" s="252" t="n">
        <f aca="false">AP46+AQ45</f>
        <v>552634.75</v>
      </c>
      <c r="AR46" s="252" t="n">
        <f aca="false">AQ46+AR45</f>
        <v>552634.75</v>
      </c>
      <c r="AS46" s="252" t="n">
        <f aca="false">AR46+AS45</f>
        <v>552634.75</v>
      </c>
      <c r="AT46" s="252" t="n">
        <f aca="false">AS46+AT45</f>
        <v>552634.75</v>
      </c>
      <c r="AU46" s="252" t="n">
        <f aca="false">AT46+AU45</f>
        <v>552634.75</v>
      </c>
      <c r="AV46" s="252" t="n">
        <f aca="false">AU46+AV45</f>
        <v>552634.75</v>
      </c>
      <c r="AW46" s="252" t="n">
        <f aca="false">AV46+AW45</f>
        <v>552634.75</v>
      </c>
      <c r="AX46" s="252" t="n">
        <f aca="false">AW46+AX45</f>
        <v>552634.75</v>
      </c>
      <c r="AY46" s="252" t="n">
        <f aca="false">AX46+AY45</f>
        <v>552634.75</v>
      </c>
      <c r="AZ46" s="252" t="n">
        <f aca="false">AY46+AZ45</f>
        <v>552634.75</v>
      </c>
      <c r="BA46" s="252" t="n">
        <f aca="false">AZ46+BA45</f>
        <v>552634.75</v>
      </c>
      <c r="BB46" s="252" t="n">
        <f aca="false">BA46+BB45</f>
        <v>552634.75</v>
      </c>
      <c r="BC46" s="252" t="n">
        <f aca="false">BB46+BC45</f>
        <v>552634.75</v>
      </c>
      <c r="BD46" s="252" t="n">
        <f aca="false">BC46+BD45</f>
        <v>552634.75</v>
      </c>
      <c r="BE46" s="252" t="n">
        <f aca="false">BD46+BE45</f>
        <v>552634.75</v>
      </c>
      <c r="BF46" s="252" t="n">
        <f aca="false">BE46+BF45</f>
        <v>552634.75</v>
      </c>
      <c r="BG46" s="252" t="n">
        <f aca="false">BF46+BG45</f>
        <v>552634.75</v>
      </c>
      <c r="BH46" s="252" t="n">
        <f aca="false">BG46+BH45</f>
        <v>552634.75</v>
      </c>
      <c r="BI46" s="252" t="n">
        <f aca="false">BH46+BI45</f>
        <v>552634.75</v>
      </c>
      <c r="BJ46" s="252" t="n">
        <f aca="false">BI46+BJ45</f>
        <v>552634.75</v>
      </c>
      <c r="BK46" s="252" t="n">
        <f aca="false">BJ46+BK45</f>
        <v>552634.75</v>
      </c>
      <c r="BL46" s="252" t="n">
        <f aca="false">BK46+BL45</f>
        <v>552634.75</v>
      </c>
      <c r="BM46" s="252" t="n">
        <f aca="false">BL46+BM45</f>
        <v>552634.75</v>
      </c>
      <c r="BN46" s="252" t="n">
        <f aca="false">BM46+BN45</f>
        <v>552634.75</v>
      </c>
      <c r="BO46" s="252" t="n">
        <f aca="false">BN46+BO45</f>
        <v>552634.75</v>
      </c>
      <c r="BP46" s="252" t="n">
        <f aca="false">BO46+BP45</f>
        <v>605885.1</v>
      </c>
      <c r="BQ46" s="252" t="n">
        <f aca="false">BP46+BQ45</f>
        <v>605885.1</v>
      </c>
      <c r="BR46" s="252" t="n">
        <f aca="false">BQ46+BR45</f>
        <v>605885.1</v>
      </c>
      <c r="BS46" s="252" t="n">
        <f aca="false">BR46+BS45</f>
        <v>673647.1</v>
      </c>
      <c r="BT46" s="252" t="n">
        <f aca="false">BS46+BT45</f>
        <v>673647.1</v>
      </c>
      <c r="BU46" s="252" t="n">
        <f aca="false">BT46+BU45</f>
        <v>673647.1</v>
      </c>
      <c r="BV46" s="252" t="n">
        <f aca="false">BU46+BV45</f>
        <v>741409.1</v>
      </c>
      <c r="BW46" s="252" t="n">
        <f aca="false">BV46+BW45</f>
        <v>741409.1</v>
      </c>
      <c r="BX46" s="252" t="n">
        <f aca="false">BW46+BX45</f>
        <v>741409.1</v>
      </c>
      <c r="BY46" s="252" t="n">
        <f aca="false">BX46+BY45</f>
        <v>736015.1</v>
      </c>
      <c r="BZ46" s="252" t="n">
        <f aca="false">BY46+BZ45</f>
        <v>736015.1</v>
      </c>
      <c r="CA46" s="252" t="n">
        <f aca="false">BZ46+CA45</f>
        <v>736015.1</v>
      </c>
      <c r="CB46" s="252" t="n">
        <f aca="false">CA46+CB45</f>
        <v>739359.1</v>
      </c>
      <c r="CC46" s="252" t="n">
        <f aca="false">CB46+CC45</f>
        <v>739359.1</v>
      </c>
      <c r="CD46" s="252" t="n">
        <f aca="false">CC46+CD45</f>
        <v>739359.1</v>
      </c>
      <c r="CE46" s="252" t="n">
        <f aca="false">CD46+CE45</f>
        <v>742703.1</v>
      </c>
      <c r="CF46" s="252" t="n">
        <f aca="false">CE46+CF45</f>
        <v>742703.1</v>
      </c>
      <c r="CG46" s="252" t="n">
        <f aca="false">CF46+CG45</f>
        <v>742703.1</v>
      </c>
      <c r="CH46" s="252"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856</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857</v>
      </c>
      <c r="B49" s="255"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858</v>
      </c>
      <c r="B50" s="255"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859</v>
      </c>
      <c r="B51" s="255"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860</v>
      </c>
      <c r="B52" s="255"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861</v>
      </c>
      <c r="B53" s="255"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862</v>
      </c>
      <c r="B54" s="255"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863</v>
      </c>
      <c r="B55" s="256" t="s">
        <v>864</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865</v>
      </c>
      <c r="B56" s="257"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866</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867</v>
      </c>
      <c r="B3" s="4"/>
      <c r="C3" s="4"/>
      <c r="D3" s="4"/>
      <c r="E3" s="4"/>
      <c r="F3" s="4"/>
      <c r="G3" s="4"/>
      <c r="H3" s="3"/>
      <c r="I3" s="3"/>
    </row>
    <row r="4" customFormat="false" ht="15" hidden="false" customHeight="true" outlineLevel="0" collapsed="false">
      <c r="A4" s="23" t="s">
        <v>868</v>
      </c>
      <c r="B4" s="23" t="s">
        <v>869</v>
      </c>
      <c r="C4" s="23" t="s">
        <v>870</v>
      </c>
      <c r="D4" s="23" t="s">
        <v>871</v>
      </c>
      <c r="E4" s="23" t="s">
        <v>872</v>
      </c>
      <c r="F4" s="23" t="s">
        <v>873</v>
      </c>
      <c r="G4" s="23" t="s">
        <v>756</v>
      </c>
      <c r="H4" s="3"/>
      <c r="I4" s="3"/>
    </row>
    <row r="5" customFormat="false" ht="15" hidden="false" customHeight="true" outlineLevel="0" collapsed="false">
      <c r="A5" s="79" t="s">
        <v>874</v>
      </c>
      <c r="B5" s="258" t="n">
        <f aca="false">Assumptions!B4</f>
        <v>0.06</v>
      </c>
      <c r="C5" s="259" t="n">
        <v>0.06</v>
      </c>
      <c r="D5" s="260" t="n">
        <v>0.04</v>
      </c>
      <c r="E5" s="260" t="n">
        <v>0.08</v>
      </c>
      <c r="F5" s="79" t="s">
        <v>875</v>
      </c>
      <c r="G5" s="69" t="s">
        <v>876</v>
      </c>
      <c r="H5" s="3"/>
      <c r="I5" s="3"/>
    </row>
    <row r="6" customFormat="false" ht="15" hidden="false" customHeight="true" outlineLevel="0" collapsed="false">
      <c r="A6" s="79" t="s">
        <v>877</v>
      </c>
      <c r="B6" s="258" t="n">
        <f aca="false">Assumptions!B5</f>
        <v>0.06</v>
      </c>
      <c r="C6" s="259" t="n">
        <v>0.06</v>
      </c>
      <c r="D6" s="260" t="n">
        <v>0.04</v>
      </c>
      <c r="E6" s="260" t="n">
        <v>0.08</v>
      </c>
      <c r="F6" s="79" t="s">
        <v>875</v>
      </c>
      <c r="G6" s="69" t="s">
        <v>876</v>
      </c>
      <c r="H6" s="3"/>
      <c r="I6" s="3"/>
    </row>
    <row r="7" customFormat="false" ht="15" hidden="false" customHeight="true" outlineLevel="0" collapsed="false">
      <c r="A7" s="79" t="s">
        <v>878</v>
      </c>
      <c r="B7" s="258" t="n">
        <f aca="false">Assumptions!B6</f>
        <v>0.02</v>
      </c>
      <c r="C7" s="259" t="n">
        <v>0.02</v>
      </c>
      <c r="D7" s="260" t="n">
        <v>0.01</v>
      </c>
      <c r="E7" s="260" t="n">
        <v>0.03</v>
      </c>
      <c r="F7" s="79" t="s">
        <v>875</v>
      </c>
      <c r="G7" s="69" t="s">
        <v>879</v>
      </c>
      <c r="H7" s="3"/>
      <c r="I7" s="3"/>
    </row>
    <row r="8" customFormat="false" ht="15" hidden="false" customHeight="true" outlineLevel="0" collapsed="false">
      <c r="A8" s="79"/>
      <c r="B8" s="258"/>
      <c r="C8" s="259"/>
      <c r="D8" s="260"/>
      <c r="E8" s="260"/>
      <c r="F8" s="79"/>
      <c r="G8" s="69"/>
      <c r="H8" s="3"/>
      <c r="I8" s="3"/>
    </row>
    <row r="9" customFormat="false" ht="15" hidden="false" customHeight="true" outlineLevel="0" collapsed="false">
      <c r="A9" s="79" t="s">
        <v>880</v>
      </c>
      <c r="B9" s="258" t="n">
        <f aca="false">Assumptions!B26</f>
        <v>0.02</v>
      </c>
      <c r="C9" s="259" t="n">
        <v>0.02</v>
      </c>
      <c r="D9" s="260" t="n">
        <v>0</v>
      </c>
      <c r="E9" s="260" t="n">
        <v>0.04</v>
      </c>
      <c r="F9" s="79" t="s">
        <v>875</v>
      </c>
      <c r="G9" s="69" t="s">
        <v>881</v>
      </c>
      <c r="H9" s="3"/>
      <c r="I9" s="3"/>
    </row>
    <row r="10" customFormat="false" ht="15" hidden="false" customHeight="true" outlineLevel="0" collapsed="false">
      <c r="A10" s="79" t="s">
        <v>882</v>
      </c>
      <c r="B10" s="258" t="n">
        <f aca="false">Assumptions!B15</f>
        <v>0.015</v>
      </c>
      <c r="C10" s="259" t="n">
        <v>0.015</v>
      </c>
      <c r="D10" s="260" t="n">
        <v>0.01</v>
      </c>
      <c r="E10" s="260" t="n">
        <v>0.02</v>
      </c>
      <c r="F10" s="79" t="s">
        <v>875</v>
      </c>
      <c r="G10" s="69" t="s">
        <v>883</v>
      </c>
      <c r="H10" s="3"/>
      <c r="I10" s="3"/>
    </row>
    <row r="11" customFormat="false" ht="15" hidden="false" customHeight="true" outlineLevel="0" collapsed="false">
      <c r="A11" s="79" t="s">
        <v>884</v>
      </c>
      <c r="B11" s="258" t="n">
        <f aca="false">Assumptions!B16</f>
        <v>0.0074</v>
      </c>
      <c r="C11" s="259" t="n">
        <v>0.0074</v>
      </c>
      <c r="D11" s="260" t="n">
        <v>0.005</v>
      </c>
      <c r="E11" s="260" t="n">
        <v>0.015</v>
      </c>
      <c r="F11" s="79" t="s">
        <v>875</v>
      </c>
      <c r="G11" s="69" t="s">
        <v>885</v>
      </c>
      <c r="H11" s="3"/>
      <c r="I11" s="3"/>
    </row>
    <row r="12" customFormat="false" ht="15" hidden="false" customHeight="true" outlineLevel="0" collapsed="false">
      <c r="A12" s="79" t="s">
        <v>886</v>
      </c>
      <c r="B12" s="258" t="n">
        <f aca="false">Assumptions!B17</f>
        <v>0.0325</v>
      </c>
      <c r="C12" s="259" t="n">
        <v>0.0325</v>
      </c>
      <c r="D12" s="260" t="n">
        <v>0.02</v>
      </c>
      <c r="E12" s="260" t="n">
        <v>0.05</v>
      </c>
      <c r="F12" s="79" t="s">
        <v>875</v>
      </c>
      <c r="G12" s="69" t="s">
        <v>887</v>
      </c>
      <c r="H12" s="3"/>
      <c r="I12" s="3"/>
    </row>
    <row r="13" customFormat="false" ht="15" hidden="false" customHeight="true" outlineLevel="0" collapsed="false">
      <c r="A13" s="79" t="s">
        <v>888</v>
      </c>
      <c r="B13" s="258" t="n">
        <f aca="false">Assumptions!B34</f>
        <v>0.15</v>
      </c>
      <c r="C13" s="259" t="n">
        <v>0.15</v>
      </c>
      <c r="D13" s="260" t="n">
        <v>0.1</v>
      </c>
      <c r="E13" s="260" t="n">
        <v>0.2</v>
      </c>
      <c r="F13" s="79" t="s">
        <v>875</v>
      </c>
      <c r="G13" s="69" t="s">
        <v>889</v>
      </c>
      <c r="H13" s="3"/>
      <c r="I13" s="3"/>
    </row>
    <row r="14" customFormat="false" ht="15" hidden="false" customHeight="true" outlineLevel="0" collapsed="false">
      <c r="A14" s="79" t="s">
        <v>890</v>
      </c>
      <c r="B14" s="249" t="n">
        <f aca="false">Assumptions!B36</f>
        <v>112000</v>
      </c>
      <c r="C14" s="261" t="n">
        <v>130000</v>
      </c>
      <c r="D14" s="262" t="n">
        <v>100000</v>
      </c>
      <c r="E14" s="262" t="n">
        <v>175000</v>
      </c>
      <c r="F14" s="79" t="s">
        <v>891</v>
      </c>
      <c r="G14" s="69" t="s">
        <v>892</v>
      </c>
      <c r="H14" s="3"/>
      <c r="I14" s="3"/>
    </row>
    <row r="15" customFormat="false" ht="15" hidden="false" customHeight="true" outlineLevel="0" collapsed="false">
      <c r="A15" s="79" t="s">
        <v>893</v>
      </c>
      <c r="B15" s="258" t="n">
        <f aca="false">Assumptions!B58</f>
        <v>0.15</v>
      </c>
      <c r="C15" s="259" t="n">
        <v>0.15</v>
      </c>
      <c r="D15" s="260" t="n">
        <v>0.1</v>
      </c>
      <c r="E15" s="260" t="n">
        <v>0.2</v>
      </c>
      <c r="F15" s="79" t="s">
        <v>875</v>
      </c>
      <c r="G15" s="69" t="s">
        <v>894</v>
      </c>
      <c r="H15" s="3"/>
      <c r="I15" s="3"/>
    </row>
    <row r="16" customFormat="false" ht="15" hidden="false" customHeight="true" outlineLevel="0" collapsed="false">
      <c r="A16" s="79" t="s">
        <v>895</v>
      </c>
      <c r="B16" s="258" t="n">
        <f aca="false">Assumptions!B47</f>
        <v>0.01</v>
      </c>
      <c r="C16" s="259" t="n">
        <v>0.01</v>
      </c>
      <c r="D16" s="260" t="n">
        <v>0.005</v>
      </c>
      <c r="E16" s="260" t="n">
        <v>0.02</v>
      </c>
      <c r="F16" s="79" t="s">
        <v>875</v>
      </c>
      <c r="G16" s="69" t="s">
        <v>896</v>
      </c>
      <c r="H16" s="3"/>
      <c r="I16" s="3"/>
    </row>
    <row r="17" customFormat="false" ht="15" hidden="false" customHeight="true" outlineLevel="0" collapsed="false">
      <c r="A17" s="79" t="s">
        <v>897</v>
      </c>
      <c r="B17" s="258" t="n">
        <f aca="false">Assumptions!B48</f>
        <v>0.03</v>
      </c>
      <c r="C17" s="259" t="n">
        <v>0.03</v>
      </c>
      <c r="D17" s="260" t="n">
        <v>0.02</v>
      </c>
      <c r="E17" s="260" t="n">
        <v>0.05</v>
      </c>
      <c r="F17" s="79" t="s">
        <v>875</v>
      </c>
      <c r="G17" s="69" t="s">
        <v>898</v>
      </c>
      <c r="H17" s="3"/>
      <c r="I17" s="3"/>
    </row>
    <row r="18" customFormat="false" ht="15" hidden="false" customHeight="true" outlineLevel="0" collapsed="false">
      <c r="A18" s="79" t="s">
        <v>899</v>
      </c>
      <c r="B18" s="263" t="n">
        <v>10</v>
      </c>
      <c r="C18" s="264" t="n">
        <v>10</v>
      </c>
      <c r="D18" s="265" t="n">
        <v>5</v>
      </c>
      <c r="E18" s="265" t="n">
        <v>15</v>
      </c>
      <c r="F18" s="79" t="s">
        <v>900</v>
      </c>
      <c r="G18" s="69" t="s">
        <v>901</v>
      </c>
      <c r="H18" s="3"/>
      <c r="I18" s="3"/>
    </row>
    <row r="19" customFormat="false" ht="15" hidden="false" customHeight="true" outlineLevel="0" collapsed="false">
      <c r="A19" s="79" t="s">
        <v>902</v>
      </c>
      <c r="B19" s="266" t="n">
        <v>18700</v>
      </c>
      <c r="C19" s="261" t="n">
        <v>18700</v>
      </c>
      <c r="D19" s="262" t="n">
        <v>15000</v>
      </c>
      <c r="E19" s="262" t="n">
        <v>25000</v>
      </c>
      <c r="F19" s="79" t="s">
        <v>891</v>
      </c>
      <c r="G19" s="69" t="s">
        <v>903</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904</v>
      </c>
      <c r="B22" s="4"/>
      <c r="C22" s="4"/>
      <c r="D22" s="4"/>
      <c r="E22" s="4"/>
      <c r="F22" s="4"/>
      <c r="G22" s="4"/>
      <c r="H22" s="3"/>
      <c r="I22" s="3"/>
    </row>
    <row r="23" customFormat="false" ht="15" hidden="false" customHeight="true" outlineLevel="0" collapsed="false">
      <c r="A23" s="23" t="s">
        <v>550</v>
      </c>
      <c r="B23" s="23" t="s">
        <v>556</v>
      </c>
      <c r="C23" s="23" t="s">
        <v>905</v>
      </c>
      <c r="D23" s="23" t="s">
        <v>561</v>
      </c>
      <c r="E23" s="23" t="s">
        <v>553</v>
      </c>
      <c r="F23" s="23" t="s">
        <v>906</v>
      </c>
      <c r="G23" s="23" t="s">
        <v>560</v>
      </c>
      <c r="H23" s="3"/>
      <c r="I23" s="3"/>
    </row>
    <row r="24" customFormat="false" ht="15" hidden="false" customHeight="true" outlineLevel="0" collapsed="false">
      <c r="A24" s="79" t="s">
        <v>7</v>
      </c>
      <c r="B24" s="267" t="str">
        <f aca="false">Projects!$G$2</f>
        <v>Yes</v>
      </c>
      <c r="C24" s="266" t="n">
        <v>5321971</v>
      </c>
      <c r="D24" s="79" t="s">
        <v>907</v>
      </c>
      <c r="E24" s="79" t="s">
        <v>908</v>
      </c>
      <c r="F24" s="79" t="s">
        <v>571</v>
      </c>
      <c r="G24" s="79" t="s">
        <v>571</v>
      </c>
      <c r="H24" s="3"/>
      <c r="I24" s="3"/>
    </row>
    <row r="25" customFormat="false" ht="15" hidden="false" customHeight="true" outlineLevel="0" collapsed="false">
      <c r="A25" s="79" t="s">
        <v>8</v>
      </c>
      <c r="B25" s="267" t="str">
        <f aca="false">Projects!$G$3</f>
        <v>Yes</v>
      </c>
      <c r="C25" s="266" t="n">
        <v>19982132</v>
      </c>
      <c r="D25" s="79" t="s">
        <v>907</v>
      </c>
      <c r="E25" s="79" t="s">
        <v>909</v>
      </c>
      <c r="F25" s="79" t="s">
        <v>571</v>
      </c>
      <c r="G25" s="79" t="s">
        <v>571</v>
      </c>
      <c r="H25" s="3"/>
      <c r="I25" s="3"/>
    </row>
    <row r="26" customFormat="false" ht="15" hidden="false" customHeight="true" outlineLevel="0" collapsed="false">
      <c r="A26" s="79" t="s">
        <v>9</v>
      </c>
      <c r="B26" s="267" t="str">
        <f aca="false">Projects!$G$4</f>
        <v>Yes</v>
      </c>
      <c r="C26" s="266" t="n">
        <v>11673185</v>
      </c>
      <c r="D26" s="79" t="s">
        <v>910</v>
      </c>
      <c r="E26" s="79" t="s">
        <v>911</v>
      </c>
      <c r="F26" s="79" t="s">
        <v>571</v>
      </c>
      <c r="G26" s="79" t="s">
        <v>572</v>
      </c>
      <c r="H26" s="3"/>
      <c r="I26" s="3"/>
    </row>
    <row r="27" customFormat="false" ht="15" hidden="false" customHeight="true" outlineLevel="0" collapsed="false">
      <c r="A27" s="79" t="s">
        <v>10</v>
      </c>
      <c r="B27" s="267" t="str">
        <f aca="false">Projects!$G$5</f>
        <v>Yes</v>
      </c>
      <c r="C27" s="266" t="n">
        <v>13492534</v>
      </c>
      <c r="D27" s="79" t="s">
        <v>910</v>
      </c>
      <c r="E27" s="79" t="s">
        <v>911</v>
      </c>
      <c r="F27" s="79" t="s">
        <v>571</v>
      </c>
      <c r="G27" s="79" t="s">
        <v>572</v>
      </c>
      <c r="H27" s="3"/>
      <c r="I27" s="3"/>
    </row>
    <row r="28" customFormat="false" ht="15" hidden="false" customHeight="true" outlineLevel="0" collapsed="false">
      <c r="A28" s="79" t="s">
        <v>11</v>
      </c>
      <c r="B28" s="267" t="str">
        <f aca="false">Projects!$G$6</f>
        <v>Yes</v>
      </c>
      <c r="C28" s="266" t="n">
        <v>4052747</v>
      </c>
      <c r="D28" s="79" t="s">
        <v>910</v>
      </c>
      <c r="E28" s="79" t="s">
        <v>912</v>
      </c>
      <c r="F28" s="79" t="s">
        <v>571</v>
      </c>
      <c r="G28" s="79" t="s">
        <v>572</v>
      </c>
      <c r="H28" s="3"/>
      <c r="I28" s="3"/>
    </row>
    <row r="29" customFormat="false" ht="15" hidden="false" customHeight="true" outlineLevel="0" collapsed="false">
      <c r="A29" s="79" t="s">
        <v>12</v>
      </c>
      <c r="B29" s="267" t="str">
        <f aca="false">Projects!$G$7</f>
        <v>Yes</v>
      </c>
      <c r="C29" s="266" t="n">
        <v>42794765</v>
      </c>
      <c r="D29" s="79" t="s">
        <v>907</v>
      </c>
      <c r="E29" s="79" t="s">
        <v>913</v>
      </c>
      <c r="F29" s="79" t="s">
        <v>572</v>
      </c>
      <c r="G29" s="79" t="s">
        <v>572</v>
      </c>
      <c r="H29" s="3"/>
      <c r="I29" s="3"/>
    </row>
    <row r="30" customFormat="false" ht="15" hidden="false" customHeight="true" outlineLevel="0" collapsed="false">
      <c r="A30" s="79" t="s">
        <v>13</v>
      </c>
      <c r="B30" s="267" t="str">
        <f aca="false">Projects!$G$8</f>
        <v>Yes</v>
      </c>
      <c r="C30" s="266" t="n">
        <v>12993776.05</v>
      </c>
      <c r="D30" s="79" t="s">
        <v>910</v>
      </c>
      <c r="E30" s="79" t="s">
        <v>912</v>
      </c>
      <c r="F30" s="79" t="s">
        <v>571</v>
      </c>
      <c r="G30" s="79" t="s">
        <v>572</v>
      </c>
      <c r="H30" s="3"/>
      <c r="I30" s="3"/>
    </row>
    <row r="31" customFormat="false" ht="15" hidden="false" customHeight="true" outlineLevel="0" collapsed="false">
      <c r="A31" s="79" t="s">
        <v>14</v>
      </c>
      <c r="B31" s="267" t="str">
        <f aca="false">Projects!$G$9</f>
        <v>Yes</v>
      </c>
      <c r="C31" s="266" t="n">
        <v>14337010.8</v>
      </c>
      <c r="D31" s="79" t="s">
        <v>910</v>
      </c>
      <c r="E31" s="79" t="s">
        <v>914</v>
      </c>
      <c r="F31" s="79" t="s">
        <v>571</v>
      </c>
      <c r="G31" s="79" t="s">
        <v>572</v>
      </c>
      <c r="H31" s="3"/>
      <c r="I31" s="3"/>
    </row>
    <row r="32" customFormat="false" ht="15" hidden="false" customHeight="true" outlineLevel="0" collapsed="false">
      <c r="A32" s="79" t="s">
        <v>15</v>
      </c>
      <c r="B32" s="267" t="str">
        <f aca="false">Projects!$G$10</f>
        <v>Yes</v>
      </c>
      <c r="C32" s="266" t="n">
        <v>21263405</v>
      </c>
      <c r="D32" s="79" t="s">
        <v>910</v>
      </c>
      <c r="E32" s="79" t="s">
        <v>912</v>
      </c>
      <c r="F32" s="79" t="s">
        <v>571</v>
      </c>
      <c r="G32" s="79" t="s">
        <v>572</v>
      </c>
      <c r="H32" s="3"/>
      <c r="I32" s="3"/>
    </row>
    <row r="33" customFormat="false" ht="15" hidden="false" customHeight="true" outlineLevel="0" collapsed="false">
      <c r="A33" s="79" t="s">
        <v>16</v>
      </c>
      <c r="B33" s="267" t="str">
        <f aca="false">Projects!$G$11</f>
        <v>Yes</v>
      </c>
      <c r="C33" s="266" t="n">
        <v>9577109</v>
      </c>
      <c r="D33" s="79" t="s">
        <v>907</v>
      </c>
      <c r="E33" s="79" t="s">
        <v>912</v>
      </c>
      <c r="F33" s="79" t="s">
        <v>572</v>
      </c>
      <c r="G33" s="79" t="s">
        <v>571</v>
      </c>
      <c r="H33" s="3"/>
      <c r="I33" s="3"/>
    </row>
    <row r="34" customFormat="false" ht="15" hidden="false" customHeight="true" outlineLevel="0" collapsed="false">
      <c r="A34" s="79" t="s">
        <v>17</v>
      </c>
      <c r="B34" s="267" t="str">
        <f aca="false">Projects!$G$12</f>
        <v>Yes</v>
      </c>
      <c r="C34" s="266" t="n">
        <v>7545203</v>
      </c>
      <c r="D34" s="79" t="s">
        <v>907</v>
      </c>
      <c r="E34" s="79" t="s">
        <v>912</v>
      </c>
      <c r="F34" s="79" t="s">
        <v>572</v>
      </c>
      <c r="G34" s="79" t="s">
        <v>571</v>
      </c>
      <c r="H34" s="3"/>
      <c r="I34" s="3"/>
    </row>
    <row r="35" customFormat="false" ht="15" hidden="false" customHeight="true" outlineLevel="0" collapsed="false">
      <c r="A35" s="79" t="s">
        <v>18</v>
      </c>
      <c r="B35" s="267" t="str">
        <f aca="false">Projects!$G$13</f>
        <v>Yes</v>
      </c>
      <c r="C35" s="266" t="n">
        <v>45266770</v>
      </c>
      <c r="D35" s="79" t="s">
        <v>907</v>
      </c>
      <c r="E35" s="79" t="s">
        <v>914</v>
      </c>
      <c r="F35" s="79" t="s">
        <v>572</v>
      </c>
      <c r="G35" s="79" t="s">
        <v>572</v>
      </c>
      <c r="H35" s="3"/>
      <c r="I35" s="3"/>
    </row>
    <row r="36" customFormat="false" ht="15" hidden="false" customHeight="true" outlineLevel="0" collapsed="false">
      <c r="A36" s="79" t="s">
        <v>19</v>
      </c>
      <c r="B36" s="267" t="str">
        <f aca="false">Projects!$G$14</f>
        <v>Yes</v>
      </c>
      <c r="C36" s="266" t="n">
        <v>41354632</v>
      </c>
      <c r="D36" s="79" t="s">
        <v>907</v>
      </c>
      <c r="E36" s="79" t="s">
        <v>914</v>
      </c>
      <c r="F36" s="79" t="s">
        <v>572</v>
      </c>
      <c r="G36" s="79" t="s">
        <v>572</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915</v>
      </c>
      <c r="B39" s="4"/>
      <c r="C39" s="4"/>
      <c r="D39" s="4"/>
      <c r="E39" s="4"/>
      <c r="F39" s="4"/>
      <c r="G39" s="4"/>
      <c r="H39" s="4"/>
      <c r="I39" s="4"/>
    </row>
    <row r="40" customFormat="false" ht="15" hidden="false" customHeight="true" outlineLevel="0" collapsed="false">
      <c r="A40" s="23" t="s">
        <v>916</v>
      </c>
      <c r="B40" s="268" t="s">
        <v>268</v>
      </c>
      <c r="C40" s="268" t="s">
        <v>269</v>
      </c>
      <c r="D40" s="268" t="s">
        <v>270</v>
      </c>
      <c r="E40" s="268" t="s">
        <v>271</v>
      </c>
      <c r="F40" s="268" t="s">
        <v>272</v>
      </c>
      <c r="G40" s="268" t="s">
        <v>273</v>
      </c>
      <c r="H40" s="268" t="s">
        <v>274</v>
      </c>
      <c r="I40" s="268" t="s">
        <v>275</v>
      </c>
    </row>
    <row r="41" customFormat="false" ht="15" hidden="false" customHeight="true" outlineLevel="0" collapsed="false">
      <c r="A41" s="250" t="s">
        <v>917</v>
      </c>
      <c r="B41" s="251" t="n">
        <f aca="false">'Annual Summary'!B7</f>
        <v>56964925.6938817</v>
      </c>
      <c r="C41" s="251" t="n">
        <f aca="false">'Annual Summary'!C7</f>
        <v>114422609.867874</v>
      </c>
      <c r="D41" s="251" t="n">
        <f aca="false">'Annual Summary'!D7</f>
        <v>122348447.804248</v>
      </c>
      <c r="E41" s="251" t="n">
        <f aca="false">'Annual Summary'!E7</f>
        <v>40094438.7517072</v>
      </c>
      <c r="F41" s="251" t="n">
        <f aca="false">'Annual Summary'!F7</f>
        <v>13258749.920152</v>
      </c>
      <c r="G41" s="251" t="n">
        <f aca="false">'Annual Summary'!G7</f>
        <v>0</v>
      </c>
      <c r="H41" s="251" t="n">
        <f aca="false">'Annual Summary'!H7</f>
        <v>0</v>
      </c>
      <c r="I41" s="251" t="n">
        <f aca="false">'Annual Summary'!I7</f>
        <v>0</v>
      </c>
    </row>
    <row r="42" customFormat="false" ht="15" hidden="false" customHeight="true" outlineLevel="0" collapsed="false">
      <c r="A42" s="42" t="s">
        <v>98</v>
      </c>
      <c r="B42" s="269" t="n">
        <f aca="false">'Annual Summary'!B22</f>
        <v>2163919.66254232</v>
      </c>
      <c r="C42" s="269" t="n">
        <f aca="false">'Annual Summary'!C22</f>
        <v>4352716.76010685</v>
      </c>
      <c r="D42" s="269" t="n">
        <f aca="false">'Annual Summary'!D22</f>
        <v>6489649.4307129</v>
      </c>
      <c r="E42" s="269" t="n">
        <f aca="false">'Annual Summary'!E22</f>
        <v>344295.52710434</v>
      </c>
      <c r="F42" s="269" t="n">
        <f aca="false">'Annual Summary'!F22</f>
        <v>-2936383.27425205</v>
      </c>
      <c r="G42" s="269" t="n">
        <f aca="false">'Annual Summary'!G22</f>
        <v>-5017967.1108389</v>
      </c>
      <c r="H42" s="269" t="n">
        <f aca="false">'Annual Summary'!H22</f>
        <v>-5118326.45305568</v>
      </c>
      <c r="I42" s="269" t="n">
        <f aca="false">'Annual Summary'!I22</f>
        <v>-5220692.98211679</v>
      </c>
    </row>
    <row r="43" customFormat="false" ht="15" hidden="false" customHeight="true" outlineLevel="0" collapsed="false">
      <c r="A43" s="79" t="s">
        <v>918</v>
      </c>
      <c r="B43" s="258" t="n">
        <f aca="false">'Annual Summary'!B23</f>
        <v>0.0379868776476739</v>
      </c>
      <c r="C43" s="258" t="n">
        <f aca="false">'Annual Summary'!C23</f>
        <v>0.0380407051118047</v>
      </c>
      <c r="D43" s="258" t="n">
        <f aca="false">'Annual Summary'!D23</f>
        <v>0.0530423519642527</v>
      </c>
      <c r="E43" s="258" t="n">
        <f aca="false">'Annual Summary'!E23</f>
        <v>0.00858711426880068</v>
      </c>
      <c r="F43" s="258" t="n">
        <f aca="false">'Annual Summary'!F23</f>
        <v>-0.221467581177396</v>
      </c>
      <c r="G43" s="258" t="n">
        <f aca="false">'Annual Summary'!G23</f>
        <v>0</v>
      </c>
      <c r="H43" s="258" t="n">
        <f aca="false">'Annual Summary'!H23</f>
        <v>0</v>
      </c>
      <c r="I43" s="258"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50" t="s">
        <v>100</v>
      </c>
      <c r="B45" s="251" t="n">
        <f aca="false">'Annual Summary'!B25</f>
        <v>615805.64</v>
      </c>
      <c r="C45" s="251" t="n">
        <f aca="false">'Annual Summary'!C25</f>
        <v>716620.984090226</v>
      </c>
      <c r="D45" s="251" t="n">
        <f aca="false">'Annual Summary'!D25</f>
        <v>1888501.08555263</v>
      </c>
      <c r="E45" s="251" t="n">
        <f aca="false">'Annual Summary'!E25</f>
        <v>1495059.0065</v>
      </c>
      <c r="F45" s="251" t="n">
        <f aca="false">'Annual Summary'!F25</f>
        <v>1826812.922</v>
      </c>
      <c r="G45" s="251" t="n">
        <f aca="false">'Annual Summary'!G25</f>
        <v>890965.433</v>
      </c>
      <c r="H45" s="251" t="n">
        <f aca="false">'Annual Summary'!H25</f>
        <v>819993</v>
      </c>
      <c r="I45" s="251" t="n">
        <f aca="false">'Annual Summary'!I25</f>
        <v>2310160</v>
      </c>
    </row>
    <row r="46" customFormat="false" ht="15" hidden="false" customHeight="true" outlineLevel="0" collapsed="false">
      <c r="A46" s="42" t="s">
        <v>138</v>
      </c>
      <c r="B46" s="269" t="n">
        <f aca="false">'Annual Summary'!B27</f>
        <v>-1754300.95333333</v>
      </c>
      <c r="C46" s="269" t="n">
        <f aca="false">'Annual Summary'!C27</f>
        <v>-1531103.51990977</v>
      </c>
      <c r="D46" s="269" t="n">
        <f aca="false">'Annual Summary'!D27</f>
        <v>-402977.908527369</v>
      </c>
      <c r="E46" s="269" t="n">
        <f aca="false">'Annual Summary'!E27</f>
        <v>-1004414.5674616</v>
      </c>
      <c r="F46" s="269" t="n">
        <f aca="false">'Annual Summary'!F27</f>
        <v>-1831774.82344083</v>
      </c>
      <c r="G46" s="269" t="n">
        <f aca="false">'Annual Summary'!G27</f>
        <v>-1962645.57734965</v>
      </c>
      <c r="H46" s="269" t="n">
        <f aca="false">'Annual Summary'!H27</f>
        <v>-2186902.62755664</v>
      </c>
      <c r="I46" s="269" t="n">
        <f aca="false">'Annual Summary'!I27</f>
        <v>-1019877.0935013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2" t="s">
        <v>144</v>
      </c>
      <c r="B48" s="269" t="n">
        <f aca="false">'Annual Summary'!B29</f>
        <v>409618.70920899</v>
      </c>
      <c r="C48" s="269" t="n">
        <f aca="false">'Annual Summary'!C29</f>
        <v>2821613.24019707</v>
      </c>
      <c r="D48" s="269" t="n">
        <f aca="false">'Annual Summary'!D29</f>
        <v>6086671.52218553</v>
      </c>
      <c r="E48" s="269" t="n">
        <f aca="false">'Annual Summary'!E29</f>
        <v>-660119.04035726</v>
      </c>
      <c r="F48" s="269" t="n">
        <f aca="false">'Annual Summary'!F29</f>
        <v>-4768158.09769289</v>
      </c>
      <c r="G48" s="269" t="n">
        <f aca="false">'Annual Summary'!G29</f>
        <v>-6980612.68818855</v>
      </c>
      <c r="H48" s="269" t="n">
        <f aca="false">'Annual Summary'!H29</f>
        <v>-7305229.08061232</v>
      </c>
      <c r="I48" s="269" t="n">
        <f aca="false">'Annual Summary'!I29</f>
        <v>-6240570.07561809</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70" t="s">
        <v>919</v>
      </c>
      <c r="B50" s="271" t="n">
        <f aca="false">'Annual Summary'!B51</f>
        <v>2229655.31378602</v>
      </c>
      <c r="C50" s="271" t="n">
        <f aca="false">'Annual Summary'!C51</f>
        <v>1601964.56229008</v>
      </c>
      <c r="D50" s="271" t="n">
        <f aca="false">'Annual Summary'!D51</f>
        <v>7163870.91730815</v>
      </c>
      <c r="E50" s="271" t="n">
        <f aca="false">'Annual Summary'!E51</f>
        <v>7426210.35051521</v>
      </c>
      <c r="F50" s="271" t="n">
        <f aca="false">'Annual Summary'!F51</f>
        <v>2965488.55251601</v>
      </c>
      <c r="G50" s="271" t="n">
        <f aca="false">'Annual Summary'!G51</f>
        <v>-4015124.13567255</v>
      </c>
      <c r="H50" s="271" t="n">
        <f aca="false">'Annual Summary'!H51</f>
        <v>-11320353.2162849</v>
      </c>
      <c r="I50" s="271" t="n">
        <f aca="false">'Annual Summary'!I51</f>
        <v>-17560923.291903</v>
      </c>
    </row>
    <row r="51" customFormat="false" ht="15" hidden="false" customHeight="true" outlineLevel="0" collapsed="false">
      <c r="A51" s="270" t="s">
        <v>188</v>
      </c>
      <c r="B51" s="271" t="n">
        <f aca="false">'Annual Summary'!B48</f>
        <v>2168054.84711936</v>
      </c>
      <c r="C51" s="271" t="n">
        <f aca="false">'Annual Summary'!C48</f>
        <v>4415467.61553319</v>
      </c>
      <c r="D51" s="271" t="n">
        <f aca="false">'Annual Summary'!D48</f>
        <v>11282333.3093572</v>
      </c>
      <c r="E51" s="271" t="n">
        <f aca="false">'Annual Summary'!E48</f>
        <v>12799087.3100259</v>
      </c>
      <c r="F51" s="271" t="n">
        <f aca="false">'Annual Summary'!F48</f>
        <v>10170140.3354675</v>
      </c>
      <c r="G51" s="271" t="n">
        <f aca="false">'Annual Summary'!G48</f>
        <v>5152173.22462861</v>
      </c>
      <c r="H51" s="271" t="n">
        <f aca="false">'Annual Summary'!H48</f>
        <v>33846.7715729334</v>
      </c>
      <c r="I51" s="271" t="n">
        <f aca="false">'Annual Summary'!I48</f>
        <v>-5186846.21054386</v>
      </c>
    </row>
    <row r="52" customFormat="false" ht="15" hidden="false" customHeight="true" outlineLevel="0" collapsed="false">
      <c r="A52" s="270" t="s">
        <v>195</v>
      </c>
      <c r="B52" s="271" t="n">
        <f aca="false">'Annual Summary'!B49</f>
        <v>61600.4666666667</v>
      </c>
      <c r="C52" s="271" t="n">
        <f aca="false">'Annual Summary'!C49</f>
        <v>-2813503.05324311</v>
      </c>
      <c r="D52" s="271" t="n">
        <f aca="false">'Annual Summary'!D49</f>
        <v>-4118462.39204908</v>
      </c>
      <c r="E52" s="271" t="n">
        <f aca="false">'Annual Summary'!E49</f>
        <v>-5372876.95951068</v>
      </c>
      <c r="F52" s="271" t="n">
        <f aca="false">'Annual Summary'!F49</f>
        <v>-7204651.78295151</v>
      </c>
      <c r="G52" s="271" t="n">
        <f aca="false">'Annual Summary'!G49</f>
        <v>-9167297.36030116</v>
      </c>
      <c r="H52" s="271" t="n">
        <f aca="false">'Annual Summary'!H49</f>
        <v>-11354199.9878578</v>
      </c>
      <c r="I52" s="271" t="n">
        <f aca="false">'Annual Summary'!I49</f>
        <v>-12374077.0813591</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176</v>
      </c>
      <c r="B54" s="249" t="n">
        <f aca="false">'Annual Summary'!B46</f>
        <v>93841157.4299332</v>
      </c>
      <c r="C54" s="249" t="n">
        <f aca="false">'Annual Summary'!C46</f>
        <v>101419054.905732</v>
      </c>
      <c r="D54" s="249" t="n">
        <f aca="false">'Annual Summary'!D46</f>
        <v>48459510.652485</v>
      </c>
      <c r="E54" s="249" t="n">
        <f aca="false">'Annual Summary'!E46</f>
        <v>13258584.501624</v>
      </c>
      <c r="F54" s="249" t="n">
        <f aca="false">'Annual Summary'!F46</f>
        <v>0</v>
      </c>
      <c r="G54" s="249" t="n">
        <f aca="false">'Annual Summary'!G46</f>
        <v>0</v>
      </c>
      <c r="H54" s="249" t="n">
        <f aca="false">'Annual Summary'!H46</f>
        <v>0</v>
      </c>
      <c r="I54" s="249" t="n">
        <f aca="false">'Annual Summary'!I46</f>
        <v>0</v>
      </c>
    </row>
    <row r="55" customFormat="false" ht="15" hidden="false" customHeight="true" outlineLevel="0" collapsed="false">
      <c r="A55" s="79" t="s">
        <v>920</v>
      </c>
      <c r="B55" s="249" t="n">
        <f aca="false">'Annual Summary'!B44</f>
        <v>2378399.92018311</v>
      </c>
      <c r="C55" s="249" t="n">
        <f aca="false">'Annual Summary'!C44</f>
        <v>1714451.09866009</v>
      </c>
      <c r="D55" s="249" t="n">
        <f aca="false">'Annual Summary'!D44</f>
        <v>1035128.51554915</v>
      </c>
      <c r="E55" s="249" t="n">
        <f aca="false">'Annual Summary'!E44</f>
        <v>1199352.08415979</v>
      </c>
      <c r="F55" s="249" t="n">
        <f aca="false">'Annual Summary'!F44</f>
        <v>975331.495449082</v>
      </c>
      <c r="G55" s="249" t="n">
        <f aca="false">'Annual Summary'!G44</f>
        <v>820735.28594806</v>
      </c>
      <c r="H55" s="249" t="n">
        <f aca="false">'Annual Summary'!H44</f>
        <v>621470.381107174</v>
      </c>
      <c r="I55" s="249" t="n">
        <f aca="false">'Annual Summary'!I44</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921</v>
      </c>
      <c r="B58" s="4"/>
      <c r="C58" s="4"/>
      <c r="D58" s="4"/>
      <c r="E58" s="4"/>
      <c r="F58" s="4"/>
      <c r="G58" s="4"/>
      <c r="H58" s="3"/>
      <c r="I58" s="3"/>
    </row>
    <row r="59" customFormat="false" ht="15" hidden="false" customHeight="true" outlineLevel="0" collapsed="false">
      <c r="A59" s="69" t="s">
        <v>922</v>
      </c>
      <c r="B59" s="3"/>
      <c r="C59" s="3"/>
      <c r="D59" s="3"/>
      <c r="E59" s="3"/>
      <c r="F59" s="3"/>
      <c r="G59" s="3"/>
      <c r="H59" s="3"/>
      <c r="I59" s="3"/>
    </row>
    <row r="60" customFormat="false" ht="15" hidden="false" customHeight="true" outlineLevel="0" collapsed="false">
      <c r="A60" s="272" t="s">
        <v>923</v>
      </c>
      <c r="B60" s="273" t="n">
        <v>0.07</v>
      </c>
      <c r="C60" s="273" t="n">
        <v>0.08</v>
      </c>
      <c r="D60" s="273" t="n">
        <v>0.092</v>
      </c>
      <c r="E60" s="273" t="n">
        <v>0.1</v>
      </c>
      <c r="F60" s="273" t="n">
        <v>0.12</v>
      </c>
      <c r="G60" s="3"/>
      <c r="H60" s="3"/>
      <c r="I60" s="3"/>
    </row>
    <row r="61" customFormat="false" ht="15" hidden="false" customHeight="true" outlineLevel="0" collapsed="false">
      <c r="A61" s="274" t="n">
        <v>0.1</v>
      </c>
      <c r="B61" s="262" t="n">
        <v>21535794</v>
      </c>
      <c r="C61" s="262" t="n">
        <v>21353287</v>
      </c>
      <c r="D61" s="262" t="n">
        <v>21138321</v>
      </c>
      <c r="E61" s="262" t="n">
        <v>20997399</v>
      </c>
      <c r="F61" s="262" t="n">
        <v>20653180</v>
      </c>
      <c r="G61" s="3"/>
      <c r="H61" s="3"/>
      <c r="I61" s="3"/>
    </row>
    <row r="62" customFormat="false" ht="15" hidden="false" customHeight="true" outlineLevel="0" collapsed="false">
      <c r="A62" s="274" t="n">
        <v>0.12</v>
      </c>
      <c r="B62" s="262" t="n">
        <v>25408618</v>
      </c>
      <c r="C62" s="262" t="n">
        <v>25196879</v>
      </c>
      <c r="D62" s="262" t="n">
        <v>24947405</v>
      </c>
      <c r="E62" s="262" t="n">
        <v>24783816</v>
      </c>
      <c r="F62" s="262" t="n">
        <v>24384077</v>
      </c>
      <c r="G62" s="3"/>
      <c r="H62" s="3"/>
      <c r="I62" s="3"/>
    </row>
    <row r="63" customFormat="false" ht="15" hidden="false" customHeight="true" outlineLevel="0" collapsed="false">
      <c r="A63" s="274" t="n">
        <v>0.14</v>
      </c>
      <c r="B63" s="262" t="n">
        <v>29153414</v>
      </c>
      <c r="C63" s="262" t="n">
        <v>28914451</v>
      </c>
      <c r="D63" s="275" t="n">
        <v>28632817</v>
      </c>
      <c r="E63" s="262" t="n">
        <v>28448089</v>
      </c>
      <c r="F63" s="262" t="n">
        <v>27996532</v>
      </c>
      <c r="G63" s="3"/>
      <c r="H63" s="3"/>
      <c r="I63" s="3"/>
    </row>
    <row r="64" customFormat="false" ht="15" hidden="false" customHeight="true" outlineLevel="0" collapsed="false">
      <c r="A64" s="274" t="n">
        <v>0.16</v>
      </c>
      <c r="B64" s="262" t="n">
        <v>32776428</v>
      </c>
      <c r="C64" s="262" t="n">
        <v>32512102</v>
      </c>
      <c r="D64" s="262" t="n">
        <v>32200484</v>
      </c>
      <c r="E64" s="262" t="n">
        <v>31996037</v>
      </c>
      <c r="F64" s="262" t="n">
        <v>31496099</v>
      </c>
      <c r="G64" s="3"/>
      <c r="H64" s="3"/>
      <c r="I64" s="3"/>
    </row>
    <row r="65" customFormat="false" ht="15" hidden="false" customHeight="true" outlineLevel="0" collapsed="false">
      <c r="A65" s="274" t="n">
        <v>0.18</v>
      </c>
      <c r="B65" s="262" t="n">
        <v>36283506</v>
      </c>
      <c r="C65" s="262" t="n">
        <v>35995542</v>
      </c>
      <c r="D65" s="262" t="n">
        <v>35655961</v>
      </c>
      <c r="E65" s="262" t="n">
        <v>35433111</v>
      </c>
      <c r="F65" s="262"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924</v>
      </c>
      <c r="B68" s="4"/>
      <c r="C68" s="4"/>
      <c r="D68" s="4"/>
      <c r="E68" s="4"/>
      <c r="F68" s="4"/>
      <c r="G68" s="3"/>
      <c r="H68" s="3"/>
      <c r="I68" s="3"/>
    </row>
    <row r="69" customFormat="false" ht="15" hidden="false" customHeight="true" outlineLevel="0" collapsed="false">
      <c r="A69" s="23" t="s">
        <v>925</v>
      </c>
      <c r="B69" s="23" t="s">
        <v>926</v>
      </c>
      <c r="C69" s="23" t="s">
        <v>927</v>
      </c>
      <c r="D69" s="23" t="s">
        <v>928</v>
      </c>
      <c r="E69" s="23" t="s">
        <v>929</v>
      </c>
      <c r="F69" s="23" t="s">
        <v>930</v>
      </c>
      <c r="G69" s="3"/>
      <c r="H69" s="3"/>
      <c r="I69" s="3"/>
    </row>
    <row r="70" customFormat="false" ht="15" hidden="false" customHeight="true" outlineLevel="0" collapsed="false">
      <c r="A70" s="79" t="s">
        <v>931</v>
      </c>
      <c r="B70" s="266" t="n">
        <f aca="false">'Annual Summary'!B48</f>
        <v>2168054.84711936</v>
      </c>
      <c r="C70" s="262" t="n">
        <f aca="false">'Annual Summary'!C48</f>
        <v>4415467.61553319</v>
      </c>
      <c r="D70" s="262" t="n">
        <f aca="false">'Annual Summary'!E48</f>
        <v>12799087.3100259</v>
      </c>
      <c r="E70" s="262" t="n">
        <f aca="false">'Annual Summary'!G48</f>
        <v>5152173.22462861</v>
      </c>
      <c r="F70" s="262" t="n">
        <f aca="false">'Annual Summary'!I48</f>
        <v>-5186846.21054386</v>
      </c>
      <c r="G70" s="3"/>
      <c r="H70" s="3"/>
      <c r="I70" s="3"/>
    </row>
    <row r="71" customFormat="false" ht="15" hidden="false" customHeight="true" outlineLevel="0" collapsed="false">
      <c r="A71" s="79" t="s">
        <v>932</v>
      </c>
      <c r="B71" s="266" t="n">
        <f aca="false">'Annual Summary'!B49</f>
        <v>61600.4666666667</v>
      </c>
      <c r="C71" s="262" t="n">
        <f aca="false">'Annual Summary'!C49</f>
        <v>-2813503.05324311</v>
      </c>
      <c r="D71" s="262" t="n">
        <f aca="false">'Annual Summary'!E49</f>
        <v>-5372876.95951068</v>
      </c>
      <c r="E71" s="262" t="n">
        <f aca="false">'Annual Summary'!G49</f>
        <v>-9167297.36030116</v>
      </c>
      <c r="F71" s="262" t="n">
        <f aca="false">'Annual Summary'!I49</f>
        <v>-12374077.0813591</v>
      </c>
      <c r="G71" s="3"/>
      <c r="H71" s="3"/>
      <c r="I71" s="3"/>
    </row>
    <row r="72" customFormat="false" ht="15" hidden="false" customHeight="true" outlineLevel="0" collapsed="false">
      <c r="A72" s="270" t="s">
        <v>933</v>
      </c>
      <c r="B72" s="276" t="n">
        <f aca="false">'Annual Summary'!B51</f>
        <v>2229655.31378602</v>
      </c>
      <c r="C72" s="277" t="n">
        <f aca="false">'Annual Summary'!C51</f>
        <v>1601964.56229008</v>
      </c>
      <c r="D72" s="277" t="n">
        <f aca="false">'Annual Summary'!E51</f>
        <v>7426210.35051521</v>
      </c>
      <c r="E72" s="277" t="n">
        <f aca="false">'Annual Summary'!G51</f>
        <v>-4015124.13567255</v>
      </c>
      <c r="F72" s="277" t="n">
        <f aca="false">'Annual Summary'!I51</f>
        <v>-17560923.291903</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934</v>
      </c>
      <c r="B75" s="4"/>
      <c r="C75" s="4"/>
      <c r="D75" s="4"/>
      <c r="E75" s="4"/>
      <c r="F75" s="4"/>
      <c r="G75" s="3"/>
      <c r="H75" s="3"/>
      <c r="I75" s="3"/>
    </row>
    <row r="76" customFormat="false" ht="15" hidden="false" customHeight="true" outlineLevel="0" collapsed="false">
      <c r="A76" s="23" t="s">
        <v>550</v>
      </c>
      <c r="B76" s="23" t="s">
        <v>935</v>
      </c>
      <c r="C76" s="23" t="s">
        <v>936</v>
      </c>
      <c r="D76" s="23" t="s">
        <v>937</v>
      </c>
      <c r="E76" s="23" t="s">
        <v>938</v>
      </c>
      <c r="F76" s="23" t="s">
        <v>939</v>
      </c>
      <c r="G76" s="3"/>
      <c r="H76" s="3"/>
      <c r="I76" s="3"/>
    </row>
    <row r="77" customFormat="false" ht="15" hidden="false" customHeight="true" outlineLevel="0" collapsed="false">
      <c r="A77" s="79" t="s">
        <v>16</v>
      </c>
      <c r="B77" s="254" t="n">
        <v>95771</v>
      </c>
      <c r="C77" s="254" t="n">
        <v>60000</v>
      </c>
      <c r="D77" s="254" t="n">
        <v>0</v>
      </c>
      <c r="E77" s="252" t="n">
        <v>155771</v>
      </c>
      <c r="F77" s="69" t="s">
        <v>940</v>
      </c>
      <c r="G77" s="3"/>
      <c r="H77" s="3"/>
      <c r="I77" s="3"/>
    </row>
    <row r="78" customFormat="false" ht="15" hidden="false" customHeight="true" outlineLevel="0" collapsed="false">
      <c r="A78" s="79" t="s">
        <v>17</v>
      </c>
      <c r="B78" s="254" t="n">
        <v>75452</v>
      </c>
      <c r="C78" s="254" t="n">
        <v>60000</v>
      </c>
      <c r="D78" s="254" t="n">
        <v>0</v>
      </c>
      <c r="E78" s="252" t="n">
        <v>135452</v>
      </c>
      <c r="F78" s="69" t="s">
        <v>940</v>
      </c>
      <c r="G78" s="3"/>
      <c r="H78" s="3"/>
      <c r="I78" s="3"/>
    </row>
    <row r="79" customFormat="false" ht="15" hidden="false" customHeight="true" outlineLevel="0" collapsed="false">
      <c r="A79" s="79" t="s">
        <v>12</v>
      </c>
      <c r="B79" s="254" t="n">
        <v>579684</v>
      </c>
      <c r="C79" s="254" t="n">
        <v>150000</v>
      </c>
      <c r="D79" s="254" t="n">
        <v>0</v>
      </c>
      <c r="E79" s="252" t="n">
        <v>729684</v>
      </c>
      <c r="F79" s="69" t="s">
        <v>941</v>
      </c>
      <c r="G79" s="3"/>
      <c r="H79" s="3"/>
      <c r="I79" s="3"/>
    </row>
    <row r="80" customFormat="false" ht="15" hidden="false" customHeight="true" outlineLevel="0" collapsed="false">
      <c r="A80" s="79" t="s">
        <v>18</v>
      </c>
      <c r="B80" s="254" t="n">
        <v>602668</v>
      </c>
      <c r="C80" s="254" t="n">
        <v>150000</v>
      </c>
      <c r="D80" s="254" t="n">
        <v>1450000</v>
      </c>
      <c r="E80" s="252" t="n">
        <v>752668</v>
      </c>
      <c r="F80" s="69" t="s">
        <v>941</v>
      </c>
      <c r="G80" s="3"/>
      <c r="H80" s="3"/>
      <c r="I80" s="3"/>
    </row>
    <row r="81" customFormat="false" ht="15" hidden="false" customHeight="true" outlineLevel="0" collapsed="false">
      <c r="A81" s="79" t="s">
        <v>19</v>
      </c>
      <c r="B81" s="254" t="n">
        <v>563546</v>
      </c>
      <c r="C81" s="254" t="n">
        <v>150000</v>
      </c>
      <c r="D81" s="254" t="n">
        <v>0</v>
      </c>
      <c r="E81" s="252" t="n">
        <v>713546</v>
      </c>
      <c r="F81" s="69" t="s">
        <v>942</v>
      </c>
      <c r="G81" s="3"/>
      <c r="H81" s="3"/>
      <c r="I81" s="3"/>
    </row>
    <row r="82" customFormat="false" ht="15" hidden="false" customHeight="true" outlineLevel="0" collapsed="false">
      <c r="A82" s="250" t="s">
        <v>539</v>
      </c>
      <c r="B82" s="251" t="n">
        <v>1917121</v>
      </c>
      <c r="C82" s="251" t="n">
        <v>570000</v>
      </c>
      <c r="D82" s="251" t="n">
        <v>1450000</v>
      </c>
      <c r="E82" s="251" t="n">
        <v>2487121</v>
      </c>
      <c r="F82" s="250"/>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943</v>
      </c>
      <c r="B85" s="4"/>
      <c r="C85" s="4"/>
      <c r="D85" s="4"/>
      <c r="E85" s="4"/>
      <c r="F85" s="4"/>
      <c r="G85" s="4"/>
      <c r="H85" s="3"/>
      <c r="I85" s="3"/>
    </row>
    <row r="86" customFormat="false" ht="15" hidden="false" customHeight="true" outlineLevel="0" collapsed="false">
      <c r="A86" s="79" t="s">
        <v>944</v>
      </c>
      <c r="B86" s="266" t="n">
        <v>86621402</v>
      </c>
      <c r="C86" s="3"/>
      <c r="D86" s="3"/>
      <c r="E86" s="3"/>
      <c r="F86" s="3"/>
      <c r="G86" s="3"/>
      <c r="H86" s="3"/>
      <c r="I86" s="3"/>
    </row>
    <row r="87" customFormat="false" ht="15" hidden="false" customHeight="true" outlineLevel="0" collapsed="false">
      <c r="A87" s="79" t="s">
        <v>945</v>
      </c>
      <c r="B87" s="278" t="n">
        <v>0.0325</v>
      </c>
      <c r="C87" s="3"/>
      <c r="D87" s="3"/>
      <c r="E87" s="3"/>
      <c r="F87" s="3"/>
      <c r="G87" s="3"/>
      <c r="H87" s="3"/>
      <c r="I87" s="3"/>
    </row>
    <row r="88" customFormat="false" ht="15" hidden="false" customHeight="true" outlineLevel="0" collapsed="false">
      <c r="A88" s="79" t="s">
        <v>946</v>
      </c>
      <c r="B88" s="259" t="n">
        <v>0.015</v>
      </c>
      <c r="C88" s="3"/>
      <c r="D88" s="3"/>
      <c r="E88" s="3"/>
      <c r="F88" s="3"/>
      <c r="G88" s="3"/>
      <c r="H88" s="3"/>
      <c r="I88" s="3"/>
    </row>
    <row r="89" customFormat="false" ht="15" hidden="false" customHeight="true" outlineLevel="0" collapsed="false">
      <c r="A89" s="23"/>
      <c r="B89" s="23" t="s">
        <v>268</v>
      </c>
      <c r="C89" s="23" t="s">
        <v>269</v>
      </c>
      <c r="D89" s="23" t="s">
        <v>270</v>
      </c>
      <c r="E89" s="23" t="s">
        <v>271</v>
      </c>
      <c r="F89" s="23" t="s">
        <v>476</v>
      </c>
      <c r="G89" s="3"/>
      <c r="H89" s="3"/>
      <c r="I89" s="3"/>
    </row>
    <row r="90" customFormat="false" ht="15" hidden="false" customHeight="true" outlineLevel="0" collapsed="false">
      <c r="A90" s="253" t="s">
        <v>947</v>
      </c>
      <c r="B90" s="254" t="n">
        <v>0</v>
      </c>
      <c r="C90" s="254" t="n">
        <v>-956261</v>
      </c>
      <c r="D90" s="254" t="n">
        <v>-1465718</v>
      </c>
      <c r="E90" s="254" t="n">
        <v>-967911</v>
      </c>
      <c r="F90" s="254" t="n">
        <v>-3389890</v>
      </c>
      <c r="G90" s="3"/>
      <c r="H90" s="3"/>
      <c r="I90" s="3"/>
    </row>
    <row r="91" customFormat="false" ht="15" hidden="false" customHeight="true" outlineLevel="0" collapsed="false">
      <c r="A91" s="267" t="s">
        <v>948</v>
      </c>
      <c r="B91" s="249" t="n">
        <v>0</v>
      </c>
      <c r="C91" s="249" t="n">
        <v>-441351</v>
      </c>
      <c r="D91" s="249" t="n">
        <v>-676485</v>
      </c>
      <c r="E91" s="249" t="n">
        <v>-446728</v>
      </c>
      <c r="F91" s="249" t="n">
        <v>-1564564</v>
      </c>
      <c r="G91" s="3"/>
      <c r="H91" s="3"/>
      <c r="I91" s="3"/>
    </row>
    <row r="92" customFormat="false" ht="15" hidden="false" customHeight="true" outlineLevel="0" collapsed="false">
      <c r="A92" s="250" t="s">
        <v>949</v>
      </c>
      <c r="B92" s="251" t="n">
        <v>0</v>
      </c>
      <c r="C92" s="251" t="n">
        <v>514910</v>
      </c>
      <c r="D92" s="251" t="n">
        <v>789233</v>
      </c>
      <c r="E92" s="251" t="n">
        <v>521183</v>
      </c>
      <c r="F92" s="251"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950</v>
      </c>
      <c r="B95" s="4"/>
      <c r="C95" s="4"/>
      <c r="D95" s="4"/>
      <c r="E95" s="4"/>
      <c r="F95" s="4"/>
      <c r="G95" s="4"/>
      <c r="H95" s="3"/>
      <c r="I95" s="3"/>
    </row>
    <row r="96" customFormat="false" ht="15" hidden="false" customHeight="true" outlineLevel="0" collapsed="false">
      <c r="A96" s="69" t="s">
        <v>951</v>
      </c>
      <c r="B96" s="3"/>
      <c r="C96" s="3"/>
      <c r="D96" s="3"/>
      <c r="E96" s="3"/>
      <c r="F96" s="3"/>
      <c r="G96" s="3"/>
      <c r="H96" s="3"/>
      <c r="I96" s="3"/>
    </row>
    <row r="97" customFormat="false" ht="15" hidden="false" customHeight="true" outlineLevel="0" collapsed="false">
      <c r="A97" s="23"/>
      <c r="B97" s="23" t="s">
        <v>268</v>
      </c>
      <c r="C97" s="23" t="s">
        <v>269</v>
      </c>
      <c r="D97" s="23" t="s">
        <v>270</v>
      </c>
      <c r="E97" s="23" t="s">
        <v>271</v>
      </c>
      <c r="F97" s="3"/>
      <c r="G97" s="3"/>
      <c r="H97" s="3"/>
      <c r="I97" s="3"/>
    </row>
    <row r="98" customFormat="false" ht="15" hidden="false" customHeight="true" outlineLevel="0" collapsed="false">
      <c r="A98" s="79" t="s">
        <v>952</v>
      </c>
      <c r="B98" s="262" t="n">
        <f aca="false">'Annual Summary'!B46</f>
        <v>93841157.4299332</v>
      </c>
      <c r="C98" s="262" t="n">
        <f aca="false">'Annual Summary'!C46</f>
        <v>101419054.905732</v>
      </c>
      <c r="D98" s="262" t="n">
        <f aca="false">'Annual Summary'!D46</f>
        <v>48459510.652485</v>
      </c>
      <c r="E98" s="262" t="n">
        <f aca="false">'Annual Summary'!E46</f>
        <v>13258584.501624</v>
      </c>
      <c r="F98" s="3"/>
      <c r="G98" s="3"/>
      <c r="H98" s="3"/>
      <c r="I98" s="3"/>
    </row>
    <row r="99" customFormat="false" ht="15" hidden="false" customHeight="true" outlineLevel="0" collapsed="false">
      <c r="A99" s="253" t="s">
        <v>953</v>
      </c>
      <c r="B99" s="254" t="n">
        <f aca="false">B98*0.025</f>
        <v>2346028.93574833</v>
      </c>
      <c r="C99" s="254" t="n">
        <f aca="false">C98*0.025</f>
        <v>2535476.3726433</v>
      </c>
      <c r="D99" s="254" t="n">
        <f aca="false">D98*0.025</f>
        <v>1211487.76631213</v>
      </c>
      <c r="E99" s="254" t="n">
        <f aca="false">E98*0.025</f>
        <v>331464.6125406</v>
      </c>
      <c r="F99" s="3"/>
      <c r="G99" s="3"/>
      <c r="H99" s="3"/>
      <c r="I99" s="3"/>
    </row>
    <row r="100" customFormat="false" ht="15" hidden="false" customHeight="true" outlineLevel="0" collapsed="false">
      <c r="A100" s="79" t="s">
        <v>954</v>
      </c>
      <c r="B100" s="262" t="n">
        <f aca="false">'Annual Summary'!B51</f>
        <v>2229655.31378602</v>
      </c>
      <c r="C100" s="262" t="n">
        <f aca="false">'Annual Summary'!C51</f>
        <v>1601964.56229008</v>
      </c>
      <c r="D100" s="262" t="n">
        <f aca="false">'Annual Summary'!D51</f>
        <v>7163870.91730815</v>
      </c>
      <c r="E100" s="262" t="n">
        <f aca="false">'Annual Summary'!E51</f>
        <v>7426210.35051521</v>
      </c>
      <c r="F100" s="3"/>
      <c r="G100" s="3"/>
      <c r="H100" s="3"/>
      <c r="I100" s="3"/>
    </row>
    <row r="101" customFormat="false" ht="15" hidden="false" customHeight="true" outlineLevel="0" collapsed="false">
      <c r="A101" s="79" t="s">
        <v>955</v>
      </c>
      <c r="B101" s="262" t="n">
        <f aca="false">'Annual Summary'!B22*0.05</f>
        <v>108195.983127116</v>
      </c>
      <c r="C101" s="262" t="n">
        <f aca="false">'Annual Summary'!C22*0.05</f>
        <v>217635.838005342</v>
      </c>
      <c r="D101" s="262" t="n">
        <f aca="false">'Annual Summary'!D22*0.05</f>
        <v>324482.471535645</v>
      </c>
      <c r="E101" s="262" t="n">
        <f aca="false">'Annual Summary'!E22*0.05</f>
        <v>17214.776355217</v>
      </c>
      <c r="F101" s="3"/>
      <c r="G101" s="3"/>
      <c r="H101" s="3"/>
      <c r="I101" s="3"/>
    </row>
    <row r="102" customFormat="false" ht="15" hidden="false" customHeight="true" outlineLevel="0" collapsed="false">
      <c r="A102" s="79" t="s">
        <v>956</v>
      </c>
      <c r="B102" s="262" t="n">
        <f aca="false">B100+B101</f>
        <v>2337851.29691314</v>
      </c>
      <c r="C102" s="262" t="n">
        <f aca="false">C100+C101</f>
        <v>1819600.40029543</v>
      </c>
      <c r="D102" s="262" t="n">
        <f aca="false">D100+D101</f>
        <v>7488353.38884379</v>
      </c>
      <c r="E102" s="262" t="n">
        <f aca="false">E100+E101</f>
        <v>7443425.12687043</v>
      </c>
      <c r="F102" s="3"/>
      <c r="G102" s="3"/>
      <c r="H102" s="3"/>
      <c r="I102" s="3"/>
    </row>
    <row r="103" customFormat="false" ht="15" hidden="false" customHeight="true" outlineLevel="0" collapsed="false">
      <c r="A103" s="250" t="s">
        <v>957</v>
      </c>
      <c r="B103" s="251" t="n">
        <f aca="false">B102-B99</f>
        <v>-8177.6388351894</v>
      </c>
      <c r="C103" s="251" t="n">
        <f aca="false">C102-C99</f>
        <v>-715875.972347874</v>
      </c>
      <c r="D103" s="251" t="n">
        <f aca="false">D102-D99</f>
        <v>6276865.62253167</v>
      </c>
      <c r="E103" s="251" t="n">
        <f aca="false">E102-E99</f>
        <v>7111960.51432983</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958</v>
      </c>
      <c r="B106" s="4"/>
      <c r="C106" s="4"/>
      <c r="D106" s="4"/>
      <c r="E106" s="4"/>
      <c r="F106" s="4"/>
      <c r="G106" s="4"/>
      <c r="H106" s="3"/>
      <c r="I106" s="3"/>
    </row>
    <row r="107" customFormat="false" ht="15" hidden="false" customHeight="true" outlineLevel="0" collapsed="false">
      <c r="A107" s="79" t="s">
        <v>959</v>
      </c>
      <c r="B107" s="266" t="n">
        <v>15179956</v>
      </c>
      <c r="C107" s="3"/>
      <c r="D107" s="3"/>
      <c r="E107" s="3"/>
      <c r="F107" s="3"/>
      <c r="G107" s="3"/>
      <c r="H107" s="3"/>
      <c r="I107" s="3"/>
    </row>
    <row r="108" customFormat="false" ht="15" hidden="false" customHeight="true" outlineLevel="0" collapsed="false">
      <c r="A108" s="79" t="s">
        <v>960</v>
      </c>
      <c r="B108" s="278" t="n">
        <v>0.1136</v>
      </c>
      <c r="C108" s="3"/>
      <c r="D108" s="3"/>
      <c r="E108" s="3"/>
      <c r="F108" s="3"/>
      <c r="G108" s="3"/>
      <c r="H108" s="3"/>
      <c r="I108" s="3"/>
    </row>
    <row r="109" customFormat="false" ht="15" hidden="false" customHeight="true" outlineLevel="0" collapsed="false">
      <c r="A109" s="79" t="s">
        <v>961</v>
      </c>
      <c r="B109" s="252" t="n">
        <v>1724443</v>
      </c>
      <c r="C109" s="3"/>
      <c r="D109" s="3"/>
      <c r="E109" s="3"/>
      <c r="F109" s="3"/>
      <c r="G109" s="3"/>
      <c r="H109" s="3"/>
      <c r="I109" s="3"/>
    </row>
    <row r="110" customFormat="false" ht="15" hidden="false" customHeight="true" outlineLevel="0" collapsed="false">
      <c r="A110" s="79" t="s">
        <v>962</v>
      </c>
      <c r="B110" s="279" t="n">
        <v>3</v>
      </c>
      <c r="C110" s="3"/>
      <c r="D110" s="3"/>
      <c r="E110" s="3"/>
      <c r="F110" s="3"/>
      <c r="G110" s="3"/>
      <c r="H110" s="3"/>
      <c r="I110" s="3"/>
    </row>
    <row r="111" customFormat="false" ht="15" hidden="false" customHeight="true" outlineLevel="0" collapsed="false">
      <c r="A111" s="250" t="s">
        <v>963</v>
      </c>
      <c r="B111" s="251" t="n">
        <v>45539868</v>
      </c>
      <c r="C111" s="250"/>
      <c r="D111" s="250"/>
      <c r="E111" s="250"/>
      <c r="F111" s="250"/>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964</v>
      </c>
      <c r="B113" s="3"/>
      <c r="C113" s="3"/>
      <c r="D113" s="3"/>
      <c r="E113" s="3"/>
      <c r="F113" s="3"/>
      <c r="G113" s="3"/>
      <c r="H113" s="3"/>
      <c r="I113" s="3"/>
    </row>
    <row r="114" customFormat="false" ht="15" hidden="false" customHeight="true" outlineLevel="0" collapsed="false">
      <c r="A114" s="23"/>
      <c r="B114" s="23" t="s">
        <v>269</v>
      </c>
      <c r="C114" s="23" t="s">
        <v>270</v>
      </c>
      <c r="D114" s="23" t="s">
        <v>271</v>
      </c>
      <c r="E114" s="23" t="s">
        <v>272</v>
      </c>
      <c r="F114" s="23" t="s">
        <v>476</v>
      </c>
      <c r="G114" s="3"/>
      <c r="H114" s="3"/>
      <c r="I114" s="3"/>
    </row>
    <row r="115" customFormat="false" ht="15" hidden="false" customHeight="true" outlineLevel="0" collapsed="false">
      <c r="A115" s="79" t="s">
        <v>965</v>
      </c>
      <c r="B115" s="262" t="n">
        <v>0</v>
      </c>
      <c r="C115" s="262" t="n">
        <v>1896887</v>
      </c>
      <c r="D115" s="262" t="n">
        <v>1379554</v>
      </c>
      <c r="E115" s="262" t="n">
        <v>172444</v>
      </c>
      <c r="F115" s="252" t="n">
        <v>3448885</v>
      </c>
      <c r="G115" s="3"/>
      <c r="H115" s="3"/>
      <c r="I115" s="3"/>
    </row>
    <row r="116" customFormat="false" ht="15" hidden="false" customHeight="true" outlineLevel="0" collapsed="false">
      <c r="A116" s="79" t="s">
        <v>966</v>
      </c>
      <c r="B116" s="262" t="n">
        <v>0</v>
      </c>
      <c r="C116" s="262" t="n">
        <v>603555</v>
      </c>
      <c r="D116" s="262" t="n">
        <v>948444</v>
      </c>
      <c r="E116" s="262" t="n">
        <v>172444</v>
      </c>
      <c r="F116" s="252" t="n">
        <v>1724443</v>
      </c>
      <c r="G116" s="3"/>
      <c r="H116" s="3"/>
      <c r="I116" s="3"/>
    </row>
    <row r="117" customFormat="false" ht="15" hidden="false" customHeight="true" outlineLevel="0" collapsed="false">
      <c r="A117" s="250" t="s">
        <v>967</v>
      </c>
      <c r="B117" s="251" t="n">
        <v>0</v>
      </c>
      <c r="C117" s="251" t="n">
        <v>2500442</v>
      </c>
      <c r="D117" s="251" t="n">
        <v>2327998</v>
      </c>
      <c r="E117" s="251" t="n">
        <v>344888</v>
      </c>
      <c r="F117" s="251"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968</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969</v>
      </c>
      <c r="B122" s="4"/>
      <c r="C122" s="4"/>
      <c r="D122" s="4"/>
      <c r="E122" s="4"/>
      <c r="F122" s="4"/>
      <c r="G122" s="4"/>
      <c r="H122" s="3"/>
      <c r="I122" s="3"/>
    </row>
    <row r="123" customFormat="false" ht="15" hidden="false" customHeight="true" outlineLevel="0" collapsed="false">
      <c r="A123" s="69" t="s">
        <v>970</v>
      </c>
      <c r="B123" s="3"/>
      <c r="C123" s="3"/>
      <c r="D123" s="3"/>
      <c r="E123" s="3"/>
      <c r="F123" s="3"/>
      <c r="G123" s="3"/>
      <c r="H123" s="3"/>
      <c r="I123" s="3"/>
    </row>
    <row r="124" customFormat="false" ht="15" hidden="false" customHeight="true" outlineLevel="0" collapsed="false">
      <c r="A124" s="23"/>
      <c r="B124" s="23" t="s">
        <v>971</v>
      </c>
      <c r="C124" s="23" t="s">
        <v>972</v>
      </c>
      <c r="D124" s="23" t="s">
        <v>756</v>
      </c>
      <c r="E124" s="3"/>
      <c r="F124" s="3"/>
      <c r="G124" s="3"/>
      <c r="H124" s="3"/>
      <c r="I124" s="3"/>
    </row>
    <row r="125" customFormat="false" ht="15" hidden="false" customHeight="true" outlineLevel="0" collapsed="false">
      <c r="A125" s="79" t="s">
        <v>973</v>
      </c>
      <c r="B125" s="266" t="n">
        <v>1450000</v>
      </c>
      <c r="C125" s="280" t="s">
        <v>974</v>
      </c>
      <c r="D125" s="69" t="s">
        <v>975</v>
      </c>
      <c r="E125" s="3"/>
      <c r="F125" s="3"/>
      <c r="G125" s="3"/>
      <c r="H125" s="3"/>
      <c r="I125" s="3"/>
    </row>
    <row r="126" customFormat="false" ht="15" hidden="false" customHeight="true" outlineLevel="0" collapsed="false">
      <c r="A126" s="79" t="s">
        <v>976</v>
      </c>
      <c r="B126" s="254" t="n">
        <v>-1450000</v>
      </c>
      <c r="C126" s="280" t="s">
        <v>977</v>
      </c>
      <c r="D126" s="69" t="s">
        <v>978</v>
      </c>
      <c r="E126" s="3"/>
      <c r="F126" s="3"/>
      <c r="G126" s="3"/>
      <c r="H126" s="3"/>
      <c r="I126" s="3"/>
    </row>
    <row r="127" customFormat="false" ht="15" hidden="false" customHeight="true" outlineLevel="0" collapsed="false">
      <c r="A127" s="79" t="s">
        <v>979</v>
      </c>
      <c r="B127" s="3"/>
      <c r="C127" s="280" t="s">
        <v>980</v>
      </c>
      <c r="D127" s="69" t="s">
        <v>981</v>
      </c>
      <c r="E127" s="3"/>
      <c r="F127" s="3"/>
      <c r="G127" s="3"/>
      <c r="H127" s="3"/>
      <c r="I127" s="3"/>
    </row>
    <row r="128" customFormat="false" ht="15" hidden="false" customHeight="true" outlineLevel="0" collapsed="false">
      <c r="A128" s="250" t="s">
        <v>982</v>
      </c>
      <c r="B128" s="251" t="n">
        <v>0</v>
      </c>
      <c r="C128" s="250" t="s">
        <v>983</v>
      </c>
      <c r="D128" s="250" t="s">
        <v>984</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985</v>
      </c>
      <c r="B130" s="281" t="n">
        <v>362885</v>
      </c>
      <c r="C130" s="280" t="s">
        <v>986</v>
      </c>
      <c r="D130" s="69" t="s">
        <v>987</v>
      </c>
      <c r="E130" s="3"/>
      <c r="F130" s="3"/>
      <c r="G130" s="3"/>
      <c r="H130" s="3"/>
      <c r="I130" s="3"/>
    </row>
    <row r="131" customFormat="false" ht="15" hidden="false" customHeight="true" outlineLevel="0" collapsed="false">
      <c r="A131" s="250" t="s">
        <v>988</v>
      </c>
      <c r="B131" s="251" t="n">
        <v>1812885</v>
      </c>
      <c r="C131" s="250" t="s">
        <v>989</v>
      </c>
      <c r="D131" s="250" t="s">
        <v>990</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554</v>
      </c>
      <c r="B1" s="49" t="s">
        <v>991</v>
      </c>
      <c r="C1" s="49" t="s">
        <v>992</v>
      </c>
      <c r="D1" s="49" t="s">
        <v>993</v>
      </c>
      <c r="E1" s="49" t="s">
        <v>994</v>
      </c>
      <c r="F1" s="49" t="s">
        <v>995</v>
      </c>
      <c r="G1" s="49" t="s">
        <v>996</v>
      </c>
      <c r="H1" s="49" t="s">
        <v>997</v>
      </c>
      <c r="I1" s="49" t="s">
        <v>998</v>
      </c>
      <c r="J1" s="49" t="s">
        <v>999</v>
      </c>
      <c r="K1" s="49" t="s">
        <v>1000</v>
      </c>
      <c r="L1" s="49" t="s">
        <v>1001</v>
      </c>
      <c r="M1" s="49" t="s">
        <v>1002</v>
      </c>
      <c r="N1" s="49" t="s">
        <v>1003</v>
      </c>
      <c r="O1" s="49" t="s">
        <v>779</v>
      </c>
      <c r="P1" s="49" t="s">
        <v>1004</v>
      </c>
      <c r="Q1" s="49" t="s">
        <v>1005</v>
      </c>
      <c r="R1" s="49" t="s">
        <v>781</v>
      </c>
      <c r="S1" s="49" t="s">
        <v>1006</v>
      </c>
      <c r="T1" s="49" t="s">
        <v>1007</v>
      </c>
      <c r="U1" s="49" t="s">
        <v>1008</v>
      </c>
      <c r="V1" s="49" t="s">
        <v>1009</v>
      </c>
      <c r="W1" s="49" t="s">
        <v>783</v>
      </c>
      <c r="X1" s="49" t="s">
        <v>1010</v>
      </c>
      <c r="Y1" s="49" t="s">
        <v>1011</v>
      </c>
      <c r="Z1" s="49" t="s">
        <v>1012</v>
      </c>
      <c r="AA1" s="49" t="s">
        <v>1013</v>
      </c>
      <c r="AB1" s="49" t="s">
        <v>1014</v>
      </c>
      <c r="AC1" s="49" t="s">
        <v>1015</v>
      </c>
      <c r="AD1" s="49" t="s">
        <v>1016</v>
      </c>
      <c r="AE1" s="49" t="s">
        <v>785</v>
      </c>
      <c r="AF1" s="49" t="s">
        <v>1017</v>
      </c>
      <c r="AG1" s="49" t="s">
        <v>1018</v>
      </c>
      <c r="AH1" s="49" t="s">
        <v>1019</v>
      </c>
      <c r="AI1" s="49" t="s">
        <v>1020</v>
      </c>
      <c r="AJ1" s="49" t="s">
        <v>1021</v>
      </c>
      <c r="AK1" s="49" t="s">
        <v>1022</v>
      </c>
      <c r="AL1" s="49" t="s">
        <v>1023</v>
      </c>
      <c r="AM1" s="49" t="s">
        <v>1024</v>
      </c>
      <c r="AN1" s="49" t="s">
        <v>1025</v>
      </c>
      <c r="AO1" s="49" t="s">
        <v>1026</v>
      </c>
    </row>
    <row r="2" customFormat="false" ht="15" hidden="false" customHeight="true" outlineLevel="0" collapsed="false">
      <c r="A2" s="177" t="s">
        <v>1027</v>
      </c>
      <c r="B2" s="282" t="n">
        <v>0.016101</v>
      </c>
      <c r="C2" s="282" t="n">
        <v>0.018518</v>
      </c>
      <c r="D2" s="282" t="n">
        <v>0.021087</v>
      </c>
      <c r="E2" s="282" t="n">
        <v>0.023773</v>
      </c>
      <c r="F2" s="282" t="n">
        <v>0.026535</v>
      </c>
      <c r="G2" s="282" t="n">
        <v>0.029323</v>
      </c>
      <c r="H2" s="282" t="n">
        <v>0.032082</v>
      </c>
      <c r="I2" s="282" t="n">
        <v>0.034752</v>
      </c>
      <c r="J2" s="282" t="n">
        <v>0.037269</v>
      </c>
      <c r="K2" s="282" t="n">
        <v>0.039572</v>
      </c>
      <c r="L2" s="282" t="n">
        <v>0.041599</v>
      </c>
      <c r="M2" s="282" t="n">
        <v>0.043295</v>
      </c>
      <c r="N2" s="282" t="n">
        <v>0.044613</v>
      </c>
      <c r="O2" s="282" t="n">
        <v>0.045513</v>
      </c>
      <c r="P2" s="282" t="n">
        <v>0.04597</v>
      </c>
      <c r="Q2" s="282" t="n">
        <v>0.04597</v>
      </c>
      <c r="R2" s="282" t="n">
        <v>0.045513</v>
      </c>
      <c r="S2" s="282" t="n">
        <v>0.044613</v>
      </c>
      <c r="T2" s="282" t="n">
        <v>0.043295</v>
      </c>
      <c r="U2" s="282" t="n">
        <v>0.041599</v>
      </c>
      <c r="V2" s="282" t="n">
        <v>0.039572</v>
      </c>
      <c r="W2" s="282" t="n">
        <v>0.037269</v>
      </c>
      <c r="X2" s="282" t="n">
        <v>0.034752</v>
      </c>
      <c r="Y2" s="282" t="n">
        <v>0.032082</v>
      </c>
      <c r="Z2" s="282" t="n">
        <v>0.029323</v>
      </c>
      <c r="AA2" s="282" t="n">
        <v>0.026535</v>
      </c>
      <c r="AB2" s="282" t="n">
        <v>0.023773</v>
      </c>
      <c r="AC2" s="282" t="n">
        <v>0.021087</v>
      </c>
      <c r="AD2" s="282" t="n">
        <v>0.018518</v>
      </c>
      <c r="AE2" s="282" t="n">
        <v>0.016101</v>
      </c>
    </row>
    <row r="3" customFormat="false" ht="15" hidden="false" customHeight="true" outlineLevel="0" collapsed="false">
      <c r="A3" s="177" t="s">
        <v>1028</v>
      </c>
      <c r="B3" s="282" t="n">
        <v>0.020497</v>
      </c>
      <c r="C3" s="282" t="n">
        <v>0.024336</v>
      </c>
      <c r="D3" s="282" t="n">
        <v>0.028445</v>
      </c>
      <c r="E3" s="282" t="n">
        <v>0.032735</v>
      </c>
      <c r="F3" s="282" t="n">
        <v>0.037087</v>
      </c>
      <c r="G3" s="282" t="n">
        <v>0.041368</v>
      </c>
      <c r="H3" s="282" t="n">
        <v>0.045428</v>
      </c>
      <c r="I3" s="282" t="n">
        <v>0.049114</v>
      </c>
      <c r="J3" s="282" t="n">
        <v>0.052278</v>
      </c>
      <c r="K3" s="282" t="n">
        <v>0.054783</v>
      </c>
      <c r="L3" s="282" t="n">
        <v>0.05652</v>
      </c>
      <c r="M3" s="282" t="n">
        <v>0.057409</v>
      </c>
      <c r="N3" s="282" t="n">
        <v>0.057409</v>
      </c>
      <c r="O3" s="282" t="n">
        <v>0.05652</v>
      </c>
      <c r="P3" s="282" t="n">
        <v>0.054783</v>
      </c>
      <c r="Q3" s="282" t="n">
        <v>0.052278</v>
      </c>
      <c r="R3" s="282" t="n">
        <v>0.049114</v>
      </c>
      <c r="S3" s="282" t="n">
        <v>0.045428</v>
      </c>
      <c r="T3" s="282" t="n">
        <v>0.041368</v>
      </c>
      <c r="U3" s="282" t="n">
        <v>0.037087</v>
      </c>
      <c r="V3" s="282" t="n">
        <v>0.032735</v>
      </c>
      <c r="W3" s="282" t="n">
        <v>0.028445</v>
      </c>
      <c r="X3" s="282" t="n">
        <v>0.024336</v>
      </c>
      <c r="Y3" s="282" t="n">
        <v>0.020497</v>
      </c>
    </row>
    <row r="4" customFormat="false" ht="15" hidden="false" customHeight="true" outlineLevel="0" collapsed="false">
      <c r="A4" s="177" t="s">
        <v>1029</v>
      </c>
      <c r="B4" s="282" t="n">
        <v>0.026517</v>
      </c>
      <c r="C4" s="282" t="n">
        <v>0.032761</v>
      </c>
      <c r="D4" s="282" t="n">
        <v>0.039482</v>
      </c>
      <c r="E4" s="282" t="n">
        <v>0.046412</v>
      </c>
      <c r="F4" s="282" t="n">
        <v>0.053218</v>
      </c>
      <c r="G4" s="282" t="n">
        <v>0.059522</v>
      </c>
      <c r="H4" s="282" t="n">
        <v>0.064937</v>
      </c>
      <c r="I4" s="282" t="n">
        <v>0.069104</v>
      </c>
      <c r="J4" s="282" t="n">
        <v>0.071732</v>
      </c>
      <c r="K4" s="282" t="n">
        <v>0.07263</v>
      </c>
      <c r="L4" s="282" t="n">
        <v>0.071732</v>
      </c>
      <c r="M4" s="282" t="n">
        <v>0.069104</v>
      </c>
      <c r="N4" s="282" t="n">
        <v>0.064937</v>
      </c>
      <c r="O4" s="282" t="n">
        <v>0.059522</v>
      </c>
      <c r="P4" s="282" t="n">
        <v>0.053218</v>
      </c>
      <c r="Q4" s="282" t="n">
        <v>0.046412</v>
      </c>
      <c r="R4" s="282" t="n">
        <v>0.039482</v>
      </c>
      <c r="S4" s="282" t="n">
        <v>0.032761</v>
      </c>
      <c r="T4" s="282" t="n">
        <v>0.026517</v>
      </c>
    </row>
    <row r="5" customFormat="false" ht="15" hidden="false" customHeight="true" outlineLevel="0" collapsed="false">
      <c r="A5" s="283" t="s">
        <v>1030</v>
      </c>
    </row>
    <row r="6" customFormat="false" ht="15" hidden="false" customHeight="true" outlineLevel="0" collapsed="false">
      <c r="A6" s="177" t="s">
        <v>7</v>
      </c>
      <c r="B6" s="282" t="n">
        <v>0.176029532991649</v>
      </c>
      <c r="C6" s="282" t="n">
        <v>0.162818536970001</v>
      </c>
      <c r="D6" s="282" t="n">
        <v>0.148267087201176</v>
      </c>
      <c r="E6" s="282" t="n">
        <v>0.1329235511272</v>
      </c>
      <c r="F6" s="282" t="n">
        <v>0.117325543887316</v>
      </c>
      <c r="G6" s="282" t="n">
        <v>0.101949750904986</v>
      </c>
      <c r="H6" s="282" t="n">
        <v>0.0872226801906742</v>
      </c>
      <c r="I6" s="282" t="n">
        <v>0.073463316726999</v>
      </c>
    </row>
    <row r="7" customFormat="false" ht="15" hidden="false" customHeight="true" outlineLevel="0" collapsed="false">
      <c r="A7" s="177" t="s">
        <v>8</v>
      </c>
      <c r="B7" s="282" t="n">
        <v>0.0725086339616361</v>
      </c>
      <c r="C7" s="282" t="n">
        <v>0.0759830233429035</v>
      </c>
      <c r="D7" s="282" t="n">
        <v>0.0783922107102734</v>
      </c>
      <c r="E7" s="282" t="n">
        <v>0.0796252375206314</v>
      </c>
      <c r="F7" s="282" t="n">
        <v>0.0796252375206314</v>
      </c>
      <c r="G7" s="282" t="n">
        <v>0.0783922107102734</v>
      </c>
      <c r="H7" s="282" t="n">
        <v>0.0759830233429035</v>
      </c>
      <c r="I7" s="282" t="n">
        <v>0.0725086339616361</v>
      </c>
      <c r="J7" s="282" t="n">
        <v>0.0681202235814644</v>
      </c>
      <c r="K7" s="282" t="n">
        <v>0.0630078087074717</v>
      </c>
      <c r="L7" s="282" t="n">
        <v>0.0573766626444195</v>
      </c>
      <c r="M7" s="282" t="n">
        <v>0.051438993606014</v>
      </c>
      <c r="N7" s="282" t="n">
        <v>0.0454028488605945</v>
      </c>
      <c r="O7" s="282" t="n">
        <v>0.0394526969860886</v>
      </c>
      <c r="P7" s="282" t="n">
        <v>0.0337535888153789</v>
      </c>
      <c r="Q7" s="282" t="n">
        <v>0.02842896572768</v>
      </c>
    </row>
    <row r="8" customFormat="false" ht="15" hidden="false" customHeight="true" outlineLevel="0" collapsed="false">
      <c r="A8" s="177" t="s">
        <v>9</v>
      </c>
      <c r="B8" s="282" t="n">
        <v>0.0622557988273664</v>
      </c>
      <c r="C8" s="282" t="n">
        <v>0.0696303817844058</v>
      </c>
      <c r="D8" s="282" t="n">
        <v>0.0759649894481697</v>
      </c>
      <c r="E8" s="282" t="n">
        <v>0.0808396542930274</v>
      </c>
      <c r="F8" s="282" t="n">
        <v>0.0839139569597627</v>
      </c>
      <c r="G8" s="282" t="n">
        <v>0.0849644606868282</v>
      </c>
      <c r="H8" s="282" t="n">
        <v>0.0839139569597627</v>
      </c>
      <c r="I8" s="282" t="n">
        <v>0.0808396542930274</v>
      </c>
      <c r="J8" s="282" t="n">
        <v>0.0759649894481697</v>
      </c>
      <c r="K8" s="282" t="n">
        <v>0.0696303817844058</v>
      </c>
      <c r="L8" s="282" t="n">
        <v>0.0622557988273664</v>
      </c>
      <c r="M8" s="282" t="n">
        <v>0.0542939632300299</v>
      </c>
      <c r="N8" s="282" t="n">
        <v>0.0461870692115841</v>
      </c>
      <c r="O8" s="282" t="n">
        <v>0.038324668822266</v>
      </c>
      <c r="P8" s="282" t="n">
        <v>0.031020275423828</v>
      </c>
    </row>
    <row r="9" customFormat="false" ht="15" hidden="false" customHeight="true" outlineLevel="0" collapsed="false">
      <c r="A9" s="177" t="s">
        <v>10</v>
      </c>
      <c r="B9" s="282" t="n">
        <v>0.0622557988273664</v>
      </c>
      <c r="C9" s="282" t="n">
        <v>0.0696303817844058</v>
      </c>
      <c r="D9" s="282" t="n">
        <v>0.0759649894481697</v>
      </c>
      <c r="E9" s="282" t="n">
        <v>0.0808396542930274</v>
      </c>
      <c r="F9" s="282" t="n">
        <v>0.0839139569597627</v>
      </c>
      <c r="G9" s="282" t="n">
        <v>0.0849644606868282</v>
      </c>
      <c r="H9" s="282" t="n">
        <v>0.0839139569597627</v>
      </c>
      <c r="I9" s="282" t="n">
        <v>0.0808396542930274</v>
      </c>
      <c r="J9" s="282" t="n">
        <v>0.0759649894481697</v>
      </c>
      <c r="K9" s="282" t="n">
        <v>0.0696303817844058</v>
      </c>
      <c r="L9" s="282" t="n">
        <v>0.0622557988273664</v>
      </c>
      <c r="M9" s="282" t="n">
        <v>0.0542939632300299</v>
      </c>
      <c r="N9" s="282" t="n">
        <v>0.0461870692115841</v>
      </c>
      <c r="O9" s="282" t="n">
        <v>0.038324668822266</v>
      </c>
      <c r="P9" s="282" t="n">
        <v>0.031020275423828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14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283" activeCellId="0" sqref="F283"/>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84" t="s">
        <v>1031</v>
      </c>
      <c r="B1" s="284"/>
      <c r="C1" s="284"/>
      <c r="D1" s="284"/>
    </row>
    <row r="3" customFormat="false" ht="15" hidden="false" customHeight="true" outlineLevel="0" collapsed="false">
      <c r="A3" s="23" t="s">
        <v>1032</v>
      </c>
      <c r="B3" s="23"/>
      <c r="C3" s="23"/>
      <c r="D3" s="23"/>
    </row>
    <row r="4" customFormat="false" ht="15" hidden="false" customHeight="true" outlineLevel="0" collapsed="false">
      <c r="A4" s="177" t="s">
        <v>1033</v>
      </c>
      <c r="B4" s="282" t="n">
        <v>0.06</v>
      </c>
    </row>
    <row r="5" customFormat="false" ht="15" hidden="false" customHeight="true" outlineLevel="0" collapsed="false">
      <c r="A5" s="177" t="s">
        <v>877</v>
      </c>
      <c r="B5" s="282" t="n">
        <v>0.06</v>
      </c>
    </row>
    <row r="6" customFormat="false" ht="15" hidden="false" customHeight="true" outlineLevel="0" collapsed="false">
      <c r="A6" s="177" t="s">
        <v>1034</v>
      </c>
      <c r="B6" s="282" t="n">
        <v>0.02</v>
      </c>
    </row>
    <row r="7" customFormat="false" ht="15" hidden="false" customHeight="true" outlineLevel="0" collapsed="false">
      <c r="A7" s="177" t="s">
        <v>1035</v>
      </c>
      <c r="B7" s="180" t="n">
        <f aca="false">B4+B5+B6</f>
        <v>0.14</v>
      </c>
    </row>
    <row r="8" customFormat="false" ht="15" hidden="false" customHeight="true" outlineLevel="0" collapsed="false">
      <c r="A8" s="177"/>
      <c r="B8" s="282"/>
    </row>
    <row r="9" customFormat="false" ht="15" hidden="false" customHeight="true" outlineLevel="0" collapsed="false">
      <c r="A9" s="177" t="s">
        <v>1036</v>
      </c>
      <c r="B9" s="180" t="n">
        <f aca="false">SUM(B10:B12)</f>
        <v>0.120391</v>
      </c>
      <c r="C9" s="1" t="s">
        <v>1037</v>
      </c>
    </row>
    <row r="10" customFormat="false" ht="15" hidden="false" customHeight="true" outlineLevel="0" collapsed="false">
      <c r="A10" s="177" t="s">
        <v>1038</v>
      </c>
      <c r="B10" s="180" t="n">
        <v>0.051596</v>
      </c>
    </row>
    <row r="11" customFormat="false" ht="15" hidden="false" customHeight="true" outlineLevel="0" collapsed="false">
      <c r="A11" s="177" t="s">
        <v>1039</v>
      </c>
      <c r="B11" s="180" t="n">
        <v>0.051596</v>
      </c>
    </row>
    <row r="12" customFormat="false" ht="15" hidden="false" customHeight="true" outlineLevel="0" collapsed="false">
      <c r="A12" s="177" t="s">
        <v>1040</v>
      </c>
      <c r="B12" s="180" t="n">
        <v>0.017199</v>
      </c>
    </row>
    <row r="14" customFormat="false" ht="15" hidden="false" customHeight="true" outlineLevel="0" collapsed="false">
      <c r="A14" s="23" t="s">
        <v>1041</v>
      </c>
      <c r="B14" s="23"/>
      <c r="C14" s="23"/>
      <c r="D14" s="23"/>
    </row>
    <row r="15" customFormat="false" ht="15" hidden="false" customHeight="true" outlineLevel="0" collapsed="false">
      <c r="A15" s="177" t="s">
        <v>882</v>
      </c>
      <c r="B15" s="282" t="n">
        <v>0.015</v>
      </c>
    </row>
    <row r="16" customFormat="false" ht="15" hidden="false" customHeight="true" outlineLevel="0" collapsed="false">
      <c r="A16" s="177" t="s">
        <v>884</v>
      </c>
      <c r="B16" s="282" t="n">
        <v>0.0074</v>
      </c>
    </row>
    <row r="17" customFormat="false" ht="15" hidden="false" customHeight="true" outlineLevel="0" collapsed="false">
      <c r="A17" s="177" t="s">
        <v>886</v>
      </c>
      <c r="B17" s="282" t="n">
        <v>0.0325</v>
      </c>
    </row>
    <row r="18" customFormat="false" ht="15" hidden="false" customHeight="true" outlineLevel="0" collapsed="false">
      <c r="A18" s="1" t="s">
        <v>1042</v>
      </c>
      <c r="B18" s="285" t="n">
        <f aca="false">103966/14337010.8</f>
        <v>0.00725158134079107</v>
      </c>
      <c r="C18" s="1" t="s">
        <v>1043</v>
      </c>
      <c r="D18" s="286"/>
    </row>
    <row r="19" customFormat="false" ht="15" hidden="false" customHeight="true" outlineLevel="0" collapsed="false">
      <c r="A19" s="23" t="s">
        <v>1044</v>
      </c>
      <c r="B19" s="23"/>
      <c r="C19" s="23"/>
      <c r="D19" s="23"/>
    </row>
    <row r="20" customFormat="false" ht="15" hidden="false" customHeight="true" outlineLevel="0" collapsed="false">
      <c r="A20" s="177" t="s">
        <v>1045</v>
      </c>
      <c r="B20" s="282" t="n">
        <v>0.07</v>
      </c>
    </row>
    <row r="21" customFormat="false" ht="15" hidden="false" customHeight="true" outlineLevel="0" collapsed="false">
      <c r="A21" s="177" t="s">
        <v>1046</v>
      </c>
      <c r="B21" s="282" t="n">
        <v>0.005</v>
      </c>
    </row>
    <row r="22" customFormat="false" ht="15" hidden="false" customHeight="true" outlineLevel="0" collapsed="false">
      <c r="A22" s="177" t="s">
        <v>1047</v>
      </c>
      <c r="B22" s="282" t="n">
        <v>0.05</v>
      </c>
    </row>
    <row r="23" customFormat="false" ht="15" hidden="false" customHeight="true" outlineLevel="0" collapsed="false">
      <c r="A23" s="177" t="s">
        <v>1048</v>
      </c>
      <c r="B23" s="282" t="n">
        <v>0.02</v>
      </c>
    </row>
    <row r="25" customFormat="false" ht="15" hidden="false" customHeight="true" outlineLevel="0" collapsed="false">
      <c r="A25" s="23" t="s">
        <v>1049</v>
      </c>
      <c r="B25" s="23"/>
      <c r="C25" s="23"/>
      <c r="D25" s="23"/>
    </row>
    <row r="26" customFormat="false" ht="15" hidden="false" customHeight="true" outlineLevel="0" collapsed="false">
      <c r="A26" s="177" t="s">
        <v>1050</v>
      </c>
      <c r="B26" s="259" t="n">
        <v>0.02</v>
      </c>
    </row>
    <row r="28" customFormat="false" ht="15" hidden="false" customHeight="true" outlineLevel="0" collapsed="false">
      <c r="A28" s="23" t="s">
        <v>1051</v>
      </c>
      <c r="B28" s="23"/>
      <c r="C28" s="23"/>
      <c r="D28" s="23"/>
    </row>
    <row r="29" customFormat="false" ht="15" hidden="false" customHeight="true" outlineLevel="0" collapsed="false">
      <c r="A29" s="177" t="s">
        <v>1052</v>
      </c>
      <c r="B29" s="261" t="n">
        <v>1287106</v>
      </c>
    </row>
    <row r="30" customFormat="false" ht="15" hidden="false" customHeight="true" outlineLevel="0" collapsed="false">
      <c r="A30" s="177" t="s">
        <v>1053</v>
      </c>
      <c r="B30" s="261" t="n">
        <v>658190</v>
      </c>
    </row>
    <row r="32" customFormat="false" ht="15" hidden="false" customHeight="true" outlineLevel="0" collapsed="false">
      <c r="A32" s="23" t="s">
        <v>1054</v>
      </c>
      <c r="B32" s="23"/>
      <c r="C32" s="23"/>
      <c r="D32" s="23"/>
    </row>
    <row r="33" customFormat="false" ht="15" hidden="false" customHeight="true" outlineLevel="0" collapsed="false">
      <c r="A33" s="177" t="s">
        <v>1055</v>
      </c>
      <c r="B33" s="261" t="n">
        <v>1615485</v>
      </c>
    </row>
    <row r="34" customFormat="false" ht="15" hidden="false" customHeight="true" outlineLevel="0" collapsed="false">
      <c r="A34" s="177" t="s">
        <v>1056</v>
      </c>
      <c r="B34" s="282" t="n">
        <v>0.15</v>
      </c>
    </row>
    <row r="35" customFormat="false" ht="15" hidden="false" customHeight="true" outlineLevel="0" collapsed="false">
      <c r="A35" s="177" t="s">
        <v>1057</v>
      </c>
      <c r="B35" s="180" t="n">
        <f aca="false">B34/4</f>
        <v>0.0375</v>
      </c>
    </row>
    <row r="36" customFormat="false" ht="15" hidden="false" customHeight="true" outlineLevel="0" collapsed="false">
      <c r="A36" s="177" t="s">
        <v>1058</v>
      </c>
      <c r="B36" s="261" t="n">
        <v>112000</v>
      </c>
    </row>
    <row r="37" customFormat="false" ht="15" hidden="false" customHeight="true" outlineLevel="0" collapsed="false">
      <c r="A37" s="177" t="s">
        <v>1059</v>
      </c>
      <c r="B37" s="287" t="n">
        <v>10</v>
      </c>
    </row>
    <row r="38" customFormat="false" ht="15" hidden="false" customHeight="true" outlineLevel="0" collapsed="false">
      <c r="A38" s="288" t="s">
        <v>1060</v>
      </c>
    </row>
    <row r="40" customFormat="false" ht="15" hidden="false" customHeight="true" outlineLevel="0" collapsed="false">
      <c r="A40" s="23" t="s">
        <v>1061</v>
      </c>
      <c r="B40" s="23"/>
      <c r="C40" s="23"/>
      <c r="D40" s="23"/>
    </row>
    <row r="41" customFormat="false" ht="15" hidden="false" customHeight="true" outlineLevel="0" collapsed="false">
      <c r="A41" s="177" t="s">
        <v>1062</v>
      </c>
      <c r="B41" s="261" t="n">
        <v>1000000</v>
      </c>
    </row>
    <row r="42" customFormat="false" ht="15" hidden="false" customHeight="true" outlineLevel="0" collapsed="false">
      <c r="A42" s="177" t="s">
        <v>1063</v>
      </c>
      <c r="B42" s="289" t="n">
        <f aca="false">B41*0.25</f>
        <v>250000</v>
      </c>
    </row>
    <row r="43" customFormat="false" ht="15" hidden="false" customHeight="true" outlineLevel="0" collapsed="false">
      <c r="A43" s="177" t="s">
        <v>1064</v>
      </c>
      <c r="B43" s="261" t="n">
        <v>1000000</v>
      </c>
    </row>
    <row r="44" customFormat="false" ht="15" hidden="false" customHeight="true" outlineLevel="0" collapsed="false">
      <c r="A44" s="288" t="s">
        <v>1065</v>
      </c>
    </row>
    <row r="46" customFormat="false" ht="15" hidden="false" customHeight="true" outlineLevel="0" collapsed="false">
      <c r="A46" s="23" t="s">
        <v>1066</v>
      </c>
      <c r="B46" s="23"/>
      <c r="C46" s="23"/>
      <c r="D46" s="23"/>
    </row>
    <row r="47" customFormat="false" ht="15" hidden="false" customHeight="true" outlineLevel="0" collapsed="false">
      <c r="A47" s="177" t="s">
        <v>1067</v>
      </c>
      <c r="B47" s="282" t="n">
        <v>0.01</v>
      </c>
    </row>
    <row r="48" customFormat="false" ht="15" hidden="false" customHeight="true" outlineLevel="0" collapsed="false">
      <c r="A48" s="177" t="s">
        <v>1068</v>
      </c>
      <c r="B48" s="282" t="n">
        <v>0.03</v>
      </c>
    </row>
    <row r="50" customFormat="false" ht="15" hidden="false" customHeight="true" outlineLevel="0" collapsed="false">
      <c r="A50" s="23" t="s">
        <v>1069</v>
      </c>
      <c r="B50" s="23"/>
      <c r="C50" s="290"/>
      <c r="D50" s="23"/>
    </row>
    <row r="51" customFormat="false" ht="15" hidden="false" customHeight="true" outlineLevel="0" collapsed="false">
      <c r="A51" s="177" t="s">
        <v>16</v>
      </c>
      <c r="B51" s="261" t="n">
        <v>0</v>
      </c>
    </row>
    <row r="52" customFormat="false" ht="15" hidden="false" customHeight="true" outlineLevel="0" collapsed="false">
      <c r="A52" s="177" t="s">
        <v>17</v>
      </c>
      <c r="B52" s="261" t="n">
        <v>0</v>
      </c>
    </row>
    <row r="53" customFormat="false" ht="15" hidden="false" customHeight="true" outlineLevel="0" collapsed="false">
      <c r="A53" s="177" t="s">
        <v>12</v>
      </c>
      <c r="B53" s="261" t="n">
        <v>5000000</v>
      </c>
      <c r="C53" s="90"/>
    </row>
    <row r="54" customFormat="false" ht="15" hidden="false" customHeight="true" outlineLevel="0" collapsed="false">
      <c r="A54" s="177" t="s">
        <v>18</v>
      </c>
      <c r="B54" s="261" t="n">
        <v>5000000</v>
      </c>
      <c r="C54" s="90"/>
    </row>
    <row r="55" customFormat="false" ht="15" hidden="false" customHeight="true" outlineLevel="0" collapsed="false">
      <c r="A55" s="177" t="s">
        <v>19</v>
      </c>
      <c r="B55" s="261" t="n">
        <v>5000000</v>
      </c>
      <c r="C55" s="90"/>
    </row>
    <row r="57" customFormat="false" ht="15" hidden="false" customHeight="true" outlineLevel="0" collapsed="false">
      <c r="A57" s="23" t="s">
        <v>1070</v>
      </c>
      <c r="B57" s="23"/>
      <c r="C57" s="23"/>
      <c r="D57" s="23"/>
    </row>
    <row r="58" customFormat="false" ht="15" hidden="false" customHeight="true" outlineLevel="0" collapsed="false">
      <c r="A58" s="177" t="s">
        <v>1071</v>
      </c>
      <c r="B58" s="282" t="n">
        <v>0.15</v>
      </c>
    </row>
    <row r="59" customFormat="false" ht="15" hidden="false" customHeight="true" outlineLevel="0" collapsed="false">
      <c r="A59" s="177" t="s">
        <v>1072</v>
      </c>
      <c r="B59" s="180" t="n">
        <f aca="false">B58/4</f>
        <v>0.0375</v>
      </c>
    </row>
    <row r="60" customFormat="false" ht="15" hidden="false" customHeight="true" outlineLevel="0" collapsed="false">
      <c r="A60" s="177" t="s">
        <v>1073</v>
      </c>
      <c r="B60" s="261" t="n">
        <v>0</v>
      </c>
    </row>
    <row r="61" customFormat="false" ht="15" hidden="false" customHeight="true" outlineLevel="0" collapsed="false">
      <c r="A61" s="177" t="s">
        <v>1074</v>
      </c>
      <c r="B61" s="261" t="n">
        <v>0</v>
      </c>
    </row>
    <row r="62" customFormat="false" ht="15" hidden="false" customHeight="true" outlineLevel="0" collapsed="false">
      <c r="A62" s="177" t="s">
        <v>1075</v>
      </c>
      <c r="B62" s="261" t="n">
        <v>1784000</v>
      </c>
    </row>
    <row r="63" customFormat="false" ht="15" hidden="false" customHeight="true" outlineLevel="0" collapsed="false">
      <c r="A63" s="177" t="s">
        <v>1076</v>
      </c>
      <c r="B63" s="261" t="n">
        <v>1766181</v>
      </c>
    </row>
    <row r="64" customFormat="false" ht="15" hidden="false" customHeight="true" outlineLevel="0" collapsed="false">
      <c r="A64" s="288" t="s">
        <v>1077</v>
      </c>
    </row>
    <row r="65" customFormat="false" ht="13.5" hidden="false" customHeight="false" outlineLevel="0" collapsed="false">
      <c r="A65" s="291" t="s">
        <v>1078</v>
      </c>
      <c r="B65" s="292" t="n">
        <v>60000</v>
      </c>
    </row>
    <row r="66" customFormat="false" ht="15" hidden="false" customHeight="true" outlineLevel="0" collapsed="false">
      <c r="A66" s="97" t="s">
        <v>101</v>
      </c>
    </row>
    <row r="67" customFormat="false" ht="15" hidden="false" customHeight="true" outlineLevel="0" collapsed="false">
      <c r="A67" s="90" t="s">
        <v>1079</v>
      </c>
      <c r="B67" s="293" t="n">
        <v>833.33</v>
      </c>
    </row>
    <row r="68" customFormat="false" ht="15" hidden="false" customHeight="true" outlineLevel="0" collapsed="false">
      <c r="A68" s="90" t="s">
        <v>1080</v>
      </c>
      <c r="B68" s="90" t="n">
        <v>5</v>
      </c>
    </row>
    <row r="70" customFormat="false" ht="15" hidden="false" customHeight="true" outlineLevel="0" collapsed="false">
      <c r="A70" s="294" t="s">
        <v>1081</v>
      </c>
      <c r="B70" s="294"/>
    </row>
    <row r="71" customFormat="false" ht="15" hidden="false" customHeight="true" outlineLevel="0" collapsed="false">
      <c r="A71" s="295" t="s">
        <v>1082</v>
      </c>
      <c r="B71" s="296" t="n">
        <v>1134000</v>
      </c>
    </row>
    <row r="72" customFormat="false" ht="15" hidden="false" customHeight="true" outlineLevel="0" collapsed="false">
      <c r="A72" s="297" t="s">
        <v>1083</v>
      </c>
      <c r="B72" s="298" t="n">
        <v>50000</v>
      </c>
    </row>
    <row r="73" customFormat="false" ht="15" hidden="false" customHeight="true" outlineLevel="0" collapsed="false">
      <c r="A73" s="295" t="s">
        <v>1084</v>
      </c>
      <c r="B73" s="299" t="n">
        <v>14</v>
      </c>
    </row>
    <row r="74" customFormat="false" ht="15" hidden="false" customHeight="true" outlineLevel="0" collapsed="false">
      <c r="A74" s="297" t="s">
        <v>172</v>
      </c>
      <c r="B74" s="298" t="n">
        <v>-1450000</v>
      </c>
    </row>
    <row r="75" customFormat="false" ht="15" hidden="false" customHeight="true" outlineLevel="0" collapsed="false">
      <c r="A75" s="295" t="s">
        <v>1085</v>
      </c>
      <c r="B75" s="296" t="n">
        <v>264927.15</v>
      </c>
    </row>
    <row r="76" customFormat="false" ht="15" hidden="false" customHeight="true" outlineLevel="0" collapsed="false">
      <c r="A76" s="297" t="s">
        <v>1086</v>
      </c>
      <c r="B76" s="298" t="n">
        <v>883090.5</v>
      </c>
    </row>
    <row r="77" customFormat="false" ht="15" hidden="false" customHeight="true" outlineLevel="0" collapsed="false">
      <c r="A77" s="295" t="s">
        <v>167</v>
      </c>
      <c r="B77" s="296" t="n">
        <v>-1800000</v>
      </c>
    </row>
    <row r="79" customFormat="false" ht="19.5" hidden="false" customHeight="true" outlineLevel="0" collapsed="false">
      <c r="A79" s="300" t="s">
        <v>1087</v>
      </c>
    </row>
    <row r="80" customFormat="false" ht="15" hidden="false" customHeight="true" outlineLevel="0" collapsed="false">
      <c r="A80" s="301" t="s">
        <v>1088</v>
      </c>
      <c r="B80" s="302" t="n">
        <v>1</v>
      </c>
    </row>
    <row r="82" customFormat="false" ht="27.75" hidden="false" customHeight="true" outlineLevel="0" collapsed="false">
      <c r="A82" s="156" t="s">
        <v>1089</v>
      </c>
      <c r="B82" s="156" t="s">
        <v>1090</v>
      </c>
      <c r="C82" s="156" t="s">
        <v>1091</v>
      </c>
    </row>
    <row r="83" customFormat="false" ht="15" hidden="false" customHeight="true" outlineLevel="0" collapsed="false">
      <c r="A83" s="303" t="s">
        <v>1092</v>
      </c>
      <c r="B83" s="304" t="n">
        <v>0</v>
      </c>
      <c r="C83" s="305" t="n">
        <v>0.25</v>
      </c>
    </row>
    <row r="84" customFormat="false" ht="15" hidden="false" customHeight="true" outlineLevel="0" collapsed="false">
      <c r="A84" s="303" t="s">
        <v>1093</v>
      </c>
      <c r="B84" s="304" t="n">
        <v>20000000</v>
      </c>
      <c r="C84" s="305" t="n">
        <v>0.5</v>
      </c>
    </row>
    <row r="85" customFormat="false" ht="15" hidden="false" customHeight="true" outlineLevel="0" collapsed="false">
      <c r="A85" s="303" t="s">
        <v>1094</v>
      </c>
      <c r="B85" s="304" t="n">
        <v>40000000</v>
      </c>
      <c r="C85" s="305" t="n">
        <v>0.75</v>
      </c>
    </row>
    <row r="86" customFormat="false" ht="15" hidden="false" customHeight="true" outlineLevel="0" collapsed="false">
      <c r="A86" s="303" t="s">
        <v>1095</v>
      </c>
      <c r="B86" s="304" t="n">
        <v>60000000</v>
      </c>
      <c r="C86" s="305" t="n">
        <v>1</v>
      </c>
    </row>
    <row r="88" customFormat="false" ht="15" hidden="false" customHeight="true" outlineLevel="0" collapsed="false">
      <c r="A88" s="72" t="s">
        <v>1096</v>
      </c>
    </row>
    <row r="92" customFormat="false" ht="15" hidden="false" customHeight="true" outlineLevel="0" collapsed="false">
      <c r="A92" s="1" t="s">
        <v>1097</v>
      </c>
    </row>
    <row r="93" customFormat="false" ht="15" hidden="false" customHeight="true" outlineLevel="0" collapsed="false">
      <c r="A93" s="1" t="s">
        <v>1098</v>
      </c>
    </row>
    <row r="94" customFormat="false" ht="15" hidden="false" customHeight="true" outlineLevel="0" collapsed="false">
      <c r="A94" s="1" t="s">
        <v>1099</v>
      </c>
    </row>
    <row r="95" customFormat="false" ht="15" hidden="false" customHeight="true" outlineLevel="0" collapsed="false">
      <c r="A95" s="1" t="s">
        <v>1100</v>
      </c>
    </row>
    <row r="96" customFormat="false" ht="15" hidden="false" customHeight="true" outlineLevel="0" collapsed="false">
      <c r="A96" s="1" t="s">
        <v>1101</v>
      </c>
    </row>
    <row r="97" customFormat="false" ht="15" hidden="false" customHeight="true" outlineLevel="0" collapsed="false">
      <c r="A97" s="1" t="s">
        <v>1102</v>
      </c>
    </row>
    <row r="98" customFormat="false" ht="15" hidden="false" customHeight="true" outlineLevel="0" collapsed="false">
      <c r="A98" s="1" t="s">
        <v>1103</v>
      </c>
    </row>
    <row r="99" customFormat="false" ht="15" hidden="false" customHeight="true" outlineLevel="0" collapsed="false">
      <c r="A99" s="1" t="s">
        <v>1104</v>
      </c>
    </row>
    <row r="100" customFormat="false" ht="15" hidden="false" customHeight="true" outlineLevel="0" collapsed="false">
      <c r="A100" s="1" t="s">
        <v>1105</v>
      </c>
    </row>
    <row r="101" customFormat="false" ht="15" hidden="false" customHeight="true" outlineLevel="0" collapsed="false">
      <c r="A101" s="1" t="s">
        <v>1106</v>
      </c>
    </row>
    <row r="102" customFormat="false" ht="15" hidden="false" customHeight="true" outlineLevel="0" collapsed="false">
      <c r="A102" s="1" t="s">
        <v>1107</v>
      </c>
    </row>
    <row r="103" customFormat="false" ht="15" hidden="false" customHeight="true" outlineLevel="0" collapsed="false">
      <c r="A103" s="1" t="s">
        <v>1108</v>
      </c>
    </row>
    <row r="104" customFormat="false" ht="15" hidden="false" customHeight="true" outlineLevel="0" collapsed="false">
      <c r="A104" s="1" t="s">
        <v>1109</v>
      </c>
    </row>
    <row r="105" customFormat="false" ht="15" hidden="false" customHeight="true" outlineLevel="0" collapsed="false">
      <c r="A105" s="1" t="s">
        <v>1110</v>
      </c>
    </row>
    <row r="106" customFormat="false" ht="15" hidden="false" customHeight="true" outlineLevel="0" collapsed="false">
      <c r="A106" s="1" t="s">
        <v>1111</v>
      </c>
    </row>
    <row r="108" customFormat="false" ht="15" hidden="false" customHeight="true" outlineLevel="0" collapsed="false">
      <c r="A108" s="1" t="s">
        <v>1112</v>
      </c>
    </row>
    <row r="109" customFormat="false" ht="15" hidden="false" customHeight="true" outlineLevel="0" collapsed="false">
      <c r="A109" s="1" t="s">
        <v>1113</v>
      </c>
    </row>
    <row r="110" customFormat="false" ht="15" hidden="false" customHeight="true" outlineLevel="0" collapsed="false">
      <c r="A110" s="1" t="s">
        <v>1114</v>
      </c>
    </row>
    <row r="112" customFormat="false" ht="15" hidden="false" customHeight="true" outlineLevel="0" collapsed="false">
      <c r="A112" s="1" t="s">
        <v>1115</v>
      </c>
    </row>
    <row r="113" customFormat="false" ht="15" hidden="false" customHeight="true" outlineLevel="0" collapsed="false">
      <c r="A113" s="1" t="s">
        <v>1116</v>
      </c>
    </row>
    <row r="114" customFormat="false" ht="15" hidden="false" customHeight="true" outlineLevel="0" collapsed="false">
      <c r="A114" s="1" t="s">
        <v>1117</v>
      </c>
    </row>
    <row r="115" customFormat="false" ht="15" hidden="false" customHeight="true" outlineLevel="0" collapsed="false">
      <c r="A115" s="1" t="s">
        <v>1118</v>
      </c>
    </row>
    <row r="117" customFormat="false" ht="15" hidden="false" customHeight="true" outlineLevel="0" collapsed="false">
      <c r="A117" s="1" t="s">
        <v>1119</v>
      </c>
    </row>
    <row r="118" customFormat="false" ht="15" hidden="false" customHeight="true" outlineLevel="0" collapsed="false">
      <c r="A118" s="1" t="s">
        <v>1120</v>
      </c>
    </row>
    <row r="119" customFormat="false" ht="15" hidden="false" customHeight="true" outlineLevel="0" collapsed="false">
      <c r="A119" s="1" t="s">
        <v>1121</v>
      </c>
    </row>
    <row r="120" customFormat="false" ht="15" hidden="false" customHeight="true" outlineLevel="0" collapsed="false">
      <c r="A120" s="1" t="s">
        <v>1122</v>
      </c>
    </row>
    <row r="121" customFormat="false" ht="15" hidden="false" customHeight="true" outlineLevel="0" collapsed="false">
      <c r="A121" s="1" t="s">
        <v>1123</v>
      </c>
    </row>
    <row r="123" customFormat="false" ht="15" hidden="false" customHeight="true" outlineLevel="0" collapsed="false">
      <c r="A123" s="1" t="s">
        <v>1124</v>
      </c>
    </row>
    <row r="124" customFormat="false" ht="15" hidden="false" customHeight="true" outlineLevel="0" collapsed="false">
      <c r="A124" s="1" t="s">
        <v>1125</v>
      </c>
    </row>
    <row r="130" customFormat="false" ht="15" hidden="false" customHeight="true" outlineLevel="0" collapsed="false">
      <c r="A130" s="1" t="s">
        <v>1126</v>
      </c>
    </row>
    <row r="131" customFormat="false" ht="15" hidden="false" customHeight="true" outlineLevel="0" collapsed="false">
      <c r="A131" s="1" t="s">
        <v>1127</v>
      </c>
    </row>
    <row r="132" customFormat="false" ht="15" hidden="false" customHeight="true" outlineLevel="0" collapsed="false">
      <c r="A132" s="1" t="s">
        <v>1128</v>
      </c>
    </row>
    <row r="133" customFormat="false" ht="15" hidden="false" customHeight="true" outlineLevel="0" collapsed="false">
      <c r="A133" s="1" t="s">
        <v>1129</v>
      </c>
    </row>
    <row r="134" customFormat="false" ht="15" hidden="false" customHeight="true" outlineLevel="0" collapsed="false">
      <c r="A134" s="1" t="s">
        <v>1130</v>
      </c>
    </row>
    <row r="135" customFormat="false" ht="15" hidden="false" customHeight="true" outlineLevel="0" collapsed="false">
      <c r="A135" s="1" t="s">
        <v>1131</v>
      </c>
    </row>
    <row r="136" customFormat="false" ht="15" hidden="false" customHeight="true" outlineLevel="0" collapsed="false">
      <c r="A136" s="1" t="s">
        <v>1132</v>
      </c>
    </row>
    <row r="137" customFormat="false" ht="15" hidden="false" customHeight="true" outlineLevel="0" collapsed="false">
      <c r="A137" s="1" t="s">
        <v>1133</v>
      </c>
    </row>
    <row r="138" customFormat="false" ht="15" hidden="false" customHeight="true" outlineLevel="0" collapsed="false">
      <c r="A138" s="1" t="s">
        <v>1134</v>
      </c>
    </row>
    <row r="139" customFormat="false" ht="15" hidden="false" customHeight="true" outlineLevel="0" collapsed="false">
      <c r="A139" s="1" t="s">
        <v>1135</v>
      </c>
    </row>
    <row r="141" customFormat="false" ht="15" hidden="false" customHeight="true" outlineLevel="0" collapsed="false">
      <c r="A141" s="1" t="s">
        <v>1136</v>
      </c>
    </row>
    <row r="142" customFormat="false" ht="15" hidden="false" customHeight="true" outlineLevel="0" collapsed="false">
      <c r="A142" s="1" t="s">
        <v>1137</v>
      </c>
    </row>
    <row r="143" customFormat="false" ht="15" hidden="false" customHeight="true" outlineLevel="0" collapsed="false">
      <c r="A143" s="1" t="s">
        <v>1138</v>
      </c>
    </row>
    <row r="144" customFormat="false" ht="15" hidden="false" customHeight="true" outlineLevel="0" collapsed="false">
      <c r="A144" s="1" t="s">
        <v>1139</v>
      </c>
    </row>
    <row r="145" customFormat="false" ht="15" hidden="false" customHeight="true" outlineLevel="0" collapsed="false">
      <c r="A145" s="1" t="s">
        <v>1140</v>
      </c>
    </row>
    <row r="146" customFormat="false" ht="15" hidden="false" customHeight="true" outlineLevel="0" collapsed="false">
      <c r="A146" s="1" t="s">
        <v>1141</v>
      </c>
    </row>
    <row r="147" customFormat="false" ht="15" hidden="false" customHeight="true" outlineLevel="0" collapsed="false">
      <c r="A147" s="1" t="s">
        <v>1142</v>
      </c>
    </row>
    <row r="148" customFormat="false" ht="15" hidden="false" customHeight="true" outlineLevel="0" collapsed="false">
      <c r="A148" s="1" t="s">
        <v>1143</v>
      </c>
    </row>
    <row r="149" customFormat="false" ht="15" hidden="false" customHeight="true" outlineLevel="0" collapsed="false">
      <c r="A149" s="1" t="s">
        <v>1144</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09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1145</v>
      </c>
      <c r="B1" s="4" t="s">
        <v>1146</v>
      </c>
    </row>
    <row r="2" customFormat="false" ht="15" hidden="false" customHeight="true" outlineLevel="0" collapsed="false">
      <c r="A2" s="301" t="n">
        <v>1</v>
      </c>
      <c r="B2" s="306" t="n">
        <f aca="false">(1+Assumptions!$B$26)^INT((A2-1)/12)</f>
        <v>1</v>
      </c>
    </row>
    <row r="3" customFormat="false" ht="15" hidden="false" customHeight="true" outlineLevel="0" collapsed="false">
      <c r="A3" s="301" t="n">
        <v>2</v>
      </c>
      <c r="B3" s="306" t="n">
        <f aca="false">(1+Assumptions!$B$26)^INT((A3-1)/12)</f>
        <v>1</v>
      </c>
    </row>
    <row r="4" customFormat="false" ht="15" hidden="false" customHeight="true" outlineLevel="0" collapsed="false">
      <c r="A4" s="301" t="n">
        <v>3</v>
      </c>
      <c r="B4" s="306" t="n">
        <f aca="false">(1+Assumptions!$B$26)^INT((A4-1)/12)</f>
        <v>1</v>
      </c>
    </row>
    <row r="5" customFormat="false" ht="15" hidden="false" customHeight="true" outlineLevel="0" collapsed="false">
      <c r="A5" s="301" t="n">
        <v>4</v>
      </c>
      <c r="B5" s="306" t="n">
        <f aca="false">(1+Assumptions!$B$26)^INT((A5-1)/12)</f>
        <v>1</v>
      </c>
    </row>
    <row r="6" customFormat="false" ht="15" hidden="false" customHeight="true" outlineLevel="0" collapsed="false">
      <c r="A6" s="301" t="n">
        <v>5</v>
      </c>
      <c r="B6" s="306" t="n">
        <f aca="false">(1+Assumptions!$B$26)^INT((A6-1)/12)</f>
        <v>1</v>
      </c>
    </row>
    <row r="7" customFormat="false" ht="15" hidden="false" customHeight="true" outlineLevel="0" collapsed="false">
      <c r="A7" s="301" t="n">
        <v>6</v>
      </c>
      <c r="B7" s="306" t="n">
        <f aca="false">(1+Assumptions!$B$26)^INT((A7-1)/12)</f>
        <v>1</v>
      </c>
    </row>
    <row r="8" customFormat="false" ht="15" hidden="false" customHeight="true" outlineLevel="0" collapsed="false">
      <c r="A8" s="301" t="n">
        <v>7</v>
      </c>
      <c r="B8" s="306" t="n">
        <f aca="false">(1+Assumptions!$B$26)^INT((A8-1)/12)</f>
        <v>1</v>
      </c>
    </row>
    <row r="9" customFormat="false" ht="15" hidden="false" customHeight="true" outlineLevel="0" collapsed="false">
      <c r="A9" s="301" t="n">
        <v>8</v>
      </c>
      <c r="B9" s="306" t="n">
        <f aca="false">(1+Assumptions!$B$26)^INT((A9-1)/12)</f>
        <v>1</v>
      </c>
    </row>
    <row r="10" customFormat="false" ht="15" hidden="false" customHeight="true" outlineLevel="0" collapsed="false">
      <c r="A10" s="301" t="n">
        <v>9</v>
      </c>
      <c r="B10" s="306" t="n">
        <f aca="false">(1+Assumptions!$B$26)^INT((A10-1)/12)</f>
        <v>1</v>
      </c>
    </row>
    <row r="11" customFormat="false" ht="15" hidden="false" customHeight="true" outlineLevel="0" collapsed="false">
      <c r="A11" s="301" t="n">
        <v>10</v>
      </c>
      <c r="B11" s="306" t="n">
        <f aca="false">(1+Assumptions!$B$26)^INT((A11-1)/12)</f>
        <v>1</v>
      </c>
    </row>
    <row r="12" customFormat="false" ht="15" hidden="false" customHeight="true" outlineLevel="0" collapsed="false">
      <c r="A12" s="301" t="n">
        <v>11</v>
      </c>
      <c r="B12" s="306" t="n">
        <f aca="false">(1+Assumptions!$B$26)^INT((A12-1)/12)</f>
        <v>1</v>
      </c>
    </row>
    <row r="13" customFormat="false" ht="15" hidden="false" customHeight="true" outlineLevel="0" collapsed="false">
      <c r="A13" s="301" t="n">
        <v>12</v>
      </c>
      <c r="B13" s="306" t="n">
        <f aca="false">(1+Assumptions!$B$26)^INT((A13-1)/12)</f>
        <v>1</v>
      </c>
    </row>
    <row r="14" customFormat="false" ht="15" hidden="false" customHeight="true" outlineLevel="0" collapsed="false">
      <c r="A14" s="301" t="n">
        <v>13</v>
      </c>
      <c r="B14" s="306" t="n">
        <f aca="false">(1+Assumptions!$B$26)^INT((A14-1)/12)</f>
        <v>1.02</v>
      </c>
    </row>
    <row r="15" customFormat="false" ht="15" hidden="false" customHeight="true" outlineLevel="0" collapsed="false">
      <c r="A15" s="301" t="n">
        <v>14</v>
      </c>
      <c r="B15" s="306" t="n">
        <f aca="false">(1+Assumptions!$B$26)^INT((A15-1)/12)</f>
        <v>1.02</v>
      </c>
    </row>
    <row r="16" customFormat="false" ht="15" hidden="false" customHeight="true" outlineLevel="0" collapsed="false">
      <c r="A16" s="301" t="n">
        <v>15</v>
      </c>
      <c r="B16" s="306" t="n">
        <f aca="false">(1+Assumptions!$B$26)^INT((A16-1)/12)</f>
        <v>1.02</v>
      </c>
    </row>
    <row r="17" customFormat="false" ht="15" hidden="false" customHeight="true" outlineLevel="0" collapsed="false">
      <c r="A17" s="301" t="n">
        <v>16</v>
      </c>
      <c r="B17" s="306" t="n">
        <f aca="false">(1+Assumptions!$B$26)^INT((A17-1)/12)</f>
        <v>1.02</v>
      </c>
    </row>
    <row r="18" customFormat="false" ht="15" hidden="false" customHeight="true" outlineLevel="0" collapsed="false">
      <c r="A18" s="301" t="n">
        <v>17</v>
      </c>
      <c r="B18" s="306" t="n">
        <f aca="false">(1+Assumptions!$B$26)^INT((A18-1)/12)</f>
        <v>1.02</v>
      </c>
    </row>
    <row r="19" customFormat="false" ht="15" hidden="false" customHeight="true" outlineLevel="0" collapsed="false">
      <c r="A19" s="301" t="n">
        <v>18</v>
      </c>
      <c r="B19" s="306" t="n">
        <f aca="false">(1+Assumptions!$B$26)^INT((A19-1)/12)</f>
        <v>1.02</v>
      </c>
    </row>
    <row r="20" customFormat="false" ht="15" hidden="false" customHeight="true" outlineLevel="0" collapsed="false">
      <c r="A20" s="301" t="n">
        <v>19</v>
      </c>
      <c r="B20" s="306" t="n">
        <f aca="false">(1+Assumptions!$B$26)^INT((A20-1)/12)</f>
        <v>1.02</v>
      </c>
    </row>
    <row r="21" customFormat="false" ht="15" hidden="false" customHeight="true" outlineLevel="0" collapsed="false">
      <c r="A21" s="301" t="n">
        <v>20</v>
      </c>
      <c r="B21" s="306" t="n">
        <f aca="false">(1+Assumptions!$B$26)^INT((A21-1)/12)</f>
        <v>1.02</v>
      </c>
    </row>
    <row r="22" customFormat="false" ht="15" hidden="false" customHeight="true" outlineLevel="0" collapsed="false">
      <c r="A22" s="301" t="n">
        <v>21</v>
      </c>
      <c r="B22" s="306" t="n">
        <f aca="false">(1+Assumptions!$B$26)^INT((A22-1)/12)</f>
        <v>1.02</v>
      </c>
    </row>
    <row r="23" customFormat="false" ht="15" hidden="false" customHeight="true" outlineLevel="0" collapsed="false">
      <c r="A23" s="301" t="n">
        <v>22</v>
      </c>
      <c r="B23" s="306" t="n">
        <f aca="false">(1+Assumptions!$B$26)^INT((A23-1)/12)</f>
        <v>1.02</v>
      </c>
    </row>
    <row r="24" customFormat="false" ht="15" hidden="false" customHeight="true" outlineLevel="0" collapsed="false">
      <c r="A24" s="301" t="n">
        <v>23</v>
      </c>
      <c r="B24" s="306" t="n">
        <f aca="false">(1+Assumptions!$B$26)^INT((A24-1)/12)</f>
        <v>1.02</v>
      </c>
    </row>
    <row r="25" customFormat="false" ht="15" hidden="false" customHeight="true" outlineLevel="0" collapsed="false">
      <c r="A25" s="301" t="n">
        <v>24</v>
      </c>
      <c r="B25" s="306" t="n">
        <f aca="false">(1+Assumptions!$B$26)^INT((A25-1)/12)</f>
        <v>1.02</v>
      </c>
    </row>
    <row r="26" customFormat="false" ht="15" hidden="false" customHeight="true" outlineLevel="0" collapsed="false">
      <c r="A26" s="301" t="n">
        <v>25</v>
      </c>
      <c r="B26" s="306" t="n">
        <f aca="false">(1+Assumptions!$B$26)^INT((A26-1)/12)</f>
        <v>1.0404</v>
      </c>
    </row>
    <row r="27" customFormat="false" ht="15" hidden="false" customHeight="true" outlineLevel="0" collapsed="false">
      <c r="A27" s="301" t="n">
        <v>26</v>
      </c>
      <c r="B27" s="306" t="n">
        <f aca="false">(1+Assumptions!$B$26)^INT((A27-1)/12)</f>
        <v>1.0404</v>
      </c>
    </row>
    <row r="28" customFormat="false" ht="15" hidden="false" customHeight="true" outlineLevel="0" collapsed="false">
      <c r="A28" s="301" t="n">
        <v>27</v>
      </c>
      <c r="B28" s="306" t="n">
        <f aca="false">(1+Assumptions!$B$26)^INT((A28-1)/12)</f>
        <v>1.0404</v>
      </c>
    </row>
    <row r="29" customFormat="false" ht="15" hidden="false" customHeight="true" outlineLevel="0" collapsed="false">
      <c r="A29" s="301" t="n">
        <v>28</v>
      </c>
      <c r="B29" s="306" t="n">
        <f aca="false">(1+Assumptions!$B$26)^INT((A29-1)/12)</f>
        <v>1.0404</v>
      </c>
    </row>
    <row r="30" customFormat="false" ht="15" hidden="false" customHeight="true" outlineLevel="0" collapsed="false">
      <c r="A30" s="301" t="n">
        <v>29</v>
      </c>
      <c r="B30" s="306" t="n">
        <f aca="false">(1+Assumptions!$B$26)^INT((A30-1)/12)</f>
        <v>1.0404</v>
      </c>
    </row>
    <row r="31" customFormat="false" ht="15" hidden="false" customHeight="true" outlineLevel="0" collapsed="false">
      <c r="A31" s="301" t="n">
        <v>30</v>
      </c>
      <c r="B31" s="306" t="n">
        <f aca="false">(1+Assumptions!$B$26)^INT((A31-1)/12)</f>
        <v>1.0404</v>
      </c>
    </row>
    <row r="32" customFormat="false" ht="15" hidden="false" customHeight="true" outlineLevel="0" collapsed="false">
      <c r="A32" s="301" t="n">
        <v>31</v>
      </c>
      <c r="B32" s="306" t="n">
        <f aca="false">(1+Assumptions!$B$26)^INT((A32-1)/12)</f>
        <v>1.0404</v>
      </c>
    </row>
    <row r="33" customFormat="false" ht="15" hidden="false" customHeight="true" outlineLevel="0" collapsed="false">
      <c r="A33" s="301" t="n">
        <v>32</v>
      </c>
      <c r="B33" s="306" t="n">
        <f aca="false">(1+Assumptions!$B$26)^INT((A33-1)/12)</f>
        <v>1.0404</v>
      </c>
    </row>
    <row r="34" customFormat="false" ht="15" hidden="false" customHeight="true" outlineLevel="0" collapsed="false">
      <c r="A34" s="301" t="n">
        <v>33</v>
      </c>
      <c r="B34" s="306" t="n">
        <f aca="false">(1+Assumptions!$B$26)^INT((A34-1)/12)</f>
        <v>1.0404</v>
      </c>
    </row>
    <row r="35" customFormat="false" ht="15" hidden="false" customHeight="true" outlineLevel="0" collapsed="false">
      <c r="A35" s="301" t="n">
        <v>34</v>
      </c>
      <c r="B35" s="306" t="n">
        <f aca="false">(1+Assumptions!$B$26)^INT((A35-1)/12)</f>
        <v>1.0404</v>
      </c>
    </row>
    <row r="36" customFormat="false" ht="15" hidden="false" customHeight="true" outlineLevel="0" collapsed="false">
      <c r="A36" s="301" t="n">
        <v>35</v>
      </c>
      <c r="B36" s="306" t="n">
        <f aca="false">(1+Assumptions!$B$26)^INT((A36-1)/12)</f>
        <v>1.0404</v>
      </c>
    </row>
    <row r="37" customFormat="false" ht="15" hidden="false" customHeight="true" outlineLevel="0" collapsed="false">
      <c r="A37" s="301" t="n">
        <v>36</v>
      </c>
      <c r="B37" s="306" t="n">
        <f aca="false">(1+Assumptions!$B$26)^INT((A37-1)/12)</f>
        <v>1.0404</v>
      </c>
    </row>
    <row r="38" customFormat="false" ht="15" hidden="false" customHeight="true" outlineLevel="0" collapsed="false">
      <c r="A38" s="301" t="n">
        <v>37</v>
      </c>
      <c r="B38" s="306" t="n">
        <f aca="false">(1+Assumptions!$B$26)^INT((A38-1)/12)</f>
        <v>1.061208</v>
      </c>
    </row>
    <row r="39" customFormat="false" ht="15" hidden="false" customHeight="true" outlineLevel="0" collapsed="false">
      <c r="A39" s="301" t="n">
        <v>38</v>
      </c>
      <c r="B39" s="306" t="n">
        <f aca="false">(1+Assumptions!$B$26)^INT((A39-1)/12)</f>
        <v>1.061208</v>
      </c>
    </row>
    <row r="40" customFormat="false" ht="15" hidden="false" customHeight="true" outlineLevel="0" collapsed="false">
      <c r="A40" s="301" t="n">
        <v>39</v>
      </c>
      <c r="B40" s="306" t="n">
        <f aca="false">(1+Assumptions!$B$26)^INT((A40-1)/12)</f>
        <v>1.061208</v>
      </c>
    </row>
    <row r="41" customFormat="false" ht="15" hidden="false" customHeight="true" outlineLevel="0" collapsed="false">
      <c r="A41" s="301" t="n">
        <v>40</v>
      </c>
      <c r="B41" s="306" t="n">
        <f aca="false">(1+Assumptions!$B$26)^INT((A41-1)/12)</f>
        <v>1.061208</v>
      </c>
    </row>
    <row r="42" customFormat="false" ht="15" hidden="false" customHeight="true" outlineLevel="0" collapsed="false">
      <c r="A42" s="301" t="n">
        <v>41</v>
      </c>
      <c r="B42" s="306" t="n">
        <f aca="false">(1+Assumptions!$B$26)^INT((A42-1)/12)</f>
        <v>1.061208</v>
      </c>
    </row>
    <row r="43" customFormat="false" ht="15" hidden="false" customHeight="true" outlineLevel="0" collapsed="false">
      <c r="A43" s="301" t="n">
        <v>42</v>
      </c>
      <c r="B43" s="306" t="n">
        <f aca="false">(1+Assumptions!$B$26)^INT((A43-1)/12)</f>
        <v>1.061208</v>
      </c>
    </row>
    <row r="44" customFormat="false" ht="15" hidden="false" customHeight="true" outlineLevel="0" collapsed="false">
      <c r="A44" s="301" t="n">
        <v>43</v>
      </c>
      <c r="B44" s="306" t="n">
        <f aca="false">(1+Assumptions!$B$26)^INT((A44-1)/12)</f>
        <v>1.061208</v>
      </c>
    </row>
    <row r="45" customFormat="false" ht="15" hidden="false" customHeight="true" outlineLevel="0" collapsed="false">
      <c r="A45" s="301" t="n">
        <v>44</v>
      </c>
      <c r="B45" s="306" t="n">
        <f aca="false">(1+Assumptions!$B$26)^INT((A45-1)/12)</f>
        <v>1.061208</v>
      </c>
    </row>
    <row r="46" customFormat="false" ht="15" hidden="false" customHeight="true" outlineLevel="0" collapsed="false">
      <c r="A46" s="301" t="n">
        <v>45</v>
      </c>
      <c r="B46" s="306" t="n">
        <f aca="false">(1+Assumptions!$B$26)^INT((A46-1)/12)</f>
        <v>1.061208</v>
      </c>
    </row>
    <row r="47" customFormat="false" ht="15" hidden="false" customHeight="true" outlineLevel="0" collapsed="false">
      <c r="A47" s="301" t="n">
        <v>46</v>
      </c>
      <c r="B47" s="306" t="n">
        <f aca="false">(1+Assumptions!$B$26)^INT((A47-1)/12)</f>
        <v>1.061208</v>
      </c>
    </row>
    <row r="48" customFormat="false" ht="15" hidden="false" customHeight="true" outlineLevel="0" collapsed="false">
      <c r="A48" s="301" t="n">
        <v>47</v>
      </c>
      <c r="B48" s="306" t="n">
        <f aca="false">(1+Assumptions!$B$26)^INT((A48-1)/12)</f>
        <v>1.061208</v>
      </c>
    </row>
    <row r="49" customFormat="false" ht="15" hidden="false" customHeight="true" outlineLevel="0" collapsed="false">
      <c r="A49" s="301" t="n">
        <v>48</v>
      </c>
      <c r="B49" s="306" t="n">
        <f aca="false">(1+Assumptions!$B$26)^INT((A49-1)/12)</f>
        <v>1.061208</v>
      </c>
    </row>
    <row r="50" customFormat="false" ht="15" hidden="false" customHeight="true" outlineLevel="0" collapsed="false">
      <c r="A50" s="301" t="n">
        <v>49</v>
      </c>
      <c r="B50" s="306" t="n">
        <f aca="false">(1+Assumptions!$B$26)^INT((A50-1)/12)</f>
        <v>1.08243216</v>
      </c>
    </row>
    <row r="51" customFormat="false" ht="15" hidden="false" customHeight="true" outlineLevel="0" collapsed="false">
      <c r="A51" s="301" t="n">
        <v>50</v>
      </c>
      <c r="B51" s="306" t="n">
        <f aca="false">(1+Assumptions!$B$26)^INT((A51-1)/12)</f>
        <v>1.08243216</v>
      </c>
    </row>
    <row r="52" customFormat="false" ht="15" hidden="false" customHeight="true" outlineLevel="0" collapsed="false">
      <c r="A52" s="301" t="n">
        <v>51</v>
      </c>
      <c r="B52" s="306" t="n">
        <f aca="false">(1+Assumptions!$B$26)^INT((A52-1)/12)</f>
        <v>1.08243216</v>
      </c>
    </row>
    <row r="53" customFormat="false" ht="15" hidden="false" customHeight="true" outlineLevel="0" collapsed="false">
      <c r="A53" s="301" t="n">
        <v>52</v>
      </c>
      <c r="B53" s="306" t="n">
        <f aca="false">(1+Assumptions!$B$26)^INT((A53-1)/12)</f>
        <v>1.08243216</v>
      </c>
    </row>
    <row r="54" customFormat="false" ht="15" hidden="false" customHeight="true" outlineLevel="0" collapsed="false">
      <c r="A54" s="301" t="n">
        <v>53</v>
      </c>
      <c r="B54" s="306" t="n">
        <f aca="false">(1+Assumptions!$B$26)^INT((A54-1)/12)</f>
        <v>1.08243216</v>
      </c>
    </row>
    <row r="55" customFormat="false" ht="15" hidden="false" customHeight="true" outlineLevel="0" collapsed="false">
      <c r="A55" s="301" t="n">
        <v>54</v>
      </c>
      <c r="B55" s="306" t="n">
        <f aca="false">(1+Assumptions!$B$26)^INT((A55-1)/12)</f>
        <v>1.08243216</v>
      </c>
    </row>
    <row r="56" customFormat="false" ht="15" hidden="false" customHeight="true" outlineLevel="0" collapsed="false">
      <c r="A56" s="301" t="n">
        <v>55</v>
      </c>
      <c r="B56" s="306" t="n">
        <f aca="false">(1+Assumptions!$B$26)^INT((A56-1)/12)</f>
        <v>1.08243216</v>
      </c>
    </row>
    <row r="57" customFormat="false" ht="15" hidden="false" customHeight="true" outlineLevel="0" collapsed="false">
      <c r="A57" s="301" t="n">
        <v>56</v>
      </c>
      <c r="B57" s="306" t="n">
        <f aca="false">(1+Assumptions!$B$26)^INT((A57-1)/12)</f>
        <v>1.08243216</v>
      </c>
    </row>
    <row r="58" customFormat="false" ht="15" hidden="false" customHeight="true" outlineLevel="0" collapsed="false">
      <c r="A58" s="301" t="n">
        <v>57</v>
      </c>
      <c r="B58" s="306" t="n">
        <f aca="false">(1+Assumptions!$B$26)^INT((A58-1)/12)</f>
        <v>1.08243216</v>
      </c>
    </row>
    <row r="59" customFormat="false" ht="15" hidden="false" customHeight="true" outlineLevel="0" collapsed="false">
      <c r="A59" s="301" t="n">
        <v>58</v>
      </c>
      <c r="B59" s="306" t="n">
        <f aca="false">(1+Assumptions!$B$26)^INT((A59-1)/12)</f>
        <v>1.08243216</v>
      </c>
    </row>
    <row r="60" customFormat="false" ht="15" hidden="false" customHeight="true" outlineLevel="0" collapsed="false">
      <c r="A60" s="301" t="n">
        <v>59</v>
      </c>
      <c r="B60" s="306" t="n">
        <f aca="false">(1+Assumptions!$B$26)^INT((A60-1)/12)</f>
        <v>1.08243216</v>
      </c>
    </row>
    <row r="61" customFormat="false" ht="15" hidden="false" customHeight="true" outlineLevel="0" collapsed="false">
      <c r="A61" s="301" t="n">
        <v>60</v>
      </c>
      <c r="B61" s="306" t="n">
        <f aca="false">(1+Assumptions!$B$26)^INT((A61-1)/12)</f>
        <v>1.08243216</v>
      </c>
    </row>
    <row r="62" customFormat="false" ht="15" hidden="false" customHeight="true" outlineLevel="0" collapsed="false">
      <c r="A62" s="301" t="n">
        <v>61</v>
      </c>
      <c r="B62" s="306" t="n">
        <f aca="false">(1+Assumptions!$B$26)^INT((A62-1)/12)</f>
        <v>1.1040808032</v>
      </c>
    </row>
    <row r="63" customFormat="false" ht="15" hidden="false" customHeight="true" outlineLevel="0" collapsed="false">
      <c r="A63" s="301" t="n">
        <v>62</v>
      </c>
      <c r="B63" s="306" t="n">
        <f aca="false">(1+Assumptions!$B$26)^INT((A63-1)/12)</f>
        <v>1.1040808032</v>
      </c>
    </row>
    <row r="64" customFormat="false" ht="15" hidden="false" customHeight="true" outlineLevel="0" collapsed="false">
      <c r="A64" s="301" t="n">
        <v>63</v>
      </c>
      <c r="B64" s="306" t="n">
        <f aca="false">(1+Assumptions!$B$26)^INT((A64-1)/12)</f>
        <v>1.1040808032</v>
      </c>
    </row>
    <row r="65" customFormat="false" ht="15" hidden="false" customHeight="true" outlineLevel="0" collapsed="false">
      <c r="A65" s="301" t="n">
        <v>64</v>
      </c>
      <c r="B65" s="306" t="n">
        <f aca="false">(1+Assumptions!$B$26)^INT((A65-1)/12)</f>
        <v>1.1040808032</v>
      </c>
    </row>
    <row r="66" customFormat="false" ht="15" hidden="false" customHeight="true" outlineLevel="0" collapsed="false">
      <c r="A66" s="301" t="n">
        <v>65</v>
      </c>
      <c r="B66" s="306" t="n">
        <f aca="false">(1+Assumptions!$B$26)^INT((A66-1)/12)</f>
        <v>1.1040808032</v>
      </c>
    </row>
    <row r="67" customFormat="false" ht="15" hidden="false" customHeight="true" outlineLevel="0" collapsed="false">
      <c r="A67" s="301" t="n">
        <v>66</v>
      </c>
      <c r="B67" s="306" t="n">
        <f aca="false">(1+Assumptions!$B$26)^INT((A67-1)/12)</f>
        <v>1.1040808032</v>
      </c>
    </row>
    <row r="68" customFormat="false" ht="15" hidden="false" customHeight="true" outlineLevel="0" collapsed="false">
      <c r="A68" s="301" t="n">
        <v>67</v>
      </c>
      <c r="B68" s="306" t="n">
        <f aca="false">(1+Assumptions!$B$26)^INT((A68-1)/12)</f>
        <v>1.1040808032</v>
      </c>
    </row>
    <row r="69" customFormat="false" ht="15" hidden="false" customHeight="true" outlineLevel="0" collapsed="false">
      <c r="A69" s="301" t="n">
        <v>68</v>
      </c>
      <c r="B69" s="306" t="n">
        <f aca="false">(1+Assumptions!$B$26)^INT((A69-1)/12)</f>
        <v>1.1040808032</v>
      </c>
    </row>
    <row r="70" customFormat="false" ht="15" hidden="false" customHeight="true" outlineLevel="0" collapsed="false">
      <c r="A70" s="301" t="n">
        <v>69</v>
      </c>
      <c r="B70" s="306" t="n">
        <f aca="false">(1+Assumptions!$B$26)^INT((A70-1)/12)</f>
        <v>1.1040808032</v>
      </c>
    </row>
    <row r="71" customFormat="false" ht="15" hidden="false" customHeight="true" outlineLevel="0" collapsed="false">
      <c r="A71" s="301" t="n">
        <v>70</v>
      </c>
      <c r="B71" s="306" t="n">
        <f aca="false">(1+Assumptions!$B$26)^INT((A71-1)/12)</f>
        <v>1.1040808032</v>
      </c>
    </row>
    <row r="72" customFormat="false" ht="15" hidden="false" customHeight="true" outlineLevel="0" collapsed="false">
      <c r="A72" s="301" t="n">
        <v>71</v>
      </c>
      <c r="B72" s="306" t="n">
        <f aca="false">(1+Assumptions!$B$26)^INT((A72-1)/12)</f>
        <v>1.1040808032</v>
      </c>
    </row>
    <row r="73" customFormat="false" ht="15" hidden="false" customHeight="true" outlineLevel="0" collapsed="false">
      <c r="A73" s="301" t="n">
        <v>72</v>
      </c>
      <c r="B73" s="306" t="n">
        <f aca="false">(1+Assumptions!$B$26)^INT((A73-1)/12)</f>
        <v>1.1040808032</v>
      </c>
    </row>
    <row r="74" customFormat="false" ht="15" hidden="false" customHeight="true" outlineLevel="0" collapsed="false">
      <c r="A74" s="301" t="n">
        <v>73</v>
      </c>
      <c r="B74" s="306" t="n">
        <f aca="false">(1+Assumptions!$B$26)^INT((A74-1)/12)</f>
        <v>1.126162419264</v>
      </c>
    </row>
    <row r="75" customFormat="false" ht="15" hidden="false" customHeight="true" outlineLevel="0" collapsed="false">
      <c r="A75" s="301" t="n">
        <v>74</v>
      </c>
      <c r="B75" s="306" t="n">
        <f aca="false">(1+Assumptions!$B$26)^INT((A75-1)/12)</f>
        <v>1.126162419264</v>
      </c>
    </row>
    <row r="76" customFormat="false" ht="15" hidden="false" customHeight="true" outlineLevel="0" collapsed="false">
      <c r="A76" s="301" t="n">
        <v>75</v>
      </c>
      <c r="B76" s="306" t="n">
        <f aca="false">(1+Assumptions!$B$26)^INT((A76-1)/12)</f>
        <v>1.126162419264</v>
      </c>
    </row>
    <row r="77" customFormat="false" ht="15" hidden="false" customHeight="true" outlineLevel="0" collapsed="false">
      <c r="A77" s="301" t="n">
        <v>76</v>
      </c>
      <c r="B77" s="306" t="n">
        <f aca="false">(1+Assumptions!$B$26)^INT((A77-1)/12)</f>
        <v>1.126162419264</v>
      </c>
    </row>
    <row r="78" customFormat="false" ht="15" hidden="false" customHeight="true" outlineLevel="0" collapsed="false">
      <c r="A78" s="301" t="n">
        <v>77</v>
      </c>
      <c r="B78" s="306" t="n">
        <f aca="false">(1+Assumptions!$B$26)^INT((A78-1)/12)</f>
        <v>1.126162419264</v>
      </c>
    </row>
    <row r="79" customFormat="false" ht="15" hidden="false" customHeight="true" outlineLevel="0" collapsed="false">
      <c r="A79" s="301" t="n">
        <v>78</v>
      </c>
      <c r="B79" s="306" t="n">
        <f aca="false">(1+Assumptions!$B$26)^INT((A79-1)/12)</f>
        <v>1.126162419264</v>
      </c>
    </row>
    <row r="80" customFormat="false" ht="15" hidden="false" customHeight="true" outlineLevel="0" collapsed="false">
      <c r="A80" s="301" t="n">
        <v>79</v>
      </c>
      <c r="B80" s="306" t="n">
        <f aca="false">(1+Assumptions!$B$26)^INT((A80-1)/12)</f>
        <v>1.126162419264</v>
      </c>
    </row>
    <row r="81" customFormat="false" ht="15" hidden="false" customHeight="true" outlineLevel="0" collapsed="false">
      <c r="A81" s="301" t="n">
        <v>80</v>
      </c>
      <c r="B81" s="306" t="n">
        <f aca="false">(1+Assumptions!$B$26)^INT((A81-1)/12)</f>
        <v>1.126162419264</v>
      </c>
    </row>
    <row r="82" customFormat="false" ht="15" hidden="false" customHeight="true" outlineLevel="0" collapsed="false">
      <c r="A82" s="301" t="n">
        <v>81</v>
      </c>
      <c r="B82" s="306" t="n">
        <f aca="false">(1+Assumptions!$B$26)^INT((A82-1)/12)</f>
        <v>1.126162419264</v>
      </c>
    </row>
    <row r="83" customFormat="false" ht="15" hidden="false" customHeight="true" outlineLevel="0" collapsed="false">
      <c r="A83" s="301" t="n">
        <v>82</v>
      </c>
      <c r="B83" s="306" t="n">
        <f aca="false">(1+Assumptions!$B$26)^INT((A83-1)/12)</f>
        <v>1.126162419264</v>
      </c>
    </row>
    <row r="84" customFormat="false" ht="15" hidden="false" customHeight="true" outlineLevel="0" collapsed="false">
      <c r="A84" s="301" t="n">
        <v>83</v>
      </c>
      <c r="B84" s="306" t="n">
        <f aca="false">(1+Assumptions!$B$26)^INT((A84-1)/12)</f>
        <v>1.126162419264</v>
      </c>
    </row>
    <row r="85" customFormat="false" ht="15" hidden="false" customHeight="true" outlineLevel="0" collapsed="false">
      <c r="A85" s="301" t="n">
        <v>84</v>
      </c>
      <c r="B85" s="306"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84" t="s">
        <v>1147</v>
      </c>
      <c r="B1" s="284"/>
      <c r="C1" s="284"/>
      <c r="D1" s="284"/>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7" t="s">
        <v>1</v>
      </c>
      <c r="C3" s="301" t="n">
        <v>1</v>
      </c>
      <c r="D3" s="301" t="n">
        <v>2</v>
      </c>
      <c r="E3" s="301" t="n">
        <v>3</v>
      </c>
      <c r="F3" s="301" t="n">
        <v>4</v>
      </c>
      <c r="G3" s="301" t="n">
        <v>5</v>
      </c>
      <c r="H3" s="301" t="n">
        <v>6</v>
      </c>
      <c r="I3" s="301" t="n">
        <v>7</v>
      </c>
      <c r="J3" s="301" t="n">
        <v>8</v>
      </c>
      <c r="K3" s="301" t="n">
        <v>9</v>
      </c>
      <c r="L3" s="301" t="n">
        <v>10</v>
      </c>
      <c r="M3" s="301" t="n">
        <v>11</v>
      </c>
      <c r="N3" s="301" t="n">
        <v>12</v>
      </c>
      <c r="O3" s="301" t="n">
        <v>13</v>
      </c>
      <c r="P3" s="301" t="n">
        <v>14</v>
      </c>
      <c r="Q3" s="301" t="n">
        <v>15</v>
      </c>
      <c r="R3" s="301" t="n">
        <v>16</v>
      </c>
      <c r="S3" s="301" t="n">
        <v>17</v>
      </c>
      <c r="T3" s="301" t="n">
        <v>18</v>
      </c>
      <c r="U3" s="301" t="n">
        <v>19</v>
      </c>
      <c r="V3" s="301" t="n">
        <v>20</v>
      </c>
      <c r="W3" s="301" t="n">
        <v>21</v>
      </c>
      <c r="X3" s="301" t="n">
        <v>22</v>
      </c>
      <c r="Y3" s="301" t="n">
        <v>23</v>
      </c>
      <c r="Z3" s="301" t="n">
        <v>24</v>
      </c>
      <c r="AA3" s="301" t="n">
        <v>25</v>
      </c>
      <c r="AB3" s="301" t="n">
        <v>26</v>
      </c>
      <c r="AC3" s="301" t="n">
        <v>27</v>
      </c>
      <c r="AD3" s="301" t="n">
        <v>28</v>
      </c>
      <c r="AE3" s="301" t="n">
        <v>29</v>
      </c>
      <c r="AF3" s="301" t="n">
        <v>30</v>
      </c>
      <c r="AG3" s="301" t="n">
        <v>31</v>
      </c>
      <c r="AH3" s="301" t="n">
        <v>32</v>
      </c>
      <c r="AI3" s="301" t="n">
        <v>33</v>
      </c>
      <c r="AJ3" s="301" t="n">
        <v>34</v>
      </c>
      <c r="AK3" s="301" t="n">
        <v>35</v>
      </c>
      <c r="AL3" s="301" t="n">
        <v>36</v>
      </c>
      <c r="AM3" s="301" t="n">
        <v>37</v>
      </c>
      <c r="AN3" s="301" t="n">
        <v>38</v>
      </c>
      <c r="AO3" s="301" t="n">
        <v>39</v>
      </c>
      <c r="AP3" s="301" t="n">
        <v>40</v>
      </c>
      <c r="AQ3" s="301" t="n">
        <v>41</v>
      </c>
      <c r="AR3" s="301" t="n">
        <v>42</v>
      </c>
      <c r="AS3" s="301" t="n">
        <v>43</v>
      </c>
      <c r="AT3" s="301" t="n">
        <v>44</v>
      </c>
      <c r="AU3" s="301" t="n">
        <v>45</v>
      </c>
      <c r="AV3" s="301" t="n">
        <v>46</v>
      </c>
      <c r="AW3" s="301" t="n">
        <v>47</v>
      </c>
      <c r="AX3" s="301" t="n">
        <v>48</v>
      </c>
      <c r="AY3" s="301" t="n">
        <v>49</v>
      </c>
      <c r="AZ3" s="301" t="n">
        <v>50</v>
      </c>
      <c r="BA3" s="301" t="n">
        <v>51</v>
      </c>
      <c r="BB3" s="301" t="n">
        <v>52</v>
      </c>
      <c r="BC3" s="301" t="n">
        <v>53</v>
      </c>
      <c r="BD3" s="301" t="n">
        <v>54</v>
      </c>
      <c r="BE3" s="301" t="n">
        <v>55</v>
      </c>
      <c r="BF3" s="301" t="n">
        <v>56</v>
      </c>
      <c r="BG3" s="301" t="n">
        <v>57</v>
      </c>
      <c r="BH3" s="301" t="n">
        <v>58</v>
      </c>
      <c r="BI3" s="301" t="n">
        <v>59</v>
      </c>
      <c r="BJ3" s="301" t="n">
        <v>60</v>
      </c>
      <c r="BK3" s="301" t="n">
        <v>61</v>
      </c>
      <c r="BL3" s="301" t="n">
        <v>62</v>
      </c>
      <c r="BM3" s="301" t="n">
        <v>63</v>
      </c>
      <c r="BN3" s="301" t="n">
        <v>64</v>
      </c>
      <c r="BO3" s="301" t="n">
        <v>65</v>
      </c>
      <c r="BP3" s="301" t="n">
        <v>66</v>
      </c>
      <c r="BQ3" s="301" t="n">
        <v>67</v>
      </c>
      <c r="BR3" s="301" t="n">
        <v>68</v>
      </c>
      <c r="BS3" s="301" t="n">
        <v>69</v>
      </c>
      <c r="BT3" s="301" t="n">
        <v>70</v>
      </c>
      <c r="BU3" s="301" t="n">
        <v>71</v>
      </c>
      <c r="BV3" s="301" t="n">
        <v>72</v>
      </c>
      <c r="BW3" s="301" t="n">
        <v>73</v>
      </c>
      <c r="BX3" s="301" t="n">
        <v>74</v>
      </c>
      <c r="BY3" s="301" t="n">
        <v>75</v>
      </c>
      <c r="BZ3" s="301" t="n">
        <v>76</v>
      </c>
      <c r="CA3" s="301" t="n">
        <v>77</v>
      </c>
      <c r="CB3" s="301" t="n">
        <v>78</v>
      </c>
      <c r="CC3" s="301" t="n">
        <v>79</v>
      </c>
      <c r="CD3" s="301" t="n">
        <v>80</v>
      </c>
      <c r="CE3" s="301" t="n">
        <v>81</v>
      </c>
      <c r="CF3" s="301" t="n">
        <v>82</v>
      </c>
      <c r="CG3" s="301" t="n">
        <v>83</v>
      </c>
      <c r="CH3" s="301" t="n">
        <v>84</v>
      </c>
      <c r="CI3" s="301" t="n">
        <v>84</v>
      </c>
      <c r="CJ3" s="301" t="n">
        <v>84</v>
      </c>
      <c r="CK3" s="301" t="n">
        <v>84</v>
      </c>
      <c r="CL3" s="301" t="n">
        <v>84</v>
      </c>
      <c r="CM3" s="301" t="n">
        <v>84</v>
      </c>
      <c r="CN3" s="301" t="n">
        <v>84</v>
      </c>
      <c r="CO3" s="301" t="n">
        <v>84</v>
      </c>
      <c r="CP3" s="301" t="n">
        <v>84</v>
      </c>
      <c r="CQ3" s="301" t="n">
        <v>84</v>
      </c>
    </row>
    <row r="4" customFormat="false" ht="15" hidden="false" customHeight="true" outlineLevel="0" collapsed="false">
      <c r="A4" s="177" t="s">
        <v>1148</v>
      </c>
      <c r="C4" s="289" t="n">
        <f aca="false">(SUMPRODUCT((Personnel!$O$9:$O$100&lt;&gt;"")*(Personnel!$G$9:$G$100="Yes")*(1&gt;=Personnel!$E$9:$E$100)*((Personnel!$K$9:$K$100="")+(1&lt;=Personnel!$K$9:$K$100)&gt;0)*Personnel!$D$9:$D$100*(1-Personnel!$H$9:$H$100))+Staffing!E81)*Escalation!$B$2</f>
        <v>225047.666666667</v>
      </c>
      <c r="D4" s="289" t="n">
        <f aca="false">(SUMPRODUCT((Personnel!$O$9:$O$100&lt;&gt;"")*(Personnel!$G$9:$G$100="Yes")*(2&gt;=Personnel!$E$9:$E$100)*((Personnel!$K$9:$K$100="")+(2&lt;=Personnel!$K$9:$K$100)&gt;0)*Personnel!$D$9:$D$100*(1-Personnel!$H$9:$H$100))+Staffing!F81)*Escalation!$B$3</f>
        <v>249631</v>
      </c>
      <c r="E4" s="289" t="n">
        <f aca="false">(SUMPRODUCT((Personnel!$O$9:$O$100&lt;&gt;"")*(Personnel!$G$9:$G$100="Yes")*(3&gt;=Personnel!$E$9:$E$100)*((Personnel!$K$9:$K$100="")+(3&lt;=Personnel!$K$9:$K$100)&gt;0)*Personnel!$D$9:$D$100*(1-Personnel!$H$9:$H$100))+Staffing!G81)*Escalation!$B$4</f>
        <v>274631</v>
      </c>
      <c r="F4" s="289" t="n">
        <f aca="false">(SUMPRODUCT((Personnel!$O$9:$O$100&lt;&gt;"")*(Personnel!$G$9:$G$100="Yes")*(4&gt;=Personnel!$E$9:$E$100)*((Personnel!$K$9:$K$100="")+(4&lt;=Personnel!$K$9:$K$100)&gt;0)*Personnel!$D$9:$D$100*(1-Personnel!$H$9:$H$100))+Staffing!H81)*Escalation!$B$5</f>
        <v>288797.666666667</v>
      </c>
      <c r="G4" s="289" t="n">
        <f aca="false">(SUMPRODUCT((Personnel!$O$9:$O$100&lt;&gt;"")*(Personnel!$G$9:$G$100="Yes")*(5&gt;=Personnel!$E$9:$E$100)*((Personnel!$K$9:$K$100="")+(5&lt;=Personnel!$K$9:$K$100)&gt;0)*Personnel!$D$9:$D$100*(1-Personnel!$H$9:$H$100))+Staffing!I81)*Escalation!$B$6</f>
        <v>300881</v>
      </c>
      <c r="H4" s="289" t="n">
        <f aca="false">(SUMPRODUCT((Personnel!$O$9:$O$100&lt;&gt;"")*(Personnel!$G$9:$G$100="Yes")*(6&gt;=Personnel!$E$9:$E$100)*((Personnel!$K$9:$K$100="")+(6&lt;=Personnel!$K$9:$K$100)&gt;0)*Personnel!$D$9:$D$100*(1-Personnel!$H$9:$H$100))+Staffing!J81)*Escalation!$B$7</f>
        <v>313797.666666667</v>
      </c>
      <c r="I4" s="289" t="n">
        <f aca="false">(SUMPRODUCT((Personnel!$O$9:$O$100&lt;&gt;"")*(Personnel!$G$9:$G$100="Yes")*(7&gt;=Personnel!$E$9:$E$100)*((Personnel!$K$9:$K$100="")+(7&lt;=Personnel!$K$9:$K$100)&gt;0)*Personnel!$D$9:$D$100*(1-Personnel!$H$9:$H$100))+Staffing!K81)*Escalation!$B$8</f>
        <v>313797.666666667</v>
      </c>
      <c r="J4" s="289" t="n">
        <f aca="false">(SUMPRODUCT((Personnel!$O$9:$O$100&lt;&gt;"")*(Personnel!$G$9:$G$100="Yes")*(8&gt;=Personnel!$E$9:$E$100)*((Personnel!$K$9:$K$100="")+(8&lt;=Personnel!$K$9:$K$100)&gt;0)*Personnel!$D$9:$D$100*(1-Personnel!$H$9:$H$100))+Staffing!L81)*Escalation!$B$9</f>
        <v>313797.666666667</v>
      </c>
      <c r="K4" s="289" t="n">
        <f aca="false">(SUMPRODUCT((Personnel!$O$9:$O$100&lt;&gt;"")*(Personnel!$G$9:$G$100="Yes")*(9&gt;=Personnel!$E$9:$E$100)*((Personnel!$K$9:$K$100="")+(9&lt;=Personnel!$K$9:$K$100)&gt;0)*Personnel!$D$9:$D$100*(1-Personnel!$H$9:$H$100))+Staffing!M81)*Escalation!$B$10</f>
        <v>337547.666666667</v>
      </c>
      <c r="L4" s="289" t="n">
        <f aca="false">(SUMPRODUCT((Personnel!$O$9:$O$100&lt;&gt;"")*(Personnel!$G$9:$G$100="Yes")*(10&gt;=Personnel!$E$9:$E$100)*((Personnel!$K$9:$K$100="")+(10&lt;=Personnel!$K$9:$K$100)&gt;0)*Personnel!$D$9:$D$100*(1-Personnel!$H$9:$H$100))+Staffing!N81)*Escalation!$B$11</f>
        <v>358797.666666667</v>
      </c>
      <c r="M4" s="289" t="n">
        <f aca="false">(SUMPRODUCT((Personnel!$O$9:$O$100&lt;&gt;"")*(Personnel!$G$9:$G$100="Yes")*(11&gt;=Personnel!$E$9:$E$100)*((Personnel!$K$9:$K$100="")+(11&lt;=Personnel!$K$9:$K$100)&gt;0)*Personnel!$D$9:$D$100*(1-Personnel!$H$9:$H$100))+Staffing!O81)*Escalation!$B$12</f>
        <v>404214.333333333</v>
      </c>
      <c r="N4" s="289" t="n">
        <f aca="false">(SUMPRODUCT((Personnel!$O$9:$O$100&lt;&gt;"")*(Personnel!$G$9:$G$100="Yes")*(12&gt;=Personnel!$E$9:$E$100)*((Personnel!$K$9:$K$100="")+(12&lt;=Personnel!$K$9:$K$100)&gt;0)*Personnel!$D$9:$D$100*(1-Personnel!$H$9:$H$100))+Staffing!P81)*Escalation!$B$13</f>
        <v>404214.333333333</v>
      </c>
      <c r="O4" s="289" t="n">
        <f aca="false">(SUMPRODUCT((Personnel!$O$9:$O$100&lt;&gt;"")*(Personnel!$G$9:$G$100="Yes")*(13&gt;=Personnel!$E$9:$E$100)*((Personnel!$K$9:$K$100="")+(13&lt;=Personnel!$K$9:$K$100)&gt;0)*Personnel!$D$9:$D$100*(1-Personnel!$H$9:$H$100))+Staffing!Q81)*Escalation!$B$14</f>
        <v>436523.62</v>
      </c>
      <c r="P4" s="289" t="n">
        <f aca="false">(SUMPRODUCT((Personnel!$O$9:$O$100&lt;&gt;"")*(Personnel!$G$9:$G$100="Yes")*(14&gt;=Personnel!$E$9:$E$100)*((Personnel!$K$9:$K$100="")+(14&lt;=Personnel!$K$9:$K$100)&gt;0)*Personnel!$D$9:$D$100*(1-Personnel!$H$9:$H$100))+Staffing!R81)*Escalation!$B$15</f>
        <v>467973.62</v>
      </c>
      <c r="Q4" s="289" t="n">
        <f aca="false">(SUMPRODUCT((Personnel!$O$9:$O$100&lt;&gt;"")*(Personnel!$G$9:$G$100="Yes")*(15&gt;=Personnel!$E$9:$E$100)*((Personnel!$K$9:$K$100="")+(15&lt;=Personnel!$K$9:$K$100)&gt;0)*Personnel!$D$9:$D$100*(1-Personnel!$H$9:$H$100))+Staffing!S81)*Escalation!$B$16</f>
        <v>478598.62</v>
      </c>
      <c r="R4" s="289" t="n">
        <f aca="false">(SUMPRODUCT((Personnel!$O$9:$O$100&lt;&gt;"")*(Personnel!$G$9:$G$100="Yes")*(16&gt;=Personnel!$E$9:$E$100)*((Personnel!$K$9:$K$100="")+(16&lt;=Personnel!$K$9:$K$100)&gt;0)*Personnel!$D$9:$D$100*(1-Personnel!$H$9:$H$100))+Staffing!T81)*Escalation!$B$17</f>
        <v>489223.62</v>
      </c>
      <c r="S4" s="289" t="n">
        <f aca="false">(SUMPRODUCT((Personnel!$O$9:$O$100&lt;&gt;"")*(Personnel!$G$9:$G$100="Yes")*(17&gt;=Personnel!$E$9:$E$100)*((Personnel!$K$9:$K$100="")+(17&lt;=Personnel!$K$9:$K$100)&gt;0)*Personnel!$D$9:$D$100*(1-Personnel!$H$9:$H$100))+Staffing!U81)*Escalation!$B$18</f>
        <v>489223.62</v>
      </c>
      <c r="T4" s="289" t="n">
        <f aca="false">(SUMPRODUCT((Personnel!$O$9:$O$100&lt;&gt;"")*(Personnel!$G$9:$G$100="Yes")*(18&gt;=Personnel!$E$9:$E$100)*((Personnel!$K$9:$K$100="")+(18&lt;=Personnel!$K$9:$K$100)&gt;0)*Personnel!$D$9:$D$100*(1-Personnel!$H$9:$H$100))+Staffing!V81)*Escalation!$B$19</f>
        <v>489223.62</v>
      </c>
      <c r="U4" s="289" t="n">
        <f aca="false">(SUMPRODUCT((Personnel!$O$9:$O$100&lt;&gt;"")*(Personnel!$G$9:$G$100="Yes")*(19&gt;=Personnel!$E$9:$E$100)*((Personnel!$K$9:$K$100="")+(19&lt;=Personnel!$K$9:$K$100)&gt;0)*Personnel!$D$9:$D$100*(1-Personnel!$H$9:$H$100))+Staffing!W81)*Escalation!$B$20</f>
        <v>489223.62</v>
      </c>
      <c r="V4" s="289" t="n">
        <f aca="false">(SUMPRODUCT((Personnel!$O$9:$O$100&lt;&gt;"")*(Personnel!$G$9:$G$100="Yes")*(20&gt;=Personnel!$E$9:$E$100)*((Personnel!$K$9:$K$100="")+(20&lt;=Personnel!$K$9:$K$100)&gt;0)*Personnel!$D$9:$D$100*(1-Personnel!$H$9:$H$100))+Staffing!X81)*Escalation!$B$21</f>
        <v>489223.62</v>
      </c>
      <c r="W4" s="289" t="n">
        <f aca="false">(SUMPRODUCT((Personnel!$O$9:$O$100&lt;&gt;"")*(Personnel!$G$9:$G$100="Yes")*(21&gt;=Personnel!$E$9:$E$100)*((Personnel!$K$9:$K$100="")+(21&lt;=Personnel!$K$9:$K$100)&gt;0)*Personnel!$D$9:$D$100*(1-Personnel!$H$9:$H$100))+Staffing!Y81)*Escalation!$B$22</f>
        <v>489223.62</v>
      </c>
      <c r="X4" s="289" t="n">
        <f aca="false">(SUMPRODUCT((Personnel!$O$9:$O$100&lt;&gt;"")*(Personnel!$G$9:$G$100="Yes")*(22&gt;=Personnel!$E$9:$E$100)*((Personnel!$K$9:$K$100="")+(22&lt;=Personnel!$K$9:$K$100)&gt;0)*Personnel!$D$9:$D$100*(1-Personnel!$H$9:$H$100))+Staffing!Z81)*Escalation!$B$23</f>
        <v>478598.62</v>
      </c>
      <c r="Y4" s="289" t="n">
        <f aca="false">(SUMPRODUCT((Personnel!$O$9:$O$100&lt;&gt;"")*(Personnel!$G$9:$G$100="Yes")*(23&gt;=Personnel!$E$9:$E$100)*((Personnel!$K$9:$K$100="")+(23&lt;=Personnel!$K$9:$K$100)&gt;0)*Personnel!$D$9:$D$100*(1-Personnel!$H$9:$H$100))+Staffing!AA81)*Escalation!$B$24</f>
        <v>478598.62</v>
      </c>
      <c r="Z4" s="289" t="n">
        <f aca="false">(SUMPRODUCT((Personnel!$O$9:$O$100&lt;&gt;"")*(Personnel!$G$9:$G$100="Yes")*(24&gt;=Personnel!$E$9:$E$100)*((Personnel!$K$9:$K$100="")+(24&lt;=Personnel!$K$9:$K$100)&gt;0)*Personnel!$D$9:$D$100*(1-Personnel!$H$9:$H$100))+Staffing!AB81)*Escalation!$B$25</f>
        <v>471798.62</v>
      </c>
      <c r="AA4" s="289" t="n">
        <f aca="false">(SUMPRODUCT((Personnel!$O$9:$O$100&lt;&gt;"")*(Personnel!$G$9:$G$100="Yes")*(25&gt;=Personnel!$E$9:$E$100)*((Personnel!$K$9:$K$100="")+(25&lt;=Personnel!$K$9:$K$100)&gt;0)*Personnel!$D$9:$D$100*(1-Personnel!$H$9:$H$100))+Staffing!AC81)*Escalation!$B$26</f>
        <v>481234.5924</v>
      </c>
      <c r="AB4" s="289" t="n">
        <f aca="false">(SUMPRODUCT((Personnel!$O$9:$O$100&lt;&gt;"")*(Personnel!$G$9:$G$100="Yes")*(26&gt;=Personnel!$E$9:$E$100)*((Personnel!$K$9:$K$100="")+(26&lt;=Personnel!$K$9:$K$100)&gt;0)*Personnel!$D$9:$D$100*(1-Personnel!$H$9:$H$100))+Staffing!AD81)*Escalation!$B$27</f>
        <v>456525.0924</v>
      </c>
      <c r="AC4" s="289" t="n">
        <f aca="false">(SUMPRODUCT((Personnel!$O$9:$O$100&lt;&gt;"")*(Personnel!$G$9:$G$100="Yes")*(27&gt;=Personnel!$E$9:$E$100)*((Personnel!$K$9:$K$100="")+(27&lt;=Personnel!$K$9:$K$100)&gt;0)*Personnel!$D$9:$D$100*(1-Personnel!$H$9:$H$100))+Staffing!AE81)*Escalation!$B$28</f>
        <v>456525.0924</v>
      </c>
      <c r="AD4" s="289" t="n">
        <f aca="false">(SUMPRODUCT((Personnel!$O$9:$O$100&lt;&gt;"")*(Personnel!$G$9:$G$100="Yes")*(28&gt;=Personnel!$E$9:$E$100)*((Personnel!$K$9:$K$100="")+(28&lt;=Personnel!$K$9:$K$100)&gt;0)*Personnel!$D$9:$D$100*(1-Personnel!$H$9:$H$100))+Staffing!AF81)*Escalation!$B$29</f>
        <v>456525.0924</v>
      </c>
      <c r="AE4" s="289" t="n">
        <f aca="false">(SUMPRODUCT((Personnel!$O$9:$O$100&lt;&gt;"")*(Personnel!$G$9:$G$100="Yes")*(29&gt;=Personnel!$E$9:$E$100)*((Personnel!$K$9:$K$100="")+(29&lt;=Personnel!$K$9:$K$100)&gt;0)*Personnel!$D$9:$D$100*(1-Personnel!$H$9:$H$100))+Staffing!AG81)*Escalation!$B$30</f>
        <v>456525.0924</v>
      </c>
      <c r="AF4" s="289" t="n">
        <f aca="false">(SUMPRODUCT((Personnel!$O$9:$O$100&lt;&gt;"")*(Personnel!$G$9:$G$100="Yes")*(30&gt;=Personnel!$E$9:$E$100)*((Personnel!$K$9:$K$100="")+(30&lt;=Personnel!$K$9:$K$100)&gt;0)*Personnel!$D$9:$D$100*(1-Personnel!$H$9:$H$100))+Staffing!AH81)*Escalation!$B$31</f>
        <v>442653.0924</v>
      </c>
      <c r="AG4" s="289" t="n">
        <f aca="false">(SUMPRODUCT((Personnel!$O$9:$O$100&lt;&gt;"")*(Personnel!$G$9:$G$100="Yes")*(31&gt;=Personnel!$E$9:$E$100)*((Personnel!$K$9:$K$100="")+(31&lt;=Personnel!$K$9:$K$100)&gt;0)*Personnel!$D$9:$D$100*(1-Personnel!$H$9:$H$100))+Staffing!AI81)*Escalation!$B$32</f>
        <v>442653.0924</v>
      </c>
      <c r="AH4" s="289" t="n">
        <f aca="false">(SUMPRODUCT((Personnel!$O$9:$O$100&lt;&gt;"")*(Personnel!$G$9:$G$100="Yes")*(32&gt;=Personnel!$E$9:$E$100)*((Personnel!$K$9:$K$100="")+(32&lt;=Personnel!$K$9:$K$100)&gt;0)*Personnel!$D$9:$D$100*(1-Personnel!$H$9:$H$100))+Staffing!AJ81)*Escalation!$B$33</f>
        <v>442653.0924</v>
      </c>
      <c r="AI4" s="289" t="n">
        <f aca="false">(SUMPRODUCT((Personnel!$O$9:$O$100&lt;&gt;"")*(Personnel!$G$9:$G$100="Yes")*(33&gt;=Personnel!$E$9:$E$100)*((Personnel!$K$9:$K$100="")+(33&lt;=Personnel!$K$9:$K$100)&gt;0)*Personnel!$D$9:$D$100*(1-Personnel!$H$9:$H$100))+Staffing!AK81)*Escalation!$B$34</f>
        <v>442653.0924</v>
      </c>
      <c r="AJ4" s="289" t="n">
        <f aca="false">(SUMPRODUCT((Personnel!$O$9:$O$100&lt;&gt;"")*(Personnel!$G$9:$G$100="Yes")*(34&gt;=Personnel!$E$9:$E$100)*((Personnel!$K$9:$K$100="")+(34&lt;=Personnel!$K$9:$K$100)&gt;0)*Personnel!$D$9:$D$100*(1-Personnel!$H$9:$H$100))+Staffing!AL81)*Escalation!$B$35</f>
        <v>435717.0924</v>
      </c>
      <c r="AK4" s="289" t="n">
        <f aca="false">(SUMPRODUCT((Personnel!$O$9:$O$100&lt;&gt;"")*(Personnel!$G$9:$G$100="Yes")*(35&gt;=Personnel!$E$9:$E$100)*((Personnel!$K$9:$K$100="")+(35&lt;=Personnel!$K$9:$K$100)&gt;0)*Personnel!$D$9:$D$100*(1-Personnel!$H$9:$H$100))+Staffing!AM81)*Escalation!$B$36</f>
        <v>381096.0924</v>
      </c>
      <c r="AL4" s="289" t="n">
        <f aca="false">(SUMPRODUCT((Personnel!$O$9:$O$100&lt;&gt;"")*(Personnel!$G$9:$G$100="Yes")*(36&gt;=Personnel!$E$9:$E$100)*((Personnel!$K$9:$K$100="")+(36&lt;=Personnel!$K$9:$K$100)&gt;0)*Personnel!$D$9:$D$100*(1-Personnel!$H$9:$H$100))+Staffing!AN81)*Escalation!$B$37</f>
        <v>356386.5924</v>
      </c>
      <c r="AM4" s="289" t="n">
        <f aca="false">(SUMPRODUCT((Personnel!$O$9:$O$100&lt;&gt;"")*(Personnel!$G$9:$G$100="Yes")*(37&gt;=Personnel!$E$9:$E$100)*((Personnel!$K$9:$K$100="")+(37&lt;=Personnel!$K$9:$K$100)&gt;0)*Personnel!$D$9:$D$100*(1-Personnel!$H$9:$H$100))+Staffing!AO81)*Escalation!$B$38</f>
        <v>363514.324248</v>
      </c>
      <c r="AN4" s="289" t="n">
        <f aca="false">(SUMPRODUCT((Personnel!$O$9:$O$100&lt;&gt;"")*(Personnel!$G$9:$G$100="Yes")*(38&gt;=Personnel!$E$9:$E$100)*((Personnel!$K$9:$K$100="")+(38&lt;=Personnel!$K$9:$K$100)&gt;0)*Personnel!$D$9:$D$100*(1-Personnel!$H$9:$H$100))+Staffing!AP81)*Escalation!$B$39</f>
        <v>363514.324248</v>
      </c>
      <c r="AO4" s="289" t="n">
        <f aca="false">(SUMPRODUCT((Personnel!$O$9:$O$100&lt;&gt;"")*(Personnel!$G$9:$G$100="Yes")*(39&gt;=Personnel!$E$9:$E$100)*((Personnel!$K$9:$K$100="")+(39&lt;=Personnel!$K$9:$K$100)&gt;0)*Personnel!$D$9:$D$100*(1-Personnel!$H$9:$H$100))+Staffing!AQ81)*Escalation!$B$40</f>
        <v>340963.654248</v>
      </c>
      <c r="AP4" s="289" t="n">
        <f aca="false">(SUMPRODUCT((Personnel!$O$9:$O$100&lt;&gt;"")*(Personnel!$G$9:$G$100="Yes")*(40&gt;=Personnel!$E$9:$E$100)*((Personnel!$K$9:$K$100="")+(40&lt;=Personnel!$K$9:$K$100)&gt;0)*Personnel!$D$9:$D$100*(1-Personnel!$H$9:$H$100))+Staffing!AR81)*Escalation!$B$41</f>
        <v>340963.654248</v>
      </c>
      <c r="AQ4" s="289" t="n">
        <f aca="false">(SUMPRODUCT((Personnel!$O$9:$O$100&lt;&gt;"")*(Personnel!$G$9:$G$100="Yes")*(41&gt;=Personnel!$E$9:$E$100)*((Personnel!$K$9:$K$100="")+(41&lt;=Personnel!$K$9:$K$100)&gt;0)*Personnel!$D$9:$D$100*(1-Personnel!$H$9:$H$100))+Staffing!AS81)*Escalation!$B$42</f>
        <v>329909.404248</v>
      </c>
      <c r="AR4" s="289" t="n">
        <f aca="false">(SUMPRODUCT((Personnel!$O$9:$O$100&lt;&gt;"")*(Personnel!$G$9:$G$100="Yes")*(42&gt;=Personnel!$E$9:$E$100)*((Personnel!$K$9:$K$100="")+(42&lt;=Personnel!$K$9:$K$100)&gt;0)*Personnel!$D$9:$D$100*(1-Personnel!$H$9:$H$100))+Staffing!AT81)*Escalation!$B$43</f>
        <v>329909.404248</v>
      </c>
      <c r="AS4" s="289" t="n">
        <f aca="false">(SUMPRODUCT((Personnel!$O$9:$O$100&lt;&gt;"")*(Personnel!$G$9:$G$100="Yes")*(43&gt;=Personnel!$E$9:$E$100)*((Personnel!$K$9:$K$100="")+(43&lt;=Personnel!$K$9:$K$100)&gt;0)*Personnel!$D$9:$D$100*(1-Personnel!$H$9:$H$100))+Staffing!AU81)*Escalation!$B$44</f>
        <v>329909.404248</v>
      </c>
      <c r="AT4" s="289" t="n">
        <f aca="false">(SUMPRODUCT((Personnel!$O$9:$O$100&lt;&gt;"")*(Personnel!$G$9:$G$100="Yes")*(44&gt;=Personnel!$E$9:$E$100)*((Personnel!$K$9:$K$100="")+(44&lt;=Personnel!$K$9:$K$100)&gt;0)*Personnel!$D$9:$D$100*(1-Personnel!$H$9:$H$100))+Staffing!AV81)*Escalation!$B$45</f>
        <v>329909.404248</v>
      </c>
      <c r="AU4" s="289" t="n">
        <f aca="false">(SUMPRODUCT((Personnel!$O$9:$O$100&lt;&gt;"")*(Personnel!$G$9:$G$100="Yes")*(45&gt;=Personnel!$E$9:$E$100)*((Personnel!$K$9:$K$100="")+(45&lt;=Personnel!$K$9:$K$100)&gt;0)*Personnel!$D$9:$D$100*(1-Personnel!$H$9:$H$100))+Staffing!AW81)*Escalation!$B$46</f>
        <v>329909.404248</v>
      </c>
      <c r="AV4" s="289" t="n">
        <f aca="false">(SUMPRODUCT((Personnel!$O$9:$O$100&lt;&gt;"")*(Personnel!$G$9:$G$100="Yes")*(46&gt;=Personnel!$E$9:$E$100)*((Personnel!$K$9:$K$100="")+(46&lt;=Personnel!$K$9:$K$100)&gt;0)*Personnel!$D$9:$D$100*(1-Personnel!$H$9:$H$100))+Staffing!AX81)*Escalation!$B$47</f>
        <v>329909.404248</v>
      </c>
      <c r="AW4" s="289" t="n">
        <f aca="false">(SUMPRODUCT((Personnel!$O$9:$O$100&lt;&gt;"")*(Personnel!$G$9:$G$100="Yes")*(47&gt;=Personnel!$E$9:$E$100)*((Personnel!$K$9:$K$100="")+(47&lt;=Personnel!$K$9:$K$100)&gt;0)*Personnel!$D$9:$D$100*(1-Personnel!$H$9:$H$100))+Staffing!AY81)*Escalation!$B$48</f>
        <v>329909.404248</v>
      </c>
      <c r="AX4" s="289" t="n">
        <f aca="false">(SUMPRODUCT((Personnel!$O$9:$O$100&lt;&gt;"")*(Personnel!$G$9:$G$100="Yes")*(48&gt;=Personnel!$E$9:$E$100)*((Personnel!$K$9:$K$100="")+(48&lt;=Personnel!$K$9:$K$100)&gt;0)*Personnel!$D$9:$D$100*(1-Personnel!$H$9:$H$100))+Staffing!AZ81)*Escalation!$B$49</f>
        <v>329909.404248</v>
      </c>
      <c r="AY4" s="289" t="n">
        <f aca="false">(SUMPRODUCT((Personnel!$O$9:$O$100&lt;&gt;"")*(Personnel!$G$9:$G$100="Yes")*(49&gt;=Personnel!$E$9:$E$100)*((Personnel!$K$9:$K$100="")+(49&lt;=Personnel!$K$9:$K$100)&gt;0)*Personnel!$D$9:$D$100*(1-Personnel!$H$9:$H$100))+Staffing!BA81)*Escalation!$B$50</f>
        <v>336507.59233296</v>
      </c>
      <c r="AZ4" s="289" t="n">
        <f aca="false">(SUMPRODUCT((Personnel!$O$9:$O$100&lt;&gt;"")*(Personnel!$G$9:$G$100="Yes")*(50&gt;=Personnel!$E$9:$E$100)*((Personnel!$K$9:$K$100="")+(50&lt;=Personnel!$K$9:$K$100)&gt;0)*Personnel!$D$9:$D$100*(1-Personnel!$H$9:$H$100))+Staffing!BB81)*Escalation!$B$51</f>
        <v>336507.59233296</v>
      </c>
      <c r="BA4" s="289" t="n">
        <f aca="false">(SUMPRODUCT((Personnel!$O$9:$O$100&lt;&gt;"")*(Personnel!$G$9:$G$100="Yes")*(51&gt;=Personnel!$E$9:$E$100)*((Personnel!$K$9:$K$100="")+(51&lt;=Personnel!$K$9:$K$100)&gt;0)*Personnel!$D$9:$D$100*(1-Personnel!$H$9:$H$100))+Staffing!BC81)*Escalation!$B$52</f>
        <v>336507.59233296</v>
      </c>
      <c r="BB4" s="289" t="n">
        <f aca="false">(SUMPRODUCT((Personnel!$O$9:$O$100&lt;&gt;"")*(Personnel!$G$9:$G$100="Yes")*(52&gt;=Personnel!$E$9:$E$100)*((Personnel!$K$9:$K$100="")+(52&lt;=Personnel!$K$9:$K$100)&gt;0)*Personnel!$D$9:$D$100*(1-Personnel!$H$9:$H$100))+Staffing!BD81)*Escalation!$B$53</f>
        <v>336507.59233296</v>
      </c>
      <c r="BC4" s="289" t="n">
        <f aca="false">(SUMPRODUCT((Personnel!$O$9:$O$100&lt;&gt;"")*(Personnel!$G$9:$G$100="Yes")*(53&gt;=Personnel!$E$9:$E$100)*((Personnel!$K$9:$K$100="")+(53&lt;=Personnel!$K$9:$K$100)&gt;0)*Personnel!$D$9:$D$100*(1-Personnel!$H$9:$H$100))+Staffing!BE81)*Escalation!$B$54</f>
        <v>336507.59233296</v>
      </c>
      <c r="BD4" s="289" t="n">
        <f aca="false">(SUMPRODUCT((Personnel!$O$9:$O$100&lt;&gt;"")*(Personnel!$G$9:$G$100="Yes")*(54&gt;=Personnel!$E$9:$E$100)*((Personnel!$K$9:$K$100="")+(54&lt;=Personnel!$K$9:$K$100)&gt;0)*Personnel!$D$9:$D$100*(1-Personnel!$H$9:$H$100))+Staffing!BF81)*Escalation!$B$55</f>
        <v>336507.59233296</v>
      </c>
      <c r="BE4" s="289" t="n">
        <f aca="false">(SUMPRODUCT((Personnel!$O$9:$O$100&lt;&gt;"")*(Personnel!$G$9:$G$100="Yes")*(55&gt;=Personnel!$E$9:$E$100)*((Personnel!$K$9:$K$100="")+(55&lt;=Personnel!$K$9:$K$100)&gt;0)*Personnel!$D$9:$D$100*(1-Personnel!$H$9:$H$100))+Staffing!BG81)*Escalation!$B$56</f>
        <v>336507.59233296</v>
      </c>
      <c r="BF4" s="289" t="n">
        <f aca="false">(SUMPRODUCT((Personnel!$O$9:$O$100&lt;&gt;"")*(Personnel!$G$9:$G$100="Yes")*(56&gt;=Personnel!$E$9:$E$100)*((Personnel!$K$9:$K$100="")+(56&lt;=Personnel!$K$9:$K$100)&gt;0)*Personnel!$D$9:$D$100*(1-Personnel!$H$9:$H$100))+Staffing!BH81)*Escalation!$B$57</f>
        <v>336507.59233296</v>
      </c>
      <c r="BG4" s="289" t="n">
        <f aca="false">(SUMPRODUCT((Personnel!$O$9:$O$100&lt;&gt;"")*(Personnel!$G$9:$G$100="Yes")*(57&gt;=Personnel!$E$9:$E$100)*((Personnel!$K$9:$K$100="")+(57&lt;=Personnel!$K$9:$K$100)&gt;0)*Personnel!$D$9:$D$100*(1-Personnel!$H$9:$H$100))+Staffing!BI81)*Escalation!$B$58</f>
        <v>336507.59233296</v>
      </c>
      <c r="BH4" s="289" t="n">
        <f aca="false">(SUMPRODUCT((Personnel!$O$9:$O$100&lt;&gt;"")*(Personnel!$G$9:$G$100="Yes")*(58&gt;=Personnel!$E$9:$E$100)*((Personnel!$K$9:$K$100="")+(58&lt;=Personnel!$K$9:$K$100)&gt;0)*Personnel!$D$9:$D$100*(1-Personnel!$H$9:$H$100))+Staffing!BJ81)*Escalation!$B$59</f>
        <v>336507.59233296</v>
      </c>
      <c r="BI4" s="289" t="n">
        <f aca="false">(SUMPRODUCT((Personnel!$O$9:$O$100&lt;&gt;"")*(Personnel!$G$9:$G$100="Yes")*(59&gt;=Personnel!$E$9:$E$100)*((Personnel!$K$9:$K$100="")+(59&lt;=Personnel!$K$9:$K$100)&gt;0)*Personnel!$D$9:$D$100*(1-Personnel!$H$9:$H$100))+Staffing!BK81)*Escalation!$B$60</f>
        <v>336507.59233296</v>
      </c>
      <c r="BJ4" s="289" t="n">
        <f aca="false">(SUMPRODUCT((Personnel!$O$9:$O$100&lt;&gt;"")*(Personnel!$G$9:$G$100="Yes")*(60&gt;=Personnel!$E$9:$E$100)*((Personnel!$K$9:$K$100="")+(60&lt;=Personnel!$K$9:$K$100)&gt;0)*Personnel!$D$9:$D$100*(1-Personnel!$H$9:$H$100))+Staffing!BL81)*Escalation!$B$61</f>
        <v>336507.59233296</v>
      </c>
      <c r="BK4" s="289" t="n">
        <f aca="false">(SUMPRODUCT((Personnel!$O$9:$O$100&lt;&gt;"")*(Personnel!$G$9:$G$100="Yes")*(61&gt;=Personnel!$E$9:$E$100)*((Personnel!$K$9:$K$100="")+(61&lt;=Personnel!$K$9:$K$100)&gt;0)*Personnel!$D$9:$D$100*(1-Personnel!$H$9:$H$100))+Staffing!BM81)*Escalation!$B$62</f>
        <v>343237.744179619</v>
      </c>
      <c r="BL4" s="289" t="n">
        <f aca="false">(SUMPRODUCT((Personnel!$O$9:$O$100&lt;&gt;"")*(Personnel!$G$9:$G$100="Yes")*(62&gt;=Personnel!$E$9:$E$100)*((Personnel!$K$9:$K$100="")+(62&lt;=Personnel!$K$9:$K$100)&gt;0)*Personnel!$D$9:$D$100*(1-Personnel!$H$9:$H$100))+Staffing!BN81)*Escalation!$B$63</f>
        <v>343237.744179619</v>
      </c>
      <c r="BM4" s="289" t="n">
        <f aca="false">(SUMPRODUCT((Personnel!$O$9:$O$100&lt;&gt;"")*(Personnel!$G$9:$G$100="Yes")*(63&gt;=Personnel!$E$9:$E$100)*((Personnel!$K$9:$K$100="")+(63&lt;=Personnel!$K$9:$K$100)&gt;0)*Personnel!$D$9:$D$100*(1-Personnel!$H$9:$H$100))+Staffing!BO81)*Escalation!$B$64</f>
        <v>343237.744179619</v>
      </c>
      <c r="BN4" s="289" t="n">
        <f aca="false">(SUMPRODUCT((Personnel!$O$9:$O$100&lt;&gt;"")*(Personnel!$G$9:$G$100="Yes")*(64&gt;=Personnel!$E$9:$E$100)*((Personnel!$K$9:$K$100="")+(64&lt;=Personnel!$K$9:$K$100)&gt;0)*Personnel!$D$9:$D$100*(1-Personnel!$H$9:$H$100))+Staffing!BP81)*Escalation!$B$65</f>
        <v>343237.744179619</v>
      </c>
      <c r="BO4" s="289" t="n">
        <f aca="false">(SUMPRODUCT((Personnel!$O$9:$O$100&lt;&gt;"")*(Personnel!$G$9:$G$100="Yes")*(65&gt;=Personnel!$E$9:$E$100)*((Personnel!$K$9:$K$100="")+(65&lt;=Personnel!$K$9:$K$100)&gt;0)*Personnel!$D$9:$D$100*(1-Personnel!$H$9:$H$100))+Staffing!BQ81)*Escalation!$B$66</f>
        <v>343237.744179619</v>
      </c>
      <c r="BP4" s="289" t="n">
        <f aca="false">(SUMPRODUCT((Personnel!$O$9:$O$100&lt;&gt;"")*(Personnel!$G$9:$G$100="Yes")*(66&gt;=Personnel!$E$9:$E$100)*((Personnel!$K$9:$K$100="")+(66&lt;=Personnel!$K$9:$K$100)&gt;0)*Personnel!$D$9:$D$100*(1-Personnel!$H$9:$H$100))+Staffing!BR81)*Escalation!$B$67</f>
        <v>343237.744179619</v>
      </c>
      <c r="BQ4" s="289" t="n">
        <f aca="false">(SUMPRODUCT((Personnel!$O$9:$O$100&lt;&gt;"")*(Personnel!$G$9:$G$100="Yes")*(67&gt;=Personnel!$E$9:$E$100)*((Personnel!$K$9:$K$100="")+(67&lt;=Personnel!$K$9:$K$100)&gt;0)*Personnel!$D$9:$D$100*(1-Personnel!$H$9:$H$100))+Staffing!BS81)*Escalation!$B$68</f>
        <v>343237.744179619</v>
      </c>
      <c r="BR4" s="289" t="n">
        <f aca="false">(SUMPRODUCT((Personnel!$O$9:$O$100&lt;&gt;"")*(Personnel!$G$9:$G$100="Yes")*(68&gt;=Personnel!$E$9:$E$100)*((Personnel!$K$9:$K$100="")+(68&lt;=Personnel!$K$9:$K$100)&gt;0)*Personnel!$D$9:$D$100*(1-Personnel!$H$9:$H$100))+Staffing!BT81)*Escalation!$B$69</f>
        <v>343237.744179619</v>
      </c>
      <c r="BS4" s="289" t="n">
        <f aca="false">(SUMPRODUCT((Personnel!$O$9:$O$100&lt;&gt;"")*(Personnel!$G$9:$G$100="Yes")*(69&gt;=Personnel!$E$9:$E$100)*((Personnel!$K$9:$K$100="")+(69&lt;=Personnel!$K$9:$K$100)&gt;0)*Personnel!$D$9:$D$100*(1-Personnel!$H$9:$H$100))+Staffing!BU81)*Escalation!$B$70</f>
        <v>343237.744179619</v>
      </c>
      <c r="BT4" s="289" t="n">
        <f aca="false">(SUMPRODUCT((Personnel!$O$9:$O$100&lt;&gt;"")*(Personnel!$G$9:$G$100="Yes")*(70&gt;=Personnel!$E$9:$E$100)*((Personnel!$K$9:$K$100="")+(70&lt;=Personnel!$K$9:$K$100)&gt;0)*Personnel!$D$9:$D$100*(1-Personnel!$H$9:$H$100))+Staffing!BV81)*Escalation!$B$71</f>
        <v>343237.744179619</v>
      </c>
      <c r="BU4" s="289" t="n">
        <f aca="false">(SUMPRODUCT((Personnel!$O$9:$O$100&lt;&gt;"")*(Personnel!$G$9:$G$100="Yes")*(71&gt;=Personnel!$E$9:$E$100)*((Personnel!$K$9:$K$100="")+(71&lt;=Personnel!$K$9:$K$100)&gt;0)*Personnel!$D$9:$D$100*(1-Personnel!$H$9:$H$100))+Staffing!BW81)*Escalation!$B$72</f>
        <v>343237.744179619</v>
      </c>
      <c r="BV4" s="289" t="n">
        <f aca="false">(SUMPRODUCT((Personnel!$O$9:$O$100&lt;&gt;"")*(Personnel!$G$9:$G$100="Yes")*(72&gt;=Personnel!$E$9:$E$100)*((Personnel!$K$9:$K$100="")+(72&lt;=Personnel!$K$9:$K$100)&gt;0)*Personnel!$D$9:$D$100*(1-Personnel!$H$9:$H$100))+Staffing!BX81)*Escalation!$B$73</f>
        <v>343237.744179619</v>
      </c>
      <c r="BW4" s="289" t="n">
        <f aca="false">(SUMPRODUCT((Personnel!$O$9:$O$100&lt;&gt;"")*(Personnel!$G$9:$G$100="Yes")*(73&gt;=Personnel!$E$9:$E$100)*((Personnel!$K$9:$K$100="")+(73&lt;=Personnel!$K$9:$K$100)&gt;0)*Personnel!$D$9:$D$100*(1-Personnel!$H$9:$H$100))+Staffing!BY81)*Escalation!$B$74</f>
        <v>350102.499063212</v>
      </c>
      <c r="BX4" s="289" t="n">
        <f aca="false">(SUMPRODUCT((Personnel!$O$9:$O$100&lt;&gt;"")*(Personnel!$G$9:$G$100="Yes")*(74&gt;=Personnel!$E$9:$E$100)*((Personnel!$K$9:$K$100="")+(74&lt;=Personnel!$K$9:$K$100)&gt;0)*Personnel!$D$9:$D$100*(1-Personnel!$H$9:$H$100))+Staffing!BZ81)*Escalation!$B$75</f>
        <v>350102.499063212</v>
      </c>
      <c r="BY4" s="289" t="n">
        <f aca="false">(SUMPRODUCT((Personnel!$O$9:$O$100&lt;&gt;"")*(Personnel!$G$9:$G$100="Yes")*(75&gt;=Personnel!$E$9:$E$100)*((Personnel!$K$9:$K$100="")+(75&lt;=Personnel!$K$9:$K$100)&gt;0)*Personnel!$D$9:$D$100*(1-Personnel!$H$9:$H$100))+Staffing!CA81)*Escalation!$B$76</f>
        <v>350102.499063212</v>
      </c>
      <c r="BZ4" s="289" t="n">
        <f aca="false">(SUMPRODUCT((Personnel!$O$9:$O$100&lt;&gt;"")*(Personnel!$G$9:$G$100="Yes")*(76&gt;=Personnel!$E$9:$E$100)*((Personnel!$K$9:$K$100="")+(76&lt;=Personnel!$K$9:$K$100)&gt;0)*Personnel!$D$9:$D$100*(1-Personnel!$H$9:$H$100))+Staffing!CB81)*Escalation!$B$77</f>
        <v>350102.499063212</v>
      </c>
      <c r="CA4" s="289" t="n">
        <f aca="false">(SUMPRODUCT((Personnel!$O$9:$O$100&lt;&gt;"")*(Personnel!$G$9:$G$100="Yes")*(77&gt;=Personnel!$E$9:$E$100)*((Personnel!$K$9:$K$100="")+(77&lt;=Personnel!$K$9:$K$100)&gt;0)*Personnel!$D$9:$D$100*(1-Personnel!$H$9:$H$100))+Staffing!CC81)*Escalation!$B$78</f>
        <v>350102.499063212</v>
      </c>
      <c r="CB4" s="289" t="n">
        <f aca="false">(SUMPRODUCT((Personnel!$O$9:$O$100&lt;&gt;"")*(Personnel!$G$9:$G$100="Yes")*(78&gt;=Personnel!$E$9:$E$100)*((Personnel!$K$9:$K$100="")+(78&lt;=Personnel!$K$9:$K$100)&gt;0)*Personnel!$D$9:$D$100*(1-Personnel!$H$9:$H$100))+Staffing!CD81)*Escalation!$B$79</f>
        <v>350102.499063212</v>
      </c>
      <c r="CC4" s="289" t="n">
        <f aca="false">(SUMPRODUCT((Personnel!$O$9:$O$100&lt;&gt;"")*(Personnel!$G$9:$G$100="Yes")*(79&gt;=Personnel!$E$9:$E$100)*((Personnel!$K$9:$K$100="")+(79&lt;=Personnel!$K$9:$K$100)&gt;0)*Personnel!$D$9:$D$100*(1-Personnel!$H$9:$H$100))+Staffing!CE81)*Escalation!$B$80</f>
        <v>350102.499063212</v>
      </c>
      <c r="CD4" s="289" t="n">
        <f aca="false">(SUMPRODUCT((Personnel!$O$9:$O$100&lt;&gt;"")*(Personnel!$G$9:$G$100="Yes")*(80&gt;=Personnel!$E$9:$E$100)*((Personnel!$K$9:$K$100="")+(80&lt;=Personnel!$K$9:$K$100)&gt;0)*Personnel!$D$9:$D$100*(1-Personnel!$H$9:$H$100))+Staffing!CF81)*Escalation!$B$81</f>
        <v>350102.499063212</v>
      </c>
      <c r="CE4" s="289" t="n">
        <f aca="false">(SUMPRODUCT((Personnel!$O$9:$O$100&lt;&gt;"")*(Personnel!$G$9:$G$100="Yes")*(81&gt;=Personnel!$E$9:$E$100)*((Personnel!$K$9:$K$100="")+(81&lt;=Personnel!$K$9:$K$100)&gt;0)*Personnel!$D$9:$D$100*(1-Personnel!$H$9:$H$100))+Staffing!CG81)*Escalation!$B$82</f>
        <v>350102.499063212</v>
      </c>
      <c r="CF4" s="289" t="n">
        <f aca="false">(SUMPRODUCT((Personnel!$O$9:$O$100&lt;&gt;"")*(Personnel!$G$9:$G$100="Yes")*(82&gt;=Personnel!$E$9:$E$100)*((Personnel!$K$9:$K$100="")+(82&lt;=Personnel!$K$9:$K$100)&gt;0)*Personnel!$D$9:$D$100*(1-Personnel!$H$9:$H$100))+Staffing!CH81)*Escalation!$B$83</f>
        <v>350102.499063212</v>
      </c>
      <c r="CG4" s="289" t="n">
        <f aca="false">(SUMPRODUCT((Personnel!$O$9:$O$100&lt;&gt;"")*(Personnel!$G$9:$G$100="Yes")*(83&gt;=Personnel!$E$9:$E$100)*((Personnel!$K$9:$K$100="")+(83&lt;=Personnel!$K$9:$K$100)&gt;0)*Personnel!$D$9:$D$100*(1-Personnel!$H$9:$H$100))+Staffing!CI81)*Escalation!$B$84</f>
        <v>350102.499063212</v>
      </c>
      <c r="CH4" s="289" t="n">
        <f aca="false">(SUMPRODUCT((Personnel!$O$9:$O$100&lt;&gt;"")*(Personnel!$G$9:$G$100="Yes")*(84&gt;=Personnel!$E$9:$E$100)*((Personnel!$K$9:$K$100="")+(84&lt;=Personnel!$K$9:$K$100)&gt;0)*Personnel!$D$9:$D$100*(1-Personnel!$H$9:$H$100))+Staffing!CJ81)*Escalation!$B$85</f>
        <v>350102.499063212</v>
      </c>
      <c r="CI4" s="289" t="n">
        <f aca="false">(SUMPRODUCT((Personnel!$O$9:$O$100&lt;&gt;"")*(Personnel!$G$9:$G$100="Yes")*(85&gt;=Personnel!$E$9:$E$100)*((Personnel!$K$9:$K$100="")+(85&lt;=Personnel!$K$9:$K$100)&gt;0)*Personnel!$D$9:$D$100*(1-Personnel!$H$9:$H$100))+Staffing!CK81)*Escalation!$B$86</f>
        <v>357104.549044476</v>
      </c>
      <c r="CJ4" s="289" t="n">
        <f aca="false">(SUMPRODUCT((Personnel!$O$9:$O$100&lt;&gt;"")*(Personnel!$G$9:$G$100="Yes")*(86&gt;=Personnel!$E$9:$E$100)*((Personnel!$K$9:$K$100="")+(86&lt;=Personnel!$K$9:$K$100)&gt;0)*Personnel!$D$9:$D$100*(1-Personnel!$H$9:$H$100))+Staffing!CL81)*Escalation!$B$87</f>
        <v>357104.549044476</v>
      </c>
      <c r="CK4" s="289" t="n">
        <f aca="false">(SUMPRODUCT((Personnel!$O$9:$O$100&lt;&gt;"")*(Personnel!$G$9:$G$100="Yes")*(87&gt;=Personnel!$E$9:$E$100)*((Personnel!$K$9:$K$100="")+(87&lt;=Personnel!$K$9:$K$100)&gt;0)*Personnel!$D$9:$D$100*(1-Personnel!$H$9:$H$100))+Staffing!CM81)*Escalation!$B$88</f>
        <v>357104.549044476</v>
      </c>
      <c r="CL4" s="289" t="n">
        <f aca="false">(SUMPRODUCT((Personnel!$O$9:$O$100&lt;&gt;"")*(Personnel!$G$9:$G$100="Yes")*(88&gt;=Personnel!$E$9:$E$100)*((Personnel!$K$9:$K$100="")+(88&lt;=Personnel!$K$9:$K$100)&gt;0)*Personnel!$D$9:$D$100*(1-Personnel!$H$9:$H$100))+Staffing!CN81)*Escalation!$B$89</f>
        <v>357104.549044476</v>
      </c>
      <c r="CM4" s="289" t="n">
        <f aca="false">(SUMPRODUCT((Personnel!$O$9:$O$100&lt;&gt;"")*(Personnel!$G$9:$G$100="Yes")*(89&gt;=Personnel!$E$9:$E$100)*((Personnel!$K$9:$K$100="")+(89&lt;=Personnel!$K$9:$K$100)&gt;0)*Personnel!$D$9:$D$100*(1-Personnel!$H$9:$H$100))+Staffing!CO81)*Escalation!$B$90</f>
        <v>357104.549044476</v>
      </c>
      <c r="CN4" s="289" t="n">
        <f aca="false">(SUMPRODUCT((Personnel!$O$9:$O$100&lt;&gt;"")*(Personnel!$G$9:$G$100="Yes")*(90&gt;=Personnel!$E$9:$E$100)*((Personnel!$K$9:$K$100="")+(90&lt;=Personnel!$K$9:$K$100)&gt;0)*Personnel!$D$9:$D$100*(1-Personnel!$H$9:$H$100))+Staffing!CP81)*Escalation!$B$91</f>
        <v>357104.549044476</v>
      </c>
      <c r="CO4" s="289" t="n">
        <f aca="false">(SUMPRODUCT((Personnel!$O$9:$O$100&lt;&gt;"")*(Personnel!$G$9:$G$100="Yes")*(91&gt;=Personnel!$E$9:$E$100)*((Personnel!$K$9:$K$100="")+(91&lt;=Personnel!$K$9:$K$100)&gt;0)*Personnel!$D$9:$D$100*(1-Personnel!$H$9:$H$100))+Staffing!CQ81)*Escalation!$B$92</f>
        <v>357104.549044476</v>
      </c>
      <c r="CP4" s="289" t="n">
        <f aca="false">(SUMPRODUCT((Personnel!$O$9:$O$100&lt;&gt;"")*(Personnel!$G$9:$G$100="Yes")*(92&gt;=Personnel!$E$9:$E$100)*((Personnel!$K$9:$K$100="")+(92&lt;=Personnel!$K$9:$K$100)&gt;0)*Personnel!$D$9:$D$100*(1-Personnel!$H$9:$H$100))+Staffing!CR81)*Escalation!$B$93</f>
        <v>357104.549044476</v>
      </c>
      <c r="CQ4" s="289"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7" t="s">
        <v>1149</v>
      </c>
      <c r="C5" s="289" t="n">
        <f aca="false">(SUMPRODUCT((Personnel!$F$9:$F$100="SixPeak")*(Personnel!$G$9:$G$100="Yes")*(1&gt;=Personnel!$E$9:$E$100)*((Personnel!$K$9:$K$100="")+(1&lt;=Personnel!$K$9:$K$100)&gt;0)*Personnel!$D$9:$D$100*(1-Personnel!$H$9:$H$100)*(1-Personnel!$I$9:$I$100)))*Escalation!$B$2</f>
        <v>54166.6666666667</v>
      </c>
      <c r="D5" s="289" t="n">
        <f aca="false">(SUMPRODUCT((Personnel!$F$9:$F$100="SixPeak")*(Personnel!$G$9:$G$100="Yes")*(2&gt;=Personnel!$E$9:$E$100)*((Personnel!$K$9:$K$100="")+(2&lt;=Personnel!$K$9:$K$100)&gt;0)*Personnel!$D$9:$D$100*(1-Personnel!$H$9:$H$100)*(1-Personnel!$I$9:$I$100)))*Escalation!$B$3</f>
        <v>54166.6666666667</v>
      </c>
      <c r="E5" s="289" t="n">
        <f aca="false">(SUMPRODUCT((Personnel!$F$9:$F$100="SixPeak")*(Personnel!$G$9:$G$100="Yes")*(3&gt;=Personnel!$E$9:$E$100)*((Personnel!$K$9:$K$100="")+(3&lt;=Personnel!$K$9:$K$100)&gt;0)*Personnel!$D$9:$D$100*(1-Personnel!$H$9:$H$100)*(1-Personnel!$I$9:$I$100)))*Escalation!$B$4</f>
        <v>54166.6666666667</v>
      </c>
      <c r="F5" s="289" t="n">
        <f aca="false">(SUMPRODUCT((Personnel!$F$9:$F$100="SixPeak")*(Personnel!$G$9:$G$100="Yes")*(4&gt;=Personnel!$E$9:$E$100)*((Personnel!$K$9:$K$100="")+(4&lt;=Personnel!$K$9:$K$100)&gt;0)*Personnel!$D$9:$D$100*(1-Personnel!$H$9:$H$100)*(1-Personnel!$I$9:$I$100)))*Escalation!$B$5</f>
        <v>54166.6666666667</v>
      </c>
      <c r="G5" s="289" t="n">
        <f aca="false">(SUMPRODUCT((Personnel!$F$9:$F$100="SixPeak")*(Personnel!$G$9:$G$100="Yes")*(5&gt;=Personnel!$E$9:$E$100)*((Personnel!$K$9:$K$100="")+(5&lt;=Personnel!$K$9:$K$100)&gt;0)*Personnel!$D$9:$D$100*(1-Personnel!$H$9:$H$100)*(1-Personnel!$I$9:$I$100)))*Escalation!$B$6</f>
        <v>54166.6666666667</v>
      </c>
      <c r="H5" s="289" t="n">
        <f aca="false">(SUMPRODUCT((Personnel!$F$9:$F$100="SixPeak")*(Personnel!$G$9:$G$100="Yes")*(6&gt;=Personnel!$E$9:$E$100)*((Personnel!$K$9:$K$100="")+(6&lt;=Personnel!$K$9:$K$100)&gt;0)*Personnel!$D$9:$D$100*(1-Personnel!$H$9:$H$100)*(1-Personnel!$I$9:$I$100)))*Escalation!$B$7</f>
        <v>54166.6666666667</v>
      </c>
      <c r="I5" s="289" t="n">
        <f aca="false">(SUMPRODUCT((Personnel!$F$9:$F$100="SixPeak")*(Personnel!$G$9:$G$100="Yes")*(7&gt;=Personnel!$E$9:$E$100)*((Personnel!$K$9:$K$100="")+(7&lt;=Personnel!$K$9:$K$100)&gt;0)*Personnel!$D$9:$D$100*(1-Personnel!$H$9:$H$100)*(1-Personnel!$I$9:$I$100)))*Escalation!$B$8</f>
        <v>54166.6666666667</v>
      </c>
      <c r="J5" s="289" t="n">
        <f aca="false">(SUMPRODUCT((Personnel!$F$9:$F$100="SixPeak")*(Personnel!$G$9:$G$100="Yes")*(8&gt;=Personnel!$E$9:$E$100)*((Personnel!$K$9:$K$100="")+(8&lt;=Personnel!$K$9:$K$100)&gt;0)*Personnel!$D$9:$D$100*(1-Personnel!$H$9:$H$100)*(1-Personnel!$I$9:$I$100)))*Escalation!$B$9</f>
        <v>54166.6666666667</v>
      </c>
      <c r="K5" s="289" t="n">
        <f aca="false">(SUMPRODUCT((Personnel!$F$9:$F$100="SixPeak")*(Personnel!$G$9:$G$100="Yes")*(9&gt;=Personnel!$E$9:$E$100)*((Personnel!$K$9:$K$100="")+(9&lt;=Personnel!$K$9:$K$100)&gt;0)*Personnel!$D$9:$D$100*(1-Personnel!$H$9:$H$100)*(1-Personnel!$I$9:$I$100)))*Escalation!$B$10</f>
        <v>54166.6666666667</v>
      </c>
      <c r="L5" s="289" t="n">
        <f aca="false">(SUMPRODUCT((Personnel!$F$9:$F$100="SixPeak")*(Personnel!$G$9:$G$100="Yes")*(10&gt;=Personnel!$E$9:$E$100)*((Personnel!$K$9:$K$100="")+(10&lt;=Personnel!$K$9:$K$100)&gt;0)*Personnel!$D$9:$D$100*(1-Personnel!$H$9:$H$100)*(1-Personnel!$I$9:$I$100)))*Escalation!$B$11</f>
        <v>54166.6666666667</v>
      </c>
      <c r="M5" s="289" t="n">
        <f aca="false">(SUMPRODUCT((Personnel!$F$9:$F$100="SixPeak")*(Personnel!$G$9:$G$100="Yes")*(11&gt;=Personnel!$E$9:$E$100)*((Personnel!$K$9:$K$100="")+(11&lt;=Personnel!$K$9:$K$100)&gt;0)*Personnel!$D$9:$D$100*(1-Personnel!$H$9:$H$100)*(1-Personnel!$I$9:$I$100)))*Escalation!$B$12</f>
        <v>54166.6666666667</v>
      </c>
      <c r="N5" s="289" t="n">
        <f aca="false">(SUMPRODUCT((Personnel!$F$9:$F$100="SixPeak")*(Personnel!$G$9:$G$100="Yes")*(12&gt;=Personnel!$E$9:$E$100)*((Personnel!$K$9:$K$100="")+(12&lt;=Personnel!$K$9:$K$100)&gt;0)*Personnel!$D$9:$D$100*(1-Personnel!$H$9:$H$100)*(1-Personnel!$I$9:$I$100)))*Escalation!$B$13</f>
        <v>54166.6666666667</v>
      </c>
      <c r="O5" s="289" t="n">
        <f aca="false">(SUMPRODUCT((Personnel!$F$9:$F$100="SixPeak")*(Personnel!$G$9:$G$100="Yes")*(13&gt;=Personnel!$E$9:$E$100)*((Personnel!$K$9:$K$100="")+(13&lt;=Personnel!$K$9:$K$100)&gt;0)*Personnel!$D$9:$D$100*(1-Personnel!$H$9:$H$100)*(1-Personnel!$I$9:$I$100)))*Escalation!$B$14</f>
        <v>55250</v>
      </c>
      <c r="P5" s="289" t="n">
        <f aca="false">(SUMPRODUCT((Personnel!$F$9:$F$100="SixPeak")*(Personnel!$G$9:$G$100="Yes")*(14&gt;=Personnel!$E$9:$E$100)*((Personnel!$K$9:$K$100="")+(14&lt;=Personnel!$K$9:$K$100)&gt;0)*Personnel!$D$9:$D$100*(1-Personnel!$H$9:$H$100)*(1-Personnel!$I$9:$I$100)))*Escalation!$B$15</f>
        <v>55250</v>
      </c>
      <c r="Q5" s="289" t="n">
        <f aca="false">(SUMPRODUCT((Personnel!$F$9:$F$100="SixPeak")*(Personnel!$G$9:$G$100="Yes")*(15&gt;=Personnel!$E$9:$E$100)*((Personnel!$K$9:$K$100="")+(15&lt;=Personnel!$K$9:$K$100)&gt;0)*Personnel!$D$9:$D$100*(1-Personnel!$H$9:$H$100)*(1-Personnel!$I$9:$I$100)))*Escalation!$B$16</f>
        <v>55250</v>
      </c>
      <c r="R5" s="289" t="n">
        <f aca="false">(SUMPRODUCT((Personnel!$F$9:$F$100="SixPeak")*(Personnel!$G$9:$G$100="Yes")*(16&gt;=Personnel!$E$9:$E$100)*((Personnel!$K$9:$K$100="")+(16&lt;=Personnel!$K$9:$K$100)&gt;0)*Personnel!$D$9:$D$100*(1-Personnel!$H$9:$H$100)*(1-Personnel!$I$9:$I$100)))*Escalation!$B$17</f>
        <v>55250</v>
      </c>
      <c r="S5" s="289" t="n">
        <f aca="false">(SUMPRODUCT((Personnel!$F$9:$F$100="SixPeak")*(Personnel!$G$9:$G$100="Yes")*(17&gt;=Personnel!$E$9:$E$100)*((Personnel!$K$9:$K$100="")+(17&lt;=Personnel!$K$9:$K$100)&gt;0)*Personnel!$D$9:$D$100*(1-Personnel!$H$9:$H$100)*(1-Personnel!$I$9:$I$100)))*Escalation!$B$18</f>
        <v>55250</v>
      </c>
      <c r="T5" s="289" t="n">
        <f aca="false">(SUMPRODUCT((Personnel!$F$9:$F$100="SixPeak")*(Personnel!$G$9:$G$100="Yes")*(18&gt;=Personnel!$E$9:$E$100)*((Personnel!$K$9:$K$100="")+(18&lt;=Personnel!$K$9:$K$100)&gt;0)*Personnel!$D$9:$D$100*(1-Personnel!$H$9:$H$100)*(1-Personnel!$I$9:$I$100)))*Escalation!$B$19</f>
        <v>55250</v>
      </c>
      <c r="U5" s="289" t="n">
        <f aca="false">(SUMPRODUCT((Personnel!$F$9:$F$100="SixPeak")*(Personnel!$G$9:$G$100="Yes")*(19&gt;=Personnel!$E$9:$E$100)*((Personnel!$K$9:$K$100="")+(19&lt;=Personnel!$K$9:$K$100)&gt;0)*Personnel!$D$9:$D$100*(1-Personnel!$H$9:$H$100)*(1-Personnel!$I$9:$I$100)))*Escalation!$B$20</f>
        <v>55250</v>
      </c>
      <c r="V5" s="289" t="n">
        <f aca="false">(SUMPRODUCT((Personnel!$F$9:$F$100="SixPeak")*(Personnel!$G$9:$G$100="Yes")*(20&gt;=Personnel!$E$9:$E$100)*((Personnel!$K$9:$K$100="")+(20&lt;=Personnel!$K$9:$K$100)&gt;0)*Personnel!$D$9:$D$100*(1-Personnel!$H$9:$H$100)*(1-Personnel!$I$9:$I$100)))*Escalation!$B$21</f>
        <v>55250</v>
      </c>
      <c r="W5" s="289" t="n">
        <f aca="false">(SUMPRODUCT((Personnel!$F$9:$F$100="SixPeak")*(Personnel!$G$9:$G$100="Yes")*(21&gt;=Personnel!$E$9:$E$100)*((Personnel!$K$9:$K$100="")+(21&lt;=Personnel!$K$9:$K$100)&gt;0)*Personnel!$D$9:$D$100*(1-Personnel!$H$9:$H$100)*(1-Personnel!$I$9:$I$100)))*Escalation!$B$22</f>
        <v>55250</v>
      </c>
      <c r="X5" s="289" t="n">
        <f aca="false">(SUMPRODUCT((Personnel!$F$9:$F$100="SixPeak")*(Personnel!$G$9:$G$100="Yes")*(22&gt;=Personnel!$E$9:$E$100)*((Personnel!$K$9:$K$100="")+(22&lt;=Personnel!$K$9:$K$100)&gt;0)*Personnel!$D$9:$D$100*(1-Personnel!$H$9:$H$100)*(1-Personnel!$I$9:$I$100)))*Escalation!$B$23</f>
        <v>55250</v>
      </c>
      <c r="Y5" s="289" t="n">
        <f aca="false">(SUMPRODUCT((Personnel!$F$9:$F$100="SixPeak")*(Personnel!$G$9:$G$100="Yes")*(23&gt;=Personnel!$E$9:$E$100)*((Personnel!$K$9:$K$100="")+(23&lt;=Personnel!$K$9:$K$100)&gt;0)*Personnel!$D$9:$D$100*(1-Personnel!$H$9:$H$100)*(1-Personnel!$I$9:$I$100)))*Escalation!$B$24</f>
        <v>55250</v>
      </c>
      <c r="Z5" s="289" t="n">
        <f aca="false">(SUMPRODUCT((Personnel!$F$9:$F$100="SixPeak")*(Personnel!$G$9:$G$100="Yes")*(24&gt;=Personnel!$E$9:$E$100)*((Personnel!$K$9:$K$100="")+(24&lt;=Personnel!$K$9:$K$100)&gt;0)*Personnel!$D$9:$D$100*(1-Personnel!$H$9:$H$100)*(1-Personnel!$I$9:$I$100)))*Escalation!$B$25</f>
        <v>55250</v>
      </c>
      <c r="AA5" s="289" t="n">
        <f aca="false">(SUMPRODUCT((Personnel!$F$9:$F$100="SixPeak")*(Personnel!$G$9:$G$100="Yes")*(25&gt;=Personnel!$E$9:$E$100)*((Personnel!$K$9:$K$100="")+(25&lt;=Personnel!$K$9:$K$100)&gt;0)*Personnel!$D$9:$D$100*(1-Personnel!$H$9:$H$100)*(1-Personnel!$I$9:$I$100)))*Escalation!$B$26</f>
        <v>56355</v>
      </c>
      <c r="AB5" s="289" t="n">
        <f aca="false">(SUMPRODUCT((Personnel!$F$9:$F$100="SixPeak")*(Personnel!$G$9:$G$100="Yes")*(26&gt;=Personnel!$E$9:$E$100)*((Personnel!$K$9:$K$100="")+(26&lt;=Personnel!$K$9:$K$100)&gt;0)*Personnel!$D$9:$D$100*(1-Personnel!$H$9:$H$100)*(1-Personnel!$I$9:$I$100)))*Escalation!$B$27</f>
        <v>56355</v>
      </c>
      <c r="AC5" s="289" t="n">
        <f aca="false">(SUMPRODUCT((Personnel!$F$9:$F$100="SixPeak")*(Personnel!$G$9:$G$100="Yes")*(27&gt;=Personnel!$E$9:$E$100)*((Personnel!$K$9:$K$100="")+(27&lt;=Personnel!$K$9:$K$100)&gt;0)*Personnel!$D$9:$D$100*(1-Personnel!$H$9:$H$100)*(1-Personnel!$I$9:$I$100)))*Escalation!$B$28</f>
        <v>56355</v>
      </c>
      <c r="AD5" s="289" t="n">
        <f aca="false">(SUMPRODUCT((Personnel!$F$9:$F$100="SixPeak")*(Personnel!$G$9:$G$100="Yes")*(28&gt;=Personnel!$E$9:$E$100)*((Personnel!$K$9:$K$100="")+(28&lt;=Personnel!$K$9:$K$100)&gt;0)*Personnel!$D$9:$D$100*(1-Personnel!$H$9:$H$100)*(1-Personnel!$I$9:$I$100)))*Escalation!$B$29</f>
        <v>56355</v>
      </c>
      <c r="AE5" s="289" t="n">
        <f aca="false">(SUMPRODUCT((Personnel!$F$9:$F$100="SixPeak")*(Personnel!$G$9:$G$100="Yes")*(29&gt;=Personnel!$E$9:$E$100)*((Personnel!$K$9:$K$100="")+(29&lt;=Personnel!$K$9:$K$100)&gt;0)*Personnel!$D$9:$D$100*(1-Personnel!$H$9:$H$100)*(1-Personnel!$I$9:$I$100)))*Escalation!$B$30</f>
        <v>56355</v>
      </c>
      <c r="AF5" s="289" t="n">
        <f aca="false">(SUMPRODUCT((Personnel!$F$9:$F$100="SixPeak")*(Personnel!$G$9:$G$100="Yes")*(30&gt;=Personnel!$E$9:$E$100)*((Personnel!$K$9:$K$100="")+(30&lt;=Personnel!$K$9:$K$100)&gt;0)*Personnel!$D$9:$D$100*(1-Personnel!$H$9:$H$100)*(1-Personnel!$I$9:$I$100)))*Escalation!$B$31</f>
        <v>56355</v>
      </c>
      <c r="AG5" s="289" t="n">
        <f aca="false">(SUMPRODUCT((Personnel!$F$9:$F$100="SixPeak")*(Personnel!$G$9:$G$100="Yes")*(31&gt;=Personnel!$E$9:$E$100)*((Personnel!$K$9:$K$100="")+(31&lt;=Personnel!$K$9:$K$100)&gt;0)*Personnel!$D$9:$D$100*(1-Personnel!$H$9:$H$100)*(1-Personnel!$I$9:$I$100)))*Escalation!$B$32</f>
        <v>56355</v>
      </c>
      <c r="AH5" s="289" t="n">
        <f aca="false">(SUMPRODUCT((Personnel!$F$9:$F$100="SixPeak")*(Personnel!$G$9:$G$100="Yes")*(32&gt;=Personnel!$E$9:$E$100)*((Personnel!$K$9:$K$100="")+(32&lt;=Personnel!$K$9:$K$100)&gt;0)*Personnel!$D$9:$D$100*(1-Personnel!$H$9:$H$100)*(1-Personnel!$I$9:$I$100)))*Escalation!$B$33</f>
        <v>56355</v>
      </c>
      <c r="AI5" s="289" t="n">
        <f aca="false">(SUMPRODUCT((Personnel!$F$9:$F$100="SixPeak")*(Personnel!$G$9:$G$100="Yes")*(33&gt;=Personnel!$E$9:$E$100)*((Personnel!$K$9:$K$100="")+(33&lt;=Personnel!$K$9:$K$100)&gt;0)*Personnel!$D$9:$D$100*(1-Personnel!$H$9:$H$100)*(1-Personnel!$I$9:$I$100)))*Escalation!$B$34</f>
        <v>56355</v>
      </c>
      <c r="AJ5" s="289" t="n">
        <f aca="false">(SUMPRODUCT((Personnel!$F$9:$F$100="SixPeak")*(Personnel!$G$9:$G$100="Yes")*(34&gt;=Personnel!$E$9:$E$100)*((Personnel!$K$9:$K$100="")+(34&lt;=Personnel!$K$9:$K$100)&gt;0)*Personnel!$D$9:$D$100*(1-Personnel!$H$9:$H$100)*(1-Personnel!$I$9:$I$100)))*Escalation!$B$35</f>
        <v>56355</v>
      </c>
      <c r="AK5" s="289" t="n">
        <f aca="false">(SUMPRODUCT((Personnel!$F$9:$F$100="SixPeak")*(Personnel!$G$9:$G$100="Yes")*(35&gt;=Personnel!$E$9:$E$100)*((Personnel!$K$9:$K$100="")+(35&lt;=Personnel!$K$9:$K$100)&gt;0)*Personnel!$D$9:$D$100*(1-Personnel!$H$9:$H$100)*(1-Personnel!$I$9:$I$100)))*Escalation!$B$36</f>
        <v>56355</v>
      </c>
      <c r="AL5" s="289" t="n">
        <f aca="false">(SUMPRODUCT((Personnel!$F$9:$F$100="SixPeak")*(Personnel!$G$9:$G$100="Yes")*(36&gt;=Personnel!$E$9:$E$100)*((Personnel!$K$9:$K$100="")+(36&lt;=Personnel!$K$9:$K$100)&gt;0)*Personnel!$D$9:$D$100*(1-Personnel!$H$9:$H$100)*(1-Personnel!$I$9:$I$100)))*Escalation!$B$37</f>
        <v>56355</v>
      </c>
      <c r="AM5" s="289" t="n">
        <f aca="false">(SUMPRODUCT((Personnel!$F$9:$F$100="SixPeak")*(Personnel!$G$9:$G$100="Yes")*(37&gt;=Personnel!$E$9:$E$100)*((Personnel!$K$9:$K$100="")+(37&lt;=Personnel!$K$9:$K$100)&gt;0)*Personnel!$D$9:$D$100*(1-Personnel!$H$9:$H$100)*(1-Personnel!$I$9:$I$100)))*Escalation!$B$38</f>
        <v>57482.1</v>
      </c>
      <c r="AN5" s="289" t="n">
        <f aca="false">(SUMPRODUCT((Personnel!$F$9:$F$100="SixPeak")*(Personnel!$G$9:$G$100="Yes")*(38&gt;=Personnel!$E$9:$E$100)*((Personnel!$K$9:$K$100="")+(38&lt;=Personnel!$K$9:$K$100)&gt;0)*Personnel!$D$9:$D$100*(1-Personnel!$H$9:$H$100)*(1-Personnel!$I$9:$I$100)))*Escalation!$B$39</f>
        <v>57482.1</v>
      </c>
      <c r="AO5" s="289" t="n">
        <f aca="false">(SUMPRODUCT((Personnel!$F$9:$F$100="SixPeak")*(Personnel!$G$9:$G$100="Yes")*(39&gt;=Personnel!$E$9:$E$100)*((Personnel!$K$9:$K$100="")+(39&lt;=Personnel!$K$9:$K$100)&gt;0)*Personnel!$D$9:$D$100*(1-Personnel!$H$9:$H$100)*(1-Personnel!$I$9:$I$100)))*Escalation!$B$40</f>
        <v>57482.1</v>
      </c>
      <c r="AP5" s="289" t="n">
        <f aca="false">(SUMPRODUCT((Personnel!$F$9:$F$100="SixPeak")*(Personnel!$G$9:$G$100="Yes")*(40&gt;=Personnel!$E$9:$E$100)*((Personnel!$K$9:$K$100="")+(40&lt;=Personnel!$K$9:$K$100)&gt;0)*Personnel!$D$9:$D$100*(1-Personnel!$H$9:$H$100)*(1-Personnel!$I$9:$I$100)))*Escalation!$B$41</f>
        <v>57482.1</v>
      </c>
      <c r="AQ5" s="289" t="n">
        <f aca="false">(SUMPRODUCT((Personnel!$F$9:$F$100="SixPeak")*(Personnel!$G$9:$G$100="Yes")*(41&gt;=Personnel!$E$9:$E$100)*((Personnel!$K$9:$K$100="")+(41&lt;=Personnel!$K$9:$K$100)&gt;0)*Personnel!$D$9:$D$100*(1-Personnel!$H$9:$H$100)*(1-Personnel!$I$9:$I$100)))*Escalation!$B$42</f>
        <v>57482.1</v>
      </c>
      <c r="AR5" s="289" t="n">
        <f aca="false">(SUMPRODUCT((Personnel!$F$9:$F$100="SixPeak")*(Personnel!$G$9:$G$100="Yes")*(42&gt;=Personnel!$E$9:$E$100)*((Personnel!$K$9:$K$100="")+(42&lt;=Personnel!$K$9:$K$100)&gt;0)*Personnel!$D$9:$D$100*(1-Personnel!$H$9:$H$100)*(1-Personnel!$I$9:$I$100)))*Escalation!$B$43</f>
        <v>57482.1</v>
      </c>
      <c r="AS5" s="289" t="n">
        <f aca="false">(SUMPRODUCT((Personnel!$F$9:$F$100="SixPeak")*(Personnel!$G$9:$G$100="Yes")*(43&gt;=Personnel!$E$9:$E$100)*((Personnel!$K$9:$K$100="")+(43&lt;=Personnel!$K$9:$K$100)&gt;0)*Personnel!$D$9:$D$100*(1-Personnel!$H$9:$H$100)*(1-Personnel!$I$9:$I$100)))*Escalation!$B$44</f>
        <v>57482.1</v>
      </c>
      <c r="AT5" s="289" t="n">
        <f aca="false">(SUMPRODUCT((Personnel!$F$9:$F$100="SixPeak")*(Personnel!$G$9:$G$100="Yes")*(44&gt;=Personnel!$E$9:$E$100)*((Personnel!$K$9:$K$100="")+(44&lt;=Personnel!$K$9:$K$100)&gt;0)*Personnel!$D$9:$D$100*(1-Personnel!$H$9:$H$100)*(1-Personnel!$I$9:$I$100)))*Escalation!$B$45</f>
        <v>57482.1</v>
      </c>
      <c r="AU5" s="289" t="n">
        <f aca="false">(SUMPRODUCT((Personnel!$F$9:$F$100="SixPeak")*(Personnel!$G$9:$G$100="Yes")*(45&gt;=Personnel!$E$9:$E$100)*((Personnel!$K$9:$K$100="")+(45&lt;=Personnel!$K$9:$K$100)&gt;0)*Personnel!$D$9:$D$100*(1-Personnel!$H$9:$H$100)*(1-Personnel!$I$9:$I$100)))*Escalation!$B$46</f>
        <v>57482.1</v>
      </c>
      <c r="AV5" s="289" t="n">
        <f aca="false">(SUMPRODUCT((Personnel!$F$9:$F$100="SixPeak")*(Personnel!$G$9:$G$100="Yes")*(46&gt;=Personnel!$E$9:$E$100)*((Personnel!$K$9:$K$100="")+(46&lt;=Personnel!$K$9:$K$100)&gt;0)*Personnel!$D$9:$D$100*(1-Personnel!$H$9:$H$100)*(1-Personnel!$I$9:$I$100)))*Escalation!$B$47</f>
        <v>57482.1</v>
      </c>
      <c r="AW5" s="289" t="n">
        <f aca="false">(SUMPRODUCT((Personnel!$F$9:$F$100="SixPeak")*(Personnel!$G$9:$G$100="Yes")*(47&gt;=Personnel!$E$9:$E$100)*((Personnel!$K$9:$K$100="")+(47&lt;=Personnel!$K$9:$K$100)&gt;0)*Personnel!$D$9:$D$100*(1-Personnel!$H$9:$H$100)*(1-Personnel!$I$9:$I$100)))*Escalation!$B$48</f>
        <v>57482.1</v>
      </c>
      <c r="AX5" s="289" t="n">
        <f aca="false">(SUMPRODUCT((Personnel!$F$9:$F$100="SixPeak")*(Personnel!$G$9:$G$100="Yes")*(48&gt;=Personnel!$E$9:$E$100)*((Personnel!$K$9:$K$100="")+(48&lt;=Personnel!$K$9:$K$100)&gt;0)*Personnel!$D$9:$D$100*(1-Personnel!$H$9:$H$100)*(1-Personnel!$I$9:$I$100)))*Escalation!$B$49</f>
        <v>57482.1</v>
      </c>
      <c r="AY5" s="289" t="n">
        <f aca="false">(SUMPRODUCT((Personnel!$F$9:$F$100="SixPeak")*(Personnel!$G$9:$G$100="Yes")*(49&gt;=Personnel!$E$9:$E$100)*((Personnel!$K$9:$K$100="")+(49&lt;=Personnel!$K$9:$K$100)&gt;0)*Personnel!$D$9:$D$100*(1-Personnel!$H$9:$H$100)*(1-Personnel!$I$9:$I$100)))*Escalation!$B$50</f>
        <v>58631.742</v>
      </c>
      <c r="AZ5" s="289" t="n">
        <f aca="false">(SUMPRODUCT((Personnel!$F$9:$F$100="SixPeak")*(Personnel!$G$9:$G$100="Yes")*(50&gt;=Personnel!$E$9:$E$100)*((Personnel!$K$9:$K$100="")+(50&lt;=Personnel!$K$9:$K$100)&gt;0)*Personnel!$D$9:$D$100*(1-Personnel!$H$9:$H$100)*(1-Personnel!$I$9:$I$100)))*Escalation!$B$51</f>
        <v>58631.742</v>
      </c>
      <c r="BA5" s="289" t="n">
        <f aca="false">(SUMPRODUCT((Personnel!$F$9:$F$100="SixPeak")*(Personnel!$G$9:$G$100="Yes")*(51&gt;=Personnel!$E$9:$E$100)*((Personnel!$K$9:$K$100="")+(51&lt;=Personnel!$K$9:$K$100)&gt;0)*Personnel!$D$9:$D$100*(1-Personnel!$H$9:$H$100)*(1-Personnel!$I$9:$I$100)))*Escalation!$B$52</f>
        <v>58631.742</v>
      </c>
      <c r="BB5" s="289" t="n">
        <f aca="false">(SUMPRODUCT((Personnel!$F$9:$F$100="SixPeak")*(Personnel!$G$9:$G$100="Yes")*(52&gt;=Personnel!$E$9:$E$100)*((Personnel!$K$9:$K$100="")+(52&lt;=Personnel!$K$9:$K$100)&gt;0)*Personnel!$D$9:$D$100*(1-Personnel!$H$9:$H$100)*(1-Personnel!$I$9:$I$100)))*Escalation!$B$53</f>
        <v>58631.742</v>
      </c>
      <c r="BC5" s="289" t="n">
        <f aca="false">(SUMPRODUCT((Personnel!$F$9:$F$100="SixPeak")*(Personnel!$G$9:$G$100="Yes")*(53&gt;=Personnel!$E$9:$E$100)*((Personnel!$K$9:$K$100="")+(53&lt;=Personnel!$K$9:$K$100)&gt;0)*Personnel!$D$9:$D$100*(1-Personnel!$H$9:$H$100)*(1-Personnel!$I$9:$I$100)))*Escalation!$B$54</f>
        <v>58631.742</v>
      </c>
      <c r="BD5" s="289" t="n">
        <f aca="false">(SUMPRODUCT((Personnel!$F$9:$F$100="SixPeak")*(Personnel!$G$9:$G$100="Yes")*(54&gt;=Personnel!$E$9:$E$100)*((Personnel!$K$9:$K$100="")+(54&lt;=Personnel!$K$9:$K$100)&gt;0)*Personnel!$D$9:$D$100*(1-Personnel!$H$9:$H$100)*(1-Personnel!$I$9:$I$100)))*Escalation!$B$55</f>
        <v>58631.742</v>
      </c>
      <c r="BE5" s="289" t="n">
        <f aca="false">(SUMPRODUCT((Personnel!$F$9:$F$100="SixPeak")*(Personnel!$G$9:$G$100="Yes")*(55&gt;=Personnel!$E$9:$E$100)*((Personnel!$K$9:$K$100="")+(55&lt;=Personnel!$K$9:$K$100)&gt;0)*Personnel!$D$9:$D$100*(1-Personnel!$H$9:$H$100)*(1-Personnel!$I$9:$I$100)))*Escalation!$B$56</f>
        <v>58631.742</v>
      </c>
      <c r="BF5" s="289" t="n">
        <f aca="false">(SUMPRODUCT((Personnel!$F$9:$F$100="SixPeak")*(Personnel!$G$9:$G$100="Yes")*(56&gt;=Personnel!$E$9:$E$100)*((Personnel!$K$9:$K$100="")+(56&lt;=Personnel!$K$9:$K$100)&gt;0)*Personnel!$D$9:$D$100*(1-Personnel!$H$9:$H$100)*(1-Personnel!$I$9:$I$100)))*Escalation!$B$57</f>
        <v>58631.742</v>
      </c>
      <c r="BG5" s="289" t="n">
        <f aca="false">(SUMPRODUCT((Personnel!$F$9:$F$100="SixPeak")*(Personnel!$G$9:$G$100="Yes")*(57&gt;=Personnel!$E$9:$E$100)*((Personnel!$K$9:$K$100="")+(57&lt;=Personnel!$K$9:$K$100)&gt;0)*Personnel!$D$9:$D$100*(1-Personnel!$H$9:$H$100)*(1-Personnel!$I$9:$I$100)))*Escalation!$B$58</f>
        <v>58631.742</v>
      </c>
      <c r="BH5" s="289" t="n">
        <f aca="false">(SUMPRODUCT((Personnel!$F$9:$F$100="SixPeak")*(Personnel!$G$9:$G$100="Yes")*(58&gt;=Personnel!$E$9:$E$100)*((Personnel!$K$9:$K$100="")+(58&lt;=Personnel!$K$9:$K$100)&gt;0)*Personnel!$D$9:$D$100*(1-Personnel!$H$9:$H$100)*(1-Personnel!$I$9:$I$100)))*Escalation!$B$59</f>
        <v>58631.742</v>
      </c>
      <c r="BI5" s="289" t="n">
        <f aca="false">(SUMPRODUCT((Personnel!$F$9:$F$100="SixPeak")*(Personnel!$G$9:$G$100="Yes")*(59&gt;=Personnel!$E$9:$E$100)*((Personnel!$K$9:$K$100="")+(59&lt;=Personnel!$K$9:$K$100)&gt;0)*Personnel!$D$9:$D$100*(1-Personnel!$H$9:$H$100)*(1-Personnel!$I$9:$I$100)))*Escalation!$B$60</f>
        <v>58631.742</v>
      </c>
      <c r="BJ5" s="289" t="n">
        <f aca="false">(SUMPRODUCT((Personnel!$F$9:$F$100="SixPeak")*(Personnel!$G$9:$G$100="Yes")*(60&gt;=Personnel!$E$9:$E$100)*((Personnel!$K$9:$K$100="")+(60&lt;=Personnel!$K$9:$K$100)&gt;0)*Personnel!$D$9:$D$100*(1-Personnel!$H$9:$H$100)*(1-Personnel!$I$9:$I$100)))*Escalation!$B$61</f>
        <v>58631.742</v>
      </c>
      <c r="BK5" s="289" t="n">
        <f aca="false">(SUMPRODUCT((Personnel!$F$9:$F$100="SixPeak")*(Personnel!$G$9:$G$100="Yes")*(61&gt;=Personnel!$E$9:$E$100)*((Personnel!$K$9:$K$100="")+(61&lt;=Personnel!$K$9:$K$100)&gt;0)*Personnel!$D$9:$D$100*(1-Personnel!$H$9:$H$100)*(1-Personnel!$I$9:$I$100)))*Escalation!$B$62</f>
        <v>59804.37684</v>
      </c>
      <c r="BL5" s="289" t="n">
        <f aca="false">(SUMPRODUCT((Personnel!$F$9:$F$100="SixPeak")*(Personnel!$G$9:$G$100="Yes")*(62&gt;=Personnel!$E$9:$E$100)*((Personnel!$K$9:$K$100="")+(62&lt;=Personnel!$K$9:$K$100)&gt;0)*Personnel!$D$9:$D$100*(1-Personnel!$H$9:$H$100)*(1-Personnel!$I$9:$I$100)))*Escalation!$B$63</f>
        <v>59804.37684</v>
      </c>
      <c r="BM5" s="289" t="n">
        <f aca="false">(SUMPRODUCT((Personnel!$F$9:$F$100="SixPeak")*(Personnel!$G$9:$G$100="Yes")*(63&gt;=Personnel!$E$9:$E$100)*((Personnel!$K$9:$K$100="")+(63&lt;=Personnel!$K$9:$K$100)&gt;0)*Personnel!$D$9:$D$100*(1-Personnel!$H$9:$H$100)*(1-Personnel!$I$9:$I$100)))*Escalation!$B$64</f>
        <v>59804.37684</v>
      </c>
      <c r="BN5" s="289" t="n">
        <f aca="false">(SUMPRODUCT((Personnel!$F$9:$F$100="SixPeak")*(Personnel!$G$9:$G$100="Yes")*(64&gt;=Personnel!$E$9:$E$100)*((Personnel!$K$9:$K$100="")+(64&lt;=Personnel!$K$9:$K$100)&gt;0)*Personnel!$D$9:$D$100*(1-Personnel!$H$9:$H$100)*(1-Personnel!$I$9:$I$100)))*Escalation!$B$65</f>
        <v>59804.37684</v>
      </c>
      <c r="BO5" s="289" t="n">
        <f aca="false">(SUMPRODUCT((Personnel!$F$9:$F$100="SixPeak")*(Personnel!$G$9:$G$100="Yes")*(65&gt;=Personnel!$E$9:$E$100)*((Personnel!$K$9:$K$100="")+(65&lt;=Personnel!$K$9:$K$100)&gt;0)*Personnel!$D$9:$D$100*(1-Personnel!$H$9:$H$100)*(1-Personnel!$I$9:$I$100)))*Escalation!$B$66</f>
        <v>59804.37684</v>
      </c>
      <c r="BP5" s="289" t="n">
        <f aca="false">(SUMPRODUCT((Personnel!$F$9:$F$100="SixPeak")*(Personnel!$G$9:$G$100="Yes")*(66&gt;=Personnel!$E$9:$E$100)*((Personnel!$K$9:$K$100="")+(66&lt;=Personnel!$K$9:$K$100)&gt;0)*Personnel!$D$9:$D$100*(1-Personnel!$H$9:$H$100)*(1-Personnel!$I$9:$I$100)))*Escalation!$B$67</f>
        <v>59804.37684</v>
      </c>
      <c r="BQ5" s="289" t="n">
        <f aca="false">(SUMPRODUCT((Personnel!$F$9:$F$100="SixPeak")*(Personnel!$G$9:$G$100="Yes")*(67&gt;=Personnel!$E$9:$E$100)*((Personnel!$K$9:$K$100="")+(67&lt;=Personnel!$K$9:$K$100)&gt;0)*Personnel!$D$9:$D$100*(1-Personnel!$H$9:$H$100)*(1-Personnel!$I$9:$I$100)))*Escalation!$B$68</f>
        <v>59804.37684</v>
      </c>
      <c r="BR5" s="289" t="n">
        <f aca="false">(SUMPRODUCT((Personnel!$F$9:$F$100="SixPeak")*(Personnel!$G$9:$G$100="Yes")*(68&gt;=Personnel!$E$9:$E$100)*((Personnel!$K$9:$K$100="")+(68&lt;=Personnel!$K$9:$K$100)&gt;0)*Personnel!$D$9:$D$100*(1-Personnel!$H$9:$H$100)*(1-Personnel!$I$9:$I$100)))*Escalation!$B$69</f>
        <v>59804.37684</v>
      </c>
      <c r="BS5" s="289" t="n">
        <f aca="false">(SUMPRODUCT((Personnel!$F$9:$F$100="SixPeak")*(Personnel!$G$9:$G$100="Yes")*(69&gt;=Personnel!$E$9:$E$100)*((Personnel!$K$9:$K$100="")+(69&lt;=Personnel!$K$9:$K$100)&gt;0)*Personnel!$D$9:$D$100*(1-Personnel!$H$9:$H$100)*(1-Personnel!$I$9:$I$100)))*Escalation!$B$70</f>
        <v>59804.37684</v>
      </c>
      <c r="BT5" s="289" t="n">
        <f aca="false">(SUMPRODUCT((Personnel!$F$9:$F$100="SixPeak")*(Personnel!$G$9:$G$100="Yes")*(70&gt;=Personnel!$E$9:$E$100)*((Personnel!$K$9:$K$100="")+(70&lt;=Personnel!$K$9:$K$100)&gt;0)*Personnel!$D$9:$D$100*(1-Personnel!$H$9:$H$100)*(1-Personnel!$I$9:$I$100)))*Escalation!$B$71</f>
        <v>59804.37684</v>
      </c>
      <c r="BU5" s="289" t="n">
        <f aca="false">(SUMPRODUCT((Personnel!$F$9:$F$100="SixPeak")*(Personnel!$G$9:$G$100="Yes")*(71&gt;=Personnel!$E$9:$E$100)*((Personnel!$K$9:$K$100="")+(71&lt;=Personnel!$K$9:$K$100)&gt;0)*Personnel!$D$9:$D$100*(1-Personnel!$H$9:$H$100)*(1-Personnel!$I$9:$I$100)))*Escalation!$B$72</f>
        <v>59804.37684</v>
      </c>
      <c r="BV5" s="289" t="n">
        <f aca="false">(SUMPRODUCT((Personnel!$F$9:$F$100="SixPeak")*(Personnel!$G$9:$G$100="Yes")*(72&gt;=Personnel!$E$9:$E$100)*((Personnel!$K$9:$K$100="")+(72&lt;=Personnel!$K$9:$K$100)&gt;0)*Personnel!$D$9:$D$100*(1-Personnel!$H$9:$H$100)*(1-Personnel!$I$9:$I$100)))*Escalation!$B$73</f>
        <v>59804.37684</v>
      </c>
      <c r="BW5" s="289" t="n">
        <f aca="false">(SUMPRODUCT((Personnel!$F$9:$F$100="SixPeak")*(Personnel!$G$9:$G$100="Yes")*(73&gt;=Personnel!$E$9:$E$100)*((Personnel!$K$9:$K$100="")+(73&lt;=Personnel!$K$9:$K$100)&gt;0)*Personnel!$D$9:$D$100*(1-Personnel!$H$9:$H$100)*(1-Personnel!$I$9:$I$100)))*Escalation!$B$74</f>
        <v>61000.4643768</v>
      </c>
      <c r="BX5" s="289" t="n">
        <f aca="false">(SUMPRODUCT((Personnel!$F$9:$F$100="SixPeak")*(Personnel!$G$9:$G$100="Yes")*(74&gt;=Personnel!$E$9:$E$100)*((Personnel!$K$9:$K$100="")+(74&lt;=Personnel!$K$9:$K$100)&gt;0)*Personnel!$D$9:$D$100*(1-Personnel!$H$9:$H$100)*(1-Personnel!$I$9:$I$100)))*Escalation!$B$75</f>
        <v>61000.4643768</v>
      </c>
      <c r="BY5" s="289" t="n">
        <f aca="false">(SUMPRODUCT((Personnel!$F$9:$F$100="SixPeak")*(Personnel!$G$9:$G$100="Yes")*(75&gt;=Personnel!$E$9:$E$100)*((Personnel!$K$9:$K$100="")+(75&lt;=Personnel!$K$9:$K$100)&gt;0)*Personnel!$D$9:$D$100*(1-Personnel!$H$9:$H$100)*(1-Personnel!$I$9:$I$100)))*Escalation!$B$76</f>
        <v>61000.4643768</v>
      </c>
      <c r="BZ5" s="289" t="n">
        <f aca="false">(SUMPRODUCT((Personnel!$F$9:$F$100="SixPeak")*(Personnel!$G$9:$G$100="Yes")*(76&gt;=Personnel!$E$9:$E$100)*((Personnel!$K$9:$K$100="")+(76&lt;=Personnel!$K$9:$K$100)&gt;0)*Personnel!$D$9:$D$100*(1-Personnel!$H$9:$H$100)*(1-Personnel!$I$9:$I$100)))*Escalation!$B$77</f>
        <v>61000.4643768</v>
      </c>
      <c r="CA5" s="289" t="n">
        <f aca="false">(SUMPRODUCT((Personnel!$F$9:$F$100="SixPeak")*(Personnel!$G$9:$G$100="Yes")*(77&gt;=Personnel!$E$9:$E$100)*((Personnel!$K$9:$K$100="")+(77&lt;=Personnel!$K$9:$K$100)&gt;0)*Personnel!$D$9:$D$100*(1-Personnel!$H$9:$H$100)*(1-Personnel!$I$9:$I$100)))*Escalation!$B$78</f>
        <v>61000.4643768</v>
      </c>
      <c r="CB5" s="289" t="n">
        <f aca="false">(SUMPRODUCT((Personnel!$F$9:$F$100="SixPeak")*(Personnel!$G$9:$G$100="Yes")*(78&gt;=Personnel!$E$9:$E$100)*((Personnel!$K$9:$K$100="")+(78&lt;=Personnel!$K$9:$K$100)&gt;0)*Personnel!$D$9:$D$100*(1-Personnel!$H$9:$H$100)*(1-Personnel!$I$9:$I$100)))*Escalation!$B$79</f>
        <v>61000.4643768</v>
      </c>
      <c r="CC5" s="289" t="n">
        <f aca="false">(SUMPRODUCT((Personnel!$F$9:$F$100="SixPeak")*(Personnel!$G$9:$G$100="Yes")*(79&gt;=Personnel!$E$9:$E$100)*((Personnel!$K$9:$K$100="")+(79&lt;=Personnel!$K$9:$K$100)&gt;0)*Personnel!$D$9:$D$100*(1-Personnel!$H$9:$H$100)*(1-Personnel!$I$9:$I$100)))*Escalation!$B$80</f>
        <v>61000.4643768</v>
      </c>
      <c r="CD5" s="289" t="n">
        <f aca="false">(SUMPRODUCT((Personnel!$F$9:$F$100="SixPeak")*(Personnel!$G$9:$G$100="Yes")*(80&gt;=Personnel!$E$9:$E$100)*((Personnel!$K$9:$K$100="")+(80&lt;=Personnel!$K$9:$K$100)&gt;0)*Personnel!$D$9:$D$100*(1-Personnel!$H$9:$H$100)*(1-Personnel!$I$9:$I$100)))*Escalation!$B$81</f>
        <v>61000.4643768</v>
      </c>
      <c r="CE5" s="289" t="n">
        <f aca="false">(SUMPRODUCT((Personnel!$F$9:$F$100="SixPeak")*(Personnel!$G$9:$G$100="Yes")*(81&gt;=Personnel!$E$9:$E$100)*((Personnel!$K$9:$K$100="")+(81&lt;=Personnel!$K$9:$K$100)&gt;0)*Personnel!$D$9:$D$100*(1-Personnel!$H$9:$H$100)*(1-Personnel!$I$9:$I$100)))*Escalation!$B$82</f>
        <v>61000.4643768</v>
      </c>
      <c r="CF5" s="289" t="n">
        <f aca="false">(SUMPRODUCT((Personnel!$F$9:$F$100="SixPeak")*(Personnel!$G$9:$G$100="Yes")*(82&gt;=Personnel!$E$9:$E$100)*((Personnel!$K$9:$K$100="")+(82&lt;=Personnel!$K$9:$K$100)&gt;0)*Personnel!$D$9:$D$100*(1-Personnel!$H$9:$H$100)*(1-Personnel!$I$9:$I$100)))*Escalation!$B$83</f>
        <v>61000.4643768</v>
      </c>
      <c r="CG5" s="289" t="n">
        <f aca="false">(SUMPRODUCT((Personnel!$F$9:$F$100="SixPeak")*(Personnel!$G$9:$G$100="Yes")*(83&gt;=Personnel!$E$9:$E$100)*((Personnel!$K$9:$K$100="")+(83&lt;=Personnel!$K$9:$K$100)&gt;0)*Personnel!$D$9:$D$100*(1-Personnel!$H$9:$H$100)*(1-Personnel!$I$9:$I$100)))*Escalation!$B$84</f>
        <v>61000.4643768</v>
      </c>
      <c r="CH5" s="289" t="n">
        <f aca="false">(SUMPRODUCT((Personnel!$F$9:$F$100="SixPeak")*(Personnel!$G$9:$G$100="Yes")*(84&gt;=Personnel!$E$9:$E$100)*((Personnel!$K$9:$K$100="")+(84&lt;=Personnel!$K$9:$K$100)&gt;0)*Personnel!$D$9:$D$100*(1-Personnel!$H$9:$H$100)*(1-Personnel!$I$9:$I$100)))*Escalation!$B$85</f>
        <v>61000.4643768</v>
      </c>
      <c r="CI5" s="289" t="n">
        <f aca="false">(SUMPRODUCT((Personnel!$F$9:$F$100="SixPeak")*(Personnel!$G$9:$G$100="Yes")*(85&gt;=Personnel!$E$9:$E$100)*((Personnel!$K$9:$K$100="")+(85&lt;=Personnel!$K$9:$K$100)&gt;0)*Personnel!$D$9:$D$100*(1-Personnel!$H$9:$H$100)*(1-Personnel!$I$9:$I$100)))*Escalation!$B$86</f>
        <v>62220.473664336</v>
      </c>
      <c r="CJ5" s="289" t="n">
        <f aca="false">(SUMPRODUCT((Personnel!$F$9:$F$100="SixPeak")*(Personnel!$G$9:$G$100="Yes")*(86&gt;=Personnel!$E$9:$E$100)*((Personnel!$K$9:$K$100="")+(86&lt;=Personnel!$K$9:$K$100)&gt;0)*Personnel!$D$9:$D$100*(1-Personnel!$H$9:$H$100)*(1-Personnel!$I$9:$I$100)))*Escalation!$B$87</f>
        <v>62220.473664336</v>
      </c>
      <c r="CK5" s="289" t="n">
        <f aca="false">(SUMPRODUCT((Personnel!$F$9:$F$100="SixPeak")*(Personnel!$G$9:$G$100="Yes")*(87&gt;=Personnel!$E$9:$E$100)*((Personnel!$K$9:$K$100="")+(87&lt;=Personnel!$K$9:$K$100)&gt;0)*Personnel!$D$9:$D$100*(1-Personnel!$H$9:$H$100)*(1-Personnel!$I$9:$I$100)))*Escalation!$B$88</f>
        <v>62220.473664336</v>
      </c>
      <c r="CL5" s="289" t="n">
        <f aca="false">(SUMPRODUCT((Personnel!$F$9:$F$100="SixPeak")*(Personnel!$G$9:$G$100="Yes")*(88&gt;=Personnel!$E$9:$E$100)*((Personnel!$K$9:$K$100="")+(88&lt;=Personnel!$K$9:$K$100)&gt;0)*Personnel!$D$9:$D$100*(1-Personnel!$H$9:$H$100)*(1-Personnel!$I$9:$I$100)))*Escalation!$B$89</f>
        <v>62220.473664336</v>
      </c>
      <c r="CM5" s="289" t="n">
        <f aca="false">(SUMPRODUCT((Personnel!$F$9:$F$100="SixPeak")*(Personnel!$G$9:$G$100="Yes")*(89&gt;=Personnel!$E$9:$E$100)*((Personnel!$K$9:$K$100="")+(89&lt;=Personnel!$K$9:$K$100)&gt;0)*Personnel!$D$9:$D$100*(1-Personnel!$H$9:$H$100)*(1-Personnel!$I$9:$I$100)))*Escalation!$B$90</f>
        <v>62220.473664336</v>
      </c>
      <c r="CN5" s="289" t="n">
        <f aca="false">(SUMPRODUCT((Personnel!$F$9:$F$100="SixPeak")*(Personnel!$G$9:$G$100="Yes")*(90&gt;=Personnel!$E$9:$E$100)*((Personnel!$K$9:$K$100="")+(90&lt;=Personnel!$K$9:$K$100)&gt;0)*Personnel!$D$9:$D$100*(1-Personnel!$H$9:$H$100)*(1-Personnel!$I$9:$I$100)))*Escalation!$B$91</f>
        <v>62220.473664336</v>
      </c>
      <c r="CO5" s="289" t="n">
        <f aca="false">(SUMPRODUCT((Personnel!$F$9:$F$100="SixPeak")*(Personnel!$G$9:$G$100="Yes")*(91&gt;=Personnel!$E$9:$E$100)*((Personnel!$K$9:$K$100="")+(91&lt;=Personnel!$K$9:$K$100)&gt;0)*Personnel!$D$9:$D$100*(1-Personnel!$H$9:$H$100)*(1-Personnel!$I$9:$I$100)))*Escalation!$B$92</f>
        <v>62220.473664336</v>
      </c>
      <c r="CP5" s="289" t="n">
        <f aca="false">(SUMPRODUCT((Personnel!$F$9:$F$100="SixPeak")*(Personnel!$G$9:$G$100="Yes")*(92&gt;=Personnel!$E$9:$E$100)*((Personnel!$K$9:$K$100="")+(92&lt;=Personnel!$K$9:$K$100)&gt;0)*Personnel!$D$9:$D$100*(1-Personnel!$H$9:$H$100)*(1-Personnel!$I$9:$I$100)))*Escalation!$B$93</f>
        <v>62220.473664336</v>
      </c>
      <c r="CQ5" s="289"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83" t="s">
        <v>1150</v>
      </c>
    </row>
    <row r="8" customFormat="false" ht="15" hidden="false" customHeight="true" outlineLevel="0" collapsed="false">
      <c r="A8" s="177" t="s">
        <v>9</v>
      </c>
      <c r="C8" s="289" t="n">
        <v>11187175.79</v>
      </c>
      <c r="D8" s="289" t="n">
        <v>10356493.69</v>
      </c>
      <c r="E8" s="289" t="n">
        <v>9450240.48</v>
      </c>
      <c r="F8" s="289" t="n">
        <v>8485833.11</v>
      </c>
      <c r="G8" s="289" t="n">
        <v>6546008.3</v>
      </c>
      <c r="H8" s="289" t="n">
        <v>5950977.14</v>
      </c>
      <c r="I8" s="289" t="n">
        <v>5403449.04</v>
      </c>
      <c r="J8" s="289" t="n">
        <v>4778618.53</v>
      </c>
      <c r="K8" s="289" t="n">
        <v>4012283.82</v>
      </c>
      <c r="L8" s="289" t="n">
        <v>3317496.87</v>
      </c>
      <c r="M8" s="289" t="n">
        <v>2693094.26</v>
      </c>
      <c r="N8" s="289" t="n">
        <v>1981609.96</v>
      </c>
      <c r="O8" s="289" t="n">
        <v>1250721.11</v>
      </c>
      <c r="P8" s="289" t="n">
        <v>661631.3</v>
      </c>
      <c r="Q8" s="289" t="n">
        <v>297802.14</v>
      </c>
      <c r="R8" s="289" t="n">
        <v>126194.42</v>
      </c>
      <c r="S8" s="289" t="n">
        <v>0</v>
      </c>
      <c r="T8" s="289" t="n">
        <v>0</v>
      </c>
      <c r="U8" s="289" t="n">
        <v>0</v>
      </c>
      <c r="V8" s="289" t="n">
        <v>0</v>
      </c>
      <c r="W8" s="289" t="n">
        <v>0</v>
      </c>
      <c r="X8" s="289" t="n">
        <v>0</v>
      </c>
      <c r="Y8" s="289" t="n">
        <v>0</v>
      </c>
      <c r="Z8" s="289" t="n">
        <v>0</v>
      </c>
      <c r="AA8" s="289" t="n">
        <v>0</v>
      </c>
      <c r="AB8" s="289" t="n">
        <v>0</v>
      </c>
      <c r="AC8" s="289" t="n">
        <v>0</v>
      </c>
      <c r="AD8" s="289" t="n">
        <v>0</v>
      </c>
      <c r="AE8" s="289" t="n">
        <v>0</v>
      </c>
      <c r="AF8" s="289" t="n">
        <v>0</v>
      </c>
      <c r="AG8" s="289" t="n">
        <v>0</v>
      </c>
      <c r="AH8" s="289" t="n">
        <v>0</v>
      </c>
      <c r="AI8" s="289" t="n">
        <v>0</v>
      </c>
      <c r="AJ8" s="289" t="n">
        <v>0</v>
      </c>
      <c r="AK8" s="289" t="n">
        <v>0</v>
      </c>
      <c r="AL8" s="289" t="n">
        <v>0</v>
      </c>
      <c r="AM8" s="289" t="n">
        <v>0</v>
      </c>
      <c r="AN8" s="289" t="n">
        <v>0</v>
      </c>
      <c r="AO8" s="289" t="n">
        <v>0</v>
      </c>
      <c r="AP8" s="289" t="n">
        <v>0</v>
      </c>
      <c r="AQ8" s="289" t="n">
        <v>0</v>
      </c>
      <c r="AR8" s="289" t="n">
        <v>0</v>
      </c>
      <c r="AS8" s="289" t="n">
        <v>0</v>
      </c>
      <c r="AT8" s="289" t="n">
        <v>0</v>
      </c>
      <c r="AU8" s="289" t="n">
        <v>0</v>
      </c>
      <c r="AV8" s="289" t="n">
        <v>0</v>
      </c>
      <c r="AW8" s="289" t="n">
        <v>0</v>
      </c>
      <c r="AX8" s="289" t="n">
        <v>0</v>
      </c>
      <c r="AY8" s="289" t="n">
        <v>0</v>
      </c>
      <c r="AZ8" s="289" t="n">
        <v>0</v>
      </c>
      <c r="BA8" s="289" t="n">
        <v>0</v>
      </c>
      <c r="BB8" s="289" t="n">
        <v>0</v>
      </c>
      <c r="BC8" s="289" t="n">
        <v>0</v>
      </c>
      <c r="BD8" s="289" t="n">
        <v>0</v>
      </c>
      <c r="BE8" s="289" t="n">
        <v>0</v>
      </c>
      <c r="BF8" s="289" t="n">
        <v>0</v>
      </c>
      <c r="BG8" s="289" t="n">
        <v>0</v>
      </c>
      <c r="BH8" s="289" t="n">
        <v>0</v>
      </c>
      <c r="BI8" s="289" t="n">
        <v>0</v>
      </c>
      <c r="BJ8" s="289" t="n">
        <v>0</v>
      </c>
      <c r="BK8" s="289" t="n">
        <v>0</v>
      </c>
      <c r="BL8" s="289" t="n">
        <v>0</v>
      </c>
      <c r="BM8" s="289" t="n">
        <v>0</v>
      </c>
      <c r="BN8" s="289" t="n">
        <v>0</v>
      </c>
      <c r="BO8" s="289" t="n">
        <v>0</v>
      </c>
      <c r="BP8" s="289" t="n">
        <v>0</v>
      </c>
      <c r="BQ8" s="289" t="n">
        <v>0</v>
      </c>
      <c r="BR8" s="289" t="n">
        <v>0</v>
      </c>
      <c r="BS8" s="289" t="n">
        <v>0</v>
      </c>
      <c r="BT8" s="289" t="n">
        <v>0</v>
      </c>
      <c r="BU8" s="289" t="n">
        <v>0</v>
      </c>
      <c r="BV8" s="289" t="n">
        <v>0</v>
      </c>
      <c r="BW8" s="289" t="n">
        <v>0</v>
      </c>
      <c r="BX8" s="289" t="n">
        <v>0</v>
      </c>
      <c r="BY8" s="289" t="n">
        <v>0</v>
      </c>
      <c r="BZ8" s="289" t="n">
        <v>0</v>
      </c>
      <c r="CA8" s="289" t="n">
        <v>0</v>
      </c>
      <c r="CB8" s="289" t="n">
        <v>0</v>
      </c>
      <c r="CC8" s="289" t="n">
        <v>0</v>
      </c>
      <c r="CD8" s="289" t="n">
        <v>0</v>
      </c>
      <c r="CE8" s="289" t="n">
        <v>0</v>
      </c>
      <c r="CF8" s="289" t="n">
        <v>0</v>
      </c>
      <c r="CG8" s="289" t="n">
        <v>0</v>
      </c>
      <c r="CH8" s="289" t="n">
        <v>0</v>
      </c>
      <c r="CI8" s="289" t="n">
        <v>0</v>
      </c>
      <c r="CJ8" s="289" t="n">
        <v>0</v>
      </c>
      <c r="CK8" s="289" t="n">
        <v>0</v>
      </c>
      <c r="CL8" s="289" t="n">
        <v>0</v>
      </c>
      <c r="CM8" s="289" t="n">
        <v>0</v>
      </c>
      <c r="CN8" s="289" t="n">
        <v>0</v>
      </c>
      <c r="CO8" s="289" t="n">
        <v>0</v>
      </c>
      <c r="CP8" s="289" t="n">
        <v>0</v>
      </c>
      <c r="CQ8" s="289" t="n">
        <v>0</v>
      </c>
    </row>
    <row r="9" customFormat="false" ht="15" hidden="false" customHeight="true" outlineLevel="0" collapsed="false">
      <c r="A9" s="177" t="s">
        <v>10</v>
      </c>
      <c r="C9" s="289" t="n">
        <v>13529664.56</v>
      </c>
      <c r="D9" s="289" t="n">
        <v>12525045.48</v>
      </c>
      <c r="E9" s="289" t="n">
        <v>11429031.43</v>
      </c>
      <c r="F9" s="289" t="n">
        <v>10262686.27</v>
      </c>
      <c r="G9" s="289" t="n">
        <v>9354156.4</v>
      </c>
      <c r="H9" s="289" t="n">
        <v>8576474.68</v>
      </c>
      <c r="I9" s="289" t="n">
        <v>7686708.76</v>
      </c>
      <c r="J9" s="289" t="n">
        <v>7003935.62</v>
      </c>
      <c r="K9" s="289" t="n">
        <v>6232412.67</v>
      </c>
      <c r="L9" s="289" t="n">
        <v>5543806.21</v>
      </c>
      <c r="M9" s="289" t="n">
        <v>4887352.83</v>
      </c>
      <c r="N9" s="289" t="n">
        <v>4294423.23</v>
      </c>
      <c r="O9" s="289" t="n">
        <v>3826241.58</v>
      </c>
      <c r="P9" s="289" t="n">
        <v>3410361.03</v>
      </c>
      <c r="Q9" s="289" t="n">
        <v>2510448.86</v>
      </c>
      <c r="R9" s="289" t="n">
        <v>1384588.44</v>
      </c>
      <c r="S9" s="289" t="n">
        <v>631341.78</v>
      </c>
      <c r="T9" s="289" t="n">
        <v>164743.84</v>
      </c>
      <c r="U9" s="289" t="n">
        <v>0</v>
      </c>
      <c r="V9" s="289" t="n">
        <v>0</v>
      </c>
      <c r="W9" s="289" t="n">
        <v>0</v>
      </c>
      <c r="X9" s="289" t="n">
        <v>0</v>
      </c>
      <c r="Y9" s="289" t="n">
        <v>0</v>
      </c>
      <c r="Z9" s="289" t="n">
        <v>0</v>
      </c>
      <c r="AA9" s="289" t="n">
        <v>0</v>
      </c>
      <c r="AB9" s="289" t="n">
        <v>0</v>
      </c>
      <c r="AC9" s="289" t="n">
        <v>0</v>
      </c>
      <c r="AD9" s="289" t="n">
        <v>0</v>
      </c>
      <c r="AE9" s="289" t="n">
        <v>0</v>
      </c>
      <c r="AF9" s="289" t="n">
        <v>0</v>
      </c>
      <c r="AG9" s="289" t="n">
        <v>0</v>
      </c>
      <c r="AH9" s="289" t="n">
        <v>0</v>
      </c>
      <c r="AI9" s="289" t="n">
        <v>0</v>
      </c>
      <c r="AJ9" s="289" t="n">
        <v>0</v>
      </c>
      <c r="AK9" s="289" t="n">
        <v>0</v>
      </c>
      <c r="AL9" s="289" t="n">
        <v>0</v>
      </c>
      <c r="AM9" s="289" t="n">
        <v>0</v>
      </c>
      <c r="AN9" s="289" t="n">
        <v>0</v>
      </c>
      <c r="AO9" s="289" t="n">
        <v>0</v>
      </c>
      <c r="AP9" s="289" t="n">
        <v>0</v>
      </c>
      <c r="AQ9" s="289" t="n">
        <v>0</v>
      </c>
      <c r="AR9" s="289" t="n">
        <v>0</v>
      </c>
      <c r="AS9" s="289" t="n">
        <v>0</v>
      </c>
      <c r="AT9" s="289" t="n">
        <v>0</v>
      </c>
      <c r="AU9" s="289" t="n">
        <v>0</v>
      </c>
      <c r="AV9" s="289" t="n">
        <v>0</v>
      </c>
      <c r="AW9" s="289" t="n">
        <v>0</v>
      </c>
      <c r="AX9" s="289" t="n">
        <v>0</v>
      </c>
      <c r="AY9" s="289" t="n">
        <v>0</v>
      </c>
      <c r="AZ9" s="289" t="n">
        <v>0</v>
      </c>
      <c r="BA9" s="289" t="n">
        <v>0</v>
      </c>
      <c r="BB9" s="289" t="n">
        <v>0</v>
      </c>
      <c r="BC9" s="289" t="n">
        <v>0</v>
      </c>
      <c r="BD9" s="289" t="n">
        <v>0</v>
      </c>
      <c r="BE9" s="289" t="n">
        <v>0</v>
      </c>
      <c r="BF9" s="289" t="n">
        <v>0</v>
      </c>
      <c r="BG9" s="289" t="n">
        <v>0</v>
      </c>
      <c r="BH9" s="289" t="n">
        <v>0</v>
      </c>
      <c r="BI9" s="289" t="n">
        <v>0</v>
      </c>
      <c r="BJ9" s="289" t="n">
        <v>0</v>
      </c>
      <c r="BK9" s="289" t="n">
        <v>0</v>
      </c>
      <c r="BL9" s="289" t="n">
        <v>0</v>
      </c>
      <c r="BM9" s="289" t="n">
        <v>0</v>
      </c>
      <c r="BN9" s="289" t="n">
        <v>0</v>
      </c>
      <c r="BO9" s="289" t="n">
        <v>0</v>
      </c>
      <c r="BP9" s="289" t="n">
        <v>0</v>
      </c>
      <c r="BQ9" s="289" t="n">
        <v>0</v>
      </c>
      <c r="BR9" s="289" t="n">
        <v>0</v>
      </c>
      <c r="BS9" s="289" t="n">
        <v>0</v>
      </c>
      <c r="BT9" s="289" t="n">
        <v>0</v>
      </c>
      <c r="BU9" s="289" t="n">
        <v>0</v>
      </c>
      <c r="BV9" s="289" t="n">
        <v>0</v>
      </c>
      <c r="BW9" s="289" t="n">
        <v>0</v>
      </c>
      <c r="BX9" s="289" t="n">
        <v>0</v>
      </c>
      <c r="BY9" s="289" t="n">
        <v>0</v>
      </c>
      <c r="BZ9" s="289" t="n">
        <v>0</v>
      </c>
      <c r="CA9" s="289" t="n">
        <v>0</v>
      </c>
      <c r="CB9" s="289" t="n">
        <v>0</v>
      </c>
      <c r="CC9" s="289" t="n">
        <v>0</v>
      </c>
      <c r="CD9" s="289" t="n">
        <v>0</v>
      </c>
      <c r="CE9" s="289" t="n">
        <v>0</v>
      </c>
      <c r="CF9" s="289" t="n">
        <v>0</v>
      </c>
      <c r="CG9" s="289" t="n">
        <v>0</v>
      </c>
      <c r="CH9" s="289" t="n">
        <v>0</v>
      </c>
      <c r="CI9" s="289" t="n">
        <v>0</v>
      </c>
      <c r="CJ9" s="289" t="n">
        <v>0</v>
      </c>
      <c r="CK9" s="289" t="n">
        <v>0</v>
      </c>
      <c r="CL9" s="289" t="n">
        <v>0</v>
      </c>
      <c r="CM9" s="289" t="n">
        <v>0</v>
      </c>
      <c r="CN9" s="289" t="n">
        <v>0</v>
      </c>
      <c r="CO9" s="289" t="n">
        <v>0</v>
      </c>
      <c r="CP9" s="289" t="n">
        <v>0</v>
      </c>
      <c r="CQ9" s="289" t="n">
        <v>0</v>
      </c>
    </row>
    <row r="10" customFormat="false" ht="15" hidden="false" customHeight="true" outlineLevel="0" collapsed="false">
      <c r="A10" s="177" t="s">
        <v>12</v>
      </c>
      <c r="C10" s="289" t="n">
        <v>0</v>
      </c>
      <c r="D10" s="289" t="n">
        <v>0</v>
      </c>
      <c r="E10" s="289" t="n">
        <v>0</v>
      </c>
      <c r="F10" s="289" t="n">
        <v>0</v>
      </c>
      <c r="G10" s="289" t="n">
        <v>42418193.38</v>
      </c>
      <c r="H10" s="289" t="n">
        <v>41557159.51</v>
      </c>
      <c r="I10" s="289" t="n">
        <v>40347746.5</v>
      </c>
      <c r="J10" s="289" t="n">
        <v>39561567.49</v>
      </c>
      <c r="K10" s="289" t="n">
        <v>38972367.12</v>
      </c>
      <c r="L10" s="289" t="n">
        <v>38221747.38</v>
      </c>
      <c r="M10" s="289" t="n">
        <v>37614512.89</v>
      </c>
      <c r="N10" s="289" t="n">
        <v>36881872.23</v>
      </c>
      <c r="O10" s="289" t="n">
        <v>36263088.93</v>
      </c>
      <c r="P10" s="289" t="n">
        <v>35502601.32</v>
      </c>
      <c r="Q10" s="289" t="n">
        <v>34787831.07</v>
      </c>
      <c r="R10" s="289" t="n">
        <v>33505756.49</v>
      </c>
      <c r="S10" s="289" t="n">
        <v>32686448.68</v>
      </c>
      <c r="T10" s="289" t="n">
        <v>30243213.22</v>
      </c>
      <c r="U10" s="289" t="n">
        <v>28699798.34</v>
      </c>
      <c r="V10" s="289" t="n">
        <v>25529541</v>
      </c>
      <c r="W10" s="289" t="n">
        <v>23704130.61</v>
      </c>
      <c r="X10" s="289" t="n">
        <v>20828303.45</v>
      </c>
      <c r="Y10" s="289" t="n">
        <v>18426892.45</v>
      </c>
      <c r="Z10" s="289" t="n">
        <v>16789882.88</v>
      </c>
      <c r="AA10" s="289" t="n">
        <v>15753895.35</v>
      </c>
      <c r="AB10" s="289" t="n">
        <v>14527106.83</v>
      </c>
      <c r="AC10" s="289" t="n">
        <v>13375707.75</v>
      </c>
      <c r="AD10" s="289" t="n">
        <v>11951889.75</v>
      </c>
      <c r="AE10" s="289" t="n">
        <v>9479263.81</v>
      </c>
      <c r="AF10" s="289" t="n">
        <v>7184499.57</v>
      </c>
      <c r="AG10" s="289" t="n">
        <v>4941005.43</v>
      </c>
      <c r="AH10" s="289" t="n">
        <v>3716991.2</v>
      </c>
      <c r="AI10" s="289" t="n">
        <v>2700888.54</v>
      </c>
      <c r="AJ10" s="289" t="n">
        <v>1565814.84</v>
      </c>
      <c r="AK10" s="289" t="n">
        <v>331958.4</v>
      </c>
      <c r="AL10" s="289" t="n">
        <v>0</v>
      </c>
      <c r="AM10" s="289" t="n">
        <v>0</v>
      </c>
      <c r="AN10" s="289" t="n">
        <v>0</v>
      </c>
      <c r="AO10" s="289" t="n">
        <v>0</v>
      </c>
      <c r="AP10" s="289" t="n">
        <v>0</v>
      </c>
      <c r="AQ10" s="289" t="n">
        <v>0</v>
      </c>
      <c r="AR10" s="289" t="n">
        <v>0</v>
      </c>
      <c r="AS10" s="289" t="n">
        <v>0</v>
      </c>
      <c r="AT10" s="289" t="n">
        <v>0</v>
      </c>
      <c r="AU10" s="289" t="n">
        <v>0</v>
      </c>
      <c r="AV10" s="289" t="n">
        <v>0</v>
      </c>
      <c r="AW10" s="289" t="n">
        <v>0</v>
      </c>
      <c r="AX10" s="289" t="n">
        <v>0</v>
      </c>
      <c r="AY10" s="289" t="n">
        <v>0</v>
      </c>
      <c r="AZ10" s="289" t="n">
        <v>0</v>
      </c>
      <c r="BA10" s="289" t="n">
        <v>0</v>
      </c>
      <c r="BB10" s="289" t="n">
        <v>0</v>
      </c>
      <c r="BC10" s="289" t="n">
        <v>0</v>
      </c>
      <c r="BD10" s="289" t="n">
        <v>0</v>
      </c>
      <c r="BE10" s="289" t="n">
        <v>0</v>
      </c>
      <c r="BF10" s="289" t="n">
        <v>0</v>
      </c>
      <c r="BG10" s="289" t="n">
        <v>0</v>
      </c>
      <c r="BH10" s="289" t="n">
        <v>0</v>
      </c>
      <c r="BI10" s="289" t="n">
        <v>0</v>
      </c>
      <c r="BJ10" s="289" t="n">
        <v>0</v>
      </c>
      <c r="BK10" s="289" t="n">
        <v>0</v>
      </c>
      <c r="BL10" s="289" t="n">
        <v>0</v>
      </c>
      <c r="BM10" s="289" t="n">
        <v>0</v>
      </c>
      <c r="BN10" s="289" t="n">
        <v>0</v>
      </c>
      <c r="BO10" s="289" t="n">
        <v>0</v>
      </c>
      <c r="BP10" s="289" t="n">
        <v>0</v>
      </c>
      <c r="BQ10" s="289" t="n">
        <v>0</v>
      </c>
      <c r="BR10" s="289" t="n">
        <v>0</v>
      </c>
      <c r="BS10" s="289" t="n">
        <v>0</v>
      </c>
      <c r="BT10" s="289" t="n">
        <v>0</v>
      </c>
      <c r="BU10" s="289" t="n">
        <v>0</v>
      </c>
      <c r="BV10" s="289" t="n">
        <v>0</v>
      </c>
      <c r="BW10" s="289" t="n">
        <v>0</v>
      </c>
      <c r="BX10" s="289" t="n">
        <v>0</v>
      </c>
      <c r="BY10" s="289" t="n">
        <v>0</v>
      </c>
      <c r="BZ10" s="289" t="n">
        <v>0</v>
      </c>
      <c r="CA10" s="289" t="n">
        <v>0</v>
      </c>
      <c r="CB10" s="289" t="n">
        <v>0</v>
      </c>
      <c r="CC10" s="289" t="n">
        <v>0</v>
      </c>
      <c r="CD10" s="289" t="n">
        <v>0</v>
      </c>
      <c r="CE10" s="289" t="n">
        <v>0</v>
      </c>
      <c r="CF10" s="289" t="n">
        <v>0</v>
      </c>
      <c r="CG10" s="289" t="n">
        <v>0</v>
      </c>
      <c r="CH10" s="289" t="n">
        <v>0</v>
      </c>
      <c r="CI10" s="289" t="n">
        <v>0</v>
      </c>
      <c r="CJ10" s="289" t="n">
        <v>0</v>
      </c>
      <c r="CK10" s="289" t="n">
        <v>0</v>
      </c>
      <c r="CL10" s="289" t="n">
        <v>0</v>
      </c>
      <c r="CM10" s="289" t="n">
        <v>0</v>
      </c>
      <c r="CN10" s="289" t="n">
        <v>0</v>
      </c>
      <c r="CO10" s="289" t="n">
        <v>0</v>
      </c>
      <c r="CP10" s="289" t="n">
        <v>0</v>
      </c>
      <c r="CQ10" s="289" t="n">
        <v>0</v>
      </c>
    </row>
    <row r="11" customFormat="false" ht="15" hidden="false" customHeight="true" outlineLevel="0" collapsed="false">
      <c r="A11" s="177" t="s">
        <v>13</v>
      </c>
      <c r="C11" s="289" t="n">
        <f aca="false">IF(AND(Projects!$G$8="Yes",Projects!$F$8="Yes",1&gt;=Projects!$C$8,1&lt;Projects!$C$8+Projects!$D$8),Projects!$B$8*(1-SUMPRODUCT((Curves!$B$4:$AO$4)*(COLUMN(Curves!$B$4:$AO$4)-COLUMN(Curves!$B$4)+1&lt;=1-Projects!$C$8+1))),0)</f>
        <v>0</v>
      </c>
      <c r="D11" s="289" t="n">
        <f aca="false">IF(AND(Projects!$G$8="Yes",Projects!$F$8="Yes",2&gt;=Projects!$C$8,2&lt;Projects!$C$8+Projects!$D$8),Projects!$B$8*(1-SUMPRODUCT((Curves!$B$4:$AO$4)*(COLUMN(Curves!$B$4:$AO$4)-COLUMN(Curves!$B$4)+1&lt;=2-Projects!$C$8+1))),0)</f>
        <v>0</v>
      </c>
      <c r="E11" s="289" t="n">
        <f aca="false">IF(AND(Projects!$G$8="Yes",Projects!$F$8="Yes",3&gt;=Projects!$C$8,3&lt;Projects!$C$8+Projects!$D$8),Projects!$B$8*(1-SUMPRODUCT((Curves!$B$4:$AO$4)*(COLUMN(Curves!$B$4:$AO$4)-COLUMN(Curves!$B$4)+1&lt;=3-Projects!$C$8+1))),0)</f>
        <v>0</v>
      </c>
      <c r="F11" s="289" t="n">
        <f aca="false">IF(AND(Projects!$G$8="Yes",Projects!$F$8="Yes",4&gt;=Projects!$C$8,4&lt;Projects!$C$8+Projects!$D$8),Projects!$B$8*(1-SUMPRODUCT((Curves!$B$4:$AO$4)*(COLUMN(Curves!$B$4:$AO$4)-COLUMN(Curves!$B$4)+1&lt;=4-Projects!$C$8+1))),0)</f>
        <v>0</v>
      </c>
      <c r="G11" s="289" t="n">
        <f aca="false">IF(AND(Projects!$G$8="Yes",Projects!$F$8="Yes",5&gt;=Projects!$C$8,5&lt;Projects!$C$8+Projects!$D$8),Projects!$B$8*(1-SUMPRODUCT((Curves!$B$4:$AO$4)*(COLUMN(Curves!$B$4:$AO$4)-COLUMN(Curves!$B$4)+1&lt;=5-Projects!$C$8+1))),0)</f>
        <v>0</v>
      </c>
      <c r="H11" s="289" t="n">
        <f aca="false">IF(AND(Projects!$G$8="Yes",Projects!$F$8="Yes",6&gt;=Projects!$C$8,6&lt;Projects!$C$8+Projects!$D$8),Projects!$B$8*(1-SUMPRODUCT((Curves!$B$4:$AO$4)*(COLUMN(Curves!$B$4:$AO$4)-COLUMN(Curves!$B$4)+1&lt;=6-Projects!$C$8+1))),0)</f>
        <v>12649220.0904822</v>
      </c>
      <c r="I11" s="289" t="n">
        <f aca="false">IF(AND(Projects!$G$8="Yes",Projects!$F$8="Yes",7&gt;=Projects!$C$8,7&lt;Projects!$C$8+Projects!$D$8),Projects!$B$8*(1-SUMPRODUCT((Curves!$B$4:$AO$4)*(COLUMN(Curves!$B$4:$AO$4)-COLUMN(Curves!$B$4)+1&lt;=7-Projects!$C$8+1))),0)</f>
        <v>12223530.9933081</v>
      </c>
      <c r="J11" s="289" t="n">
        <f aca="false">IF(AND(Projects!$G$8="Yes",Projects!$F$8="Yes",8&gt;=Projects!$C$8,8&lt;Projects!$C$8+Projects!$D$8),Projects!$B$8*(1-SUMPRODUCT((Curves!$B$4:$AO$4)*(COLUMN(Curves!$B$4:$AO$4)-COLUMN(Curves!$B$4)+1&lt;=8-Projects!$C$8+1))),0)</f>
        <v>11710510.727302</v>
      </c>
      <c r="K11" s="289" t="n">
        <f aca="false">IF(AND(Projects!$G$8="Yes",Projects!$F$8="Yes",9&gt;=Projects!$C$8,9&lt;Projects!$C$8+Projects!$D$8),Projects!$B$8*(1-SUMPRODUCT((Curves!$B$4:$AO$4)*(COLUMN(Curves!$B$4:$AO$4)-COLUMN(Curves!$B$4)+1&lt;=9-Projects!$C$8+1))),0)</f>
        <v>11107443.5932694</v>
      </c>
      <c r="L11" s="289" t="n">
        <f aca="false">IF(AND(Projects!$G$8="Yes",Projects!$F$8="Yes",10&gt;=Projects!$C$8,10&lt;Projects!$C$8+Projects!$D$8),Projects!$B$8*(1-SUMPRODUCT((Curves!$B$4:$AO$4)*(COLUMN(Curves!$B$4:$AO$4)-COLUMN(Curves!$B$4)+1&lt;=10-Projects!$C$8+1))),0)</f>
        <v>10415940.8194405</v>
      </c>
      <c r="M11" s="289" t="n">
        <f aca="false">IF(AND(Projects!$G$8="Yes",Projects!$F$8="Yes",11&gt;=Projects!$C$8,11&lt;Projects!$C$8+Projects!$D$8),Projects!$B$8*(1-SUMPRODUCT((Curves!$B$4:$AO$4)*(COLUMN(Curves!$B$4:$AO$4)-COLUMN(Curves!$B$4)+1&lt;=11-Projects!$C$8+1))),0)</f>
        <v>9642525.2813924</v>
      </c>
      <c r="N11" s="289" t="n">
        <f aca="false">IF(AND(Projects!$G$8="Yes",Projects!$F$8="Yes",12&gt;=Projects!$C$8,12&lt;Projects!$C$8+Projects!$D$8),Projects!$B$8*(1-SUMPRODUCT((Curves!$B$4:$AO$4)*(COLUMN(Curves!$B$4:$AO$4)-COLUMN(Curves!$B$4)+1&lt;=12-Projects!$C$8+1))),0)</f>
        <v>8798748.44603355</v>
      </c>
      <c r="O11" s="289" t="n">
        <f aca="false">IF(AND(Projects!$G$8="Yes",Projects!$F$8="Yes",13&gt;=Projects!$C$8,13&lt;Projects!$C$8+Projects!$D$8),Projects!$B$8*(1-SUMPRODUCT((Curves!$B$4:$AO$4)*(COLUMN(Curves!$B$4:$AO$4)-COLUMN(Curves!$B$4)+1&lt;=13-Projects!$C$8+1))),0)</f>
        <v>7900826.54587435</v>
      </c>
      <c r="P11" s="289" t="n">
        <f aca="false">IF(AND(Projects!$G$8="Yes",Projects!$F$8="Yes",14&gt;=Projects!$C$8,14&lt;Projects!$C$8+Projects!$D$8),Projects!$B$8*(1-SUMPRODUCT((Curves!$B$4:$AO$4)*(COLUMN(Curves!$B$4:$AO$4)-COLUMN(Curves!$B$4)+1&lt;=14-Projects!$C$8+1))),0)</f>
        <v>6968757.00225575</v>
      </c>
      <c r="Q11" s="289" t="n">
        <f aca="false">IF(AND(Projects!$G$8="Yes",Projects!$F$8="Yes",15&gt;=Projects!$C$8,15&lt;Projects!$C$8+Projects!$D$8),Projects!$B$8*(1-SUMPRODUCT((Curves!$B$4:$AO$4)*(COLUMN(Curves!$B$4:$AO$4)-COLUMN(Curves!$B$4)+1&lt;=15-Projects!$C$8+1))),0)</f>
        <v>6025019.04774425</v>
      </c>
      <c r="R11" s="289" t="n">
        <f aca="false">IF(AND(Projects!$G$8="Yes",Projects!$F$8="Yes",16&gt;=Projects!$C$8,16&lt;Projects!$C$8+Projects!$D$8),Projects!$B$8*(1-SUMPRODUCT((Curves!$B$4:$AO$4)*(COLUMN(Curves!$B$4:$AO$4)-COLUMN(Curves!$B$4)+1&lt;=16-Projects!$C$8+1))),0)</f>
        <v>5092949.50412565</v>
      </c>
      <c r="S11" s="289" t="n">
        <f aca="false">IF(AND(Projects!$G$8="Yes",Projects!$F$8="Yes",17&gt;=Projects!$C$8,17&lt;Projects!$C$8+Projects!$D$8),Projects!$B$8*(1-SUMPRODUCT((Curves!$B$4:$AO$4)*(COLUMN(Curves!$B$4:$AO$4)-COLUMN(Curves!$B$4)+1&lt;=17-Projects!$C$8+1))),0)</f>
        <v>4195027.60396645</v>
      </c>
      <c r="T11" s="289" t="n">
        <f aca="false">IF(AND(Projects!$G$8="Yes",Projects!$F$8="Yes",18&gt;=Projects!$C$8,18&lt;Projects!$C$8+Projects!$D$8),Projects!$B$8*(1-SUMPRODUCT((Curves!$B$4:$AO$4)*(COLUMN(Curves!$B$4:$AO$4)-COLUMN(Curves!$B$4)+1&lt;=18-Projects!$C$8+1))),0)</f>
        <v>3351250.7686076</v>
      </c>
      <c r="U11" s="289" t="n">
        <f aca="false">IF(AND(Projects!$G$8="Yes",Projects!$F$8="Yes",19&gt;=Projects!$C$8,19&lt;Projects!$C$8+Projects!$D$8),Projects!$B$8*(1-SUMPRODUCT((Curves!$B$4:$AO$4)*(COLUMN(Curves!$B$4:$AO$4)-COLUMN(Curves!$B$4)+1&lt;=19-Projects!$C$8+1))),0)</f>
        <v>2577835.2305595</v>
      </c>
      <c r="V11" s="289" t="n">
        <f aca="false">IF(AND(Projects!$G$8="Yes",Projects!$F$8="Yes",20&gt;=Projects!$C$8,20&lt;Projects!$C$8+Projects!$D$8),Projects!$B$8*(1-SUMPRODUCT((Curves!$B$4:$AO$4)*(COLUMN(Curves!$B$4:$AO$4)-COLUMN(Curves!$B$4)+1&lt;=20-Projects!$C$8+1))),0)</f>
        <v>1886332.4567306</v>
      </c>
      <c r="W11" s="289" t="n">
        <f aca="false">IF(AND(Projects!$G$8="Yes",Projects!$F$8="Yes",21&gt;=Projects!$C$8,21&lt;Projects!$C$8+Projects!$D$8),Projects!$B$8*(1-SUMPRODUCT((Curves!$B$4:$AO$4)*(COLUMN(Curves!$B$4:$AO$4)-COLUMN(Curves!$B$4)+1&lt;=21-Projects!$C$8+1))),0)</f>
        <v>1283265.322698</v>
      </c>
      <c r="X11" s="289" t="n">
        <f aca="false">IF(AND(Projects!$G$8="Yes",Projects!$F$8="Yes",22&gt;=Projects!$C$8,22&lt;Projects!$C$8+Projects!$D$8),Projects!$B$8*(1-SUMPRODUCT((Curves!$B$4:$AO$4)*(COLUMN(Curves!$B$4:$AO$4)-COLUMN(Curves!$B$4)+1&lt;=22-Projects!$C$8+1))),0)</f>
        <v>770245.056691899</v>
      </c>
      <c r="Y11" s="289" t="n">
        <f aca="false">IF(AND(Projects!$G$8="Yes",Projects!$F$8="Yes",23&gt;=Projects!$C$8,23&lt;Projects!$C$8+Projects!$D$8),Projects!$B$8*(1-SUMPRODUCT((Curves!$B$4:$AO$4)*(COLUMN(Curves!$B$4:$AO$4)-COLUMN(Curves!$B$4)+1&lt;=23-Projects!$C$8+1))),0)</f>
        <v>344555.95951785</v>
      </c>
      <c r="Z11" s="289" t="n">
        <f aca="false">IF(AND(Projects!$G$8="Yes",Projects!$F$8="Yes",24&gt;=Projects!$C$8,24&lt;Projects!$C$8+Projects!$D$8),Projects!$B$8*(1-SUMPRODUCT((Curves!$B$4:$AO$4)*(COLUMN(Curves!$B$4:$AO$4)-COLUMN(Curves!$B$4)+1&lt;=24-Projects!$C$8+1))),0)</f>
        <v>0</v>
      </c>
      <c r="AA11" s="289" t="n">
        <f aca="false">IF(AND(Projects!$G$8="Yes",Projects!$F$8="Yes",25&gt;=Projects!$C$8,25&lt;Projects!$C$8+Projects!$D$8),Projects!$B$8*(1-SUMPRODUCT((Curves!$B$4:$AO$4)*(COLUMN(Curves!$B$4:$AO$4)-COLUMN(Curves!$B$4)+1&lt;=25-Projects!$C$8+1))),0)</f>
        <v>0</v>
      </c>
      <c r="AB11" s="289" t="n">
        <f aca="false">IF(AND(Projects!$G$8="Yes",Projects!$F$8="Yes",26&gt;=Projects!$C$8,26&lt;Projects!$C$8+Projects!$D$8),Projects!$B$8*(1-SUMPRODUCT((Curves!$B$4:$AO$4)*(COLUMN(Curves!$B$4:$AO$4)-COLUMN(Curves!$B$4)+1&lt;=26-Projects!$C$8+1))),0)</f>
        <v>0</v>
      </c>
      <c r="AC11" s="289" t="n">
        <f aca="false">IF(AND(Projects!$G$8="Yes",Projects!$F$8="Yes",27&gt;=Projects!$C$8,27&lt;Projects!$C$8+Projects!$D$8),Projects!$B$8*(1-SUMPRODUCT((Curves!$B$4:$AO$4)*(COLUMN(Curves!$B$4:$AO$4)-COLUMN(Curves!$B$4)+1&lt;=27-Projects!$C$8+1))),0)</f>
        <v>0</v>
      </c>
      <c r="AD11" s="289" t="n">
        <f aca="false">IF(AND(Projects!$G$8="Yes",Projects!$F$8="Yes",28&gt;=Projects!$C$8,28&lt;Projects!$C$8+Projects!$D$8),Projects!$B$8*(1-SUMPRODUCT((Curves!$B$4:$AO$4)*(COLUMN(Curves!$B$4:$AO$4)-COLUMN(Curves!$B$4)+1&lt;=28-Projects!$C$8+1))),0)</f>
        <v>0</v>
      </c>
      <c r="AE11" s="289" t="n">
        <f aca="false">IF(AND(Projects!$G$8="Yes",Projects!$F$8="Yes",29&gt;=Projects!$C$8,29&lt;Projects!$C$8+Projects!$D$8),Projects!$B$8*(1-SUMPRODUCT((Curves!$B$4:$AO$4)*(COLUMN(Curves!$B$4:$AO$4)-COLUMN(Curves!$B$4)+1&lt;=29-Projects!$C$8+1))),0)</f>
        <v>0</v>
      </c>
      <c r="AF11" s="289" t="n">
        <f aca="false">IF(AND(Projects!$G$8="Yes",Projects!$F$8="Yes",30&gt;=Projects!$C$8,30&lt;Projects!$C$8+Projects!$D$8),Projects!$B$8*(1-SUMPRODUCT((Curves!$B$4:$AO$4)*(COLUMN(Curves!$B$4:$AO$4)-COLUMN(Curves!$B$4)+1&lt;=30-Projects!$C$8+1))),0)</f>
        <v>0</v>
      </c>
      <c r="AG11" s="289" t="n">
        <f aca="false">IF(AND(Projects!$G$8="Yes",Projects!$F$8="Yes",31&gt;=Projects!$C$8,31&lt;Projects!$C$8+Projects!$D$8),Projects!$B$8*(1-SUMPRODUCT((Curves!$B$4:$AO$4)*(COLUMN(Curves!$B$4:$AO$4)-COLUMN(Curves!$B$4)+1&lt;=31-Projects!$C$8+1))),0)</f>
        <v>0</v>
      </c>
      <c r="AH11" s="289" t="n">
        <f aca="false">IF(AND(Projects!$G$8="Yes",Projects!$F$8="Yes",32&gt;=Projects!$C$8,32&lt;Projects!$C$8+Projects!$D$8),Projects!$B$8*(1-SUMPRODUCT((Curves!$B$4:$AO$4)*(COLUMN(Curves!$B$4:$AO$4)-COLUMN(Curves!$B$4)+1&lt;=32-Projects!$C$8+1))),0)</f>
        <v>0</v>
      </c>
      <c r="AI11" s="289" t="n">
        <f aca="false">IF(AND(Projects!$G$8="Yes",Projects!$F$8="Yes",33&gt;=Projects!$C$8,33&lt;Projects!$C$8+Projects!$D$8),Projects!$B$8*(1-SUMPRODUCT((Curves!$B$4:$AO$4)*(COLUMN(Curves!$B$4:$AO$4)-COLUMN(Curves!$B$4)+1&lt;=33-Projects!$C$8+1))),0)</f>
        <v>0</v>
      </c>
      <c r="AJ11" s="289" t="n">
        <f aca="false">IF(AND(Projects!$G$8="Yes",Projects!$F$8="Yes",34&gt;=Projects!$C$8,34&lt;Projects!$C$8+Projects!$D$8),Projects!$B$8*(1-SUMPRODUCT((Curves!$B$4:$AO$4)*(COLUMN(Curves!$B$4:$AO$4)-COLUMN(Curves!$B$4)+1&lt;=34-Projects!$C$8+1))),0)</f>
        <v>0</v>
      </c>
      <c r="AK11" s="289" t="n">
        <f aca="false">IF(AND(Projects!$G$8="Yes",Projects!$F$8="Yes",35&gt;=Projects!$C$8,35&lt;Projects!$C$8+Projects!$D$8),Projects!$B$8*(1-SUMPRODUCT((Curves!$B$4:$AO$4)*(COLUMN(Curves!$B$4:$AO$4)-COLUMN(Curves!$B$4)+1&lt;=35-Projects!$C$8+1))),0)</f>
        <v>0</v>
      </c>
      <c r="AL11" s="289" t="n">
        <f aca="false">IF(AND(Projects!$G$8="Yes",Projects!$F$8="Yes",36&gt;=Projects!$C$8,36&lt;Projects!$C$8+Projects!$D$8),Projects!$B$8*(1-SUMPRODUCT((Curves!$B$4:$AO$4)*(COLUMN(Curves!$B$4:$AO$4)-COLUMN(Curves!$B$4)+1&lt;=36-Projects!$C$8+1))),0)</f>
        <v>0</v>
      </c>
      <c r="AM11" s="289" t="n">
        <f aca="false">IF(AND(Projects!$G$8="Yes",Projects!$F$8="Yes",37&gt;=Projects!$C$8,37&lt;Projects!$C$8+Projects!$D$8),Projects!$B$8*(1-SUMPRODUCT((Curves!$B$4:$AO$4)*(COLUMN(Curves!$B$4:$AO$4)-COLUMN(Curves!$B$4)+1&lt;=37-Projects!$C$8+1))),0)</f>
        <v>0</v>
      </c>
      <c r="AN11" s="289" t="n">
        <f aca="false">IF(AND(Projects!$G$8="Yes",Projects!$F$8="Yes",38&gt;=Projects!$C$8,38&lt;Projects!$C$8+Projects!$D$8),Projects!$B$8*(1-SUMPRODUCT((Curves!$B$4:$AO$4)*(COLUMN(Curves!$B$4:$AO$4)-COLUMN(Curves!$B$4)+1&lt;=38-Projects!$C$8+1))),0)</f>
        <v>0</v>
      </c>
      <c r="AO11" s="289" t="n">
        <f aca="false">IF(AND(Projects!$G$8="Yes",Projects!$F$8="Yes",39&gt;=Projects!$C$8,39&lt;Projects!$C$8+Projects!$D$8),Projects!$B$8*(1-SUMPRODUCT((Curves!$B$4:$AO$4)*(COLUMN(Curves!$B$4:$AO$4)-COLUMN(Curves!$B$4)+1&lt;=39-Projects!$C$8+1))),0)</f>
        <v>0</v>
      </c>
      <c r="AP11" s="289" t="n">
        <f aca="false">IF(AND(Projects!$G$8="Yes",Projects!$F$8="Yes",40&gt;=Projects!$C$8,40&lt;Projects!$C$8+Projects!$D$8),Projects!$B$8*(1-SUMPRODUCT((Curves!$B$4:$AO$4)*(COLUMN(Curves!$B$4:$AO$4)-COLUMN(Curves!$B$4)+1&lt;=40-Projects!$C$8+1))),0)</f>
        <v>0</v>
      </c>
      <c r="AQ11" s="289" t="n">
        <f aca="false">IF(AND(Projects!$G$8="Yes",Projects!$F$8="Yes",41&gt;=Projects!$C$8,41&lt;Projects!$C$8+Projects!$D$8),Projects!$B$8*(1-SUMPRODUCT((Curves!$B$4:$AO$4)*(COLUMN(Curves!$B$4:$AO$4)-COLUMN(Curves!$B$4)+1&lt;=41-Projects!$C$8+1))),0)</f>
        <v>0</v>
      </c>
      <c r="AR11" s="289" t="n">
        <f aca="false">IF(AND(Projects!$G$8="Yes",Projects!$F$8="Yes",42&gt;=Projects!$C$8,42&lt;Projects!$C$8+Projects!$D$8),Projects!$B$8*(1-SUMPRODUCT((Curves!$B$4:$AO$4)*(COLUMN(Curves!$B$4:$AO$4)-COLUMN(Curves!$B$4)+1&lt;=42-Projects!$C$8+1))),0)</f>
        <v>0</v>
      </c>
      <c r="AS11" s="289" t="n">
        <f aca="false">IF(AND(Projects!$G$8="Yes",Projects!$F$8="Yes",43&gt;=Projects!$C$8,43&lt;Projects!$C$8+Projects!$D$8),Projects!$B$8*(1-SUMPRODUCT((Curves!$B$4:$AO$4)*(COLUMN(Curves!$B$4:$AO$4)-COLUMN(Curves!$B$4)+1&lt;=43-Projects!$C$8+1))),0)</f>
        <v>0</v>
      </c>
      <c r="AT11" s="289" t="n">
        <f aca="false">IF(AND(Projects!$G$8="Yes",Projects!$F$8="Yes",44&gt;=Projects!$C$8,44&lt;Projects!$C$8+Projects!$D$8),Projects!$B$8*(1-SUMPRODUCT((Curves!$B$4:$AO$4)*(COLUMN(Curves!$B$4:$AO$4)-COLUMN(Curves!$B$4)+1&lt;=44-Projects!$C$8+1))),0)</f>
        <v>0</v>
      </c>
      <c r="AU11" s="289" t="n">
        <f aca="false">IF(AND(Projects!$G$8="Yes",Projects!$F$8="Yes",45&gt;=Projects!$C$8,45&lt;Projects!$C$8+Projects!$D$8),Projects!$B$8*(1-SUMPRODUCT((Curves!$B$4:$AO$4)*(COLUMN(Curves!$B$4:$AO$4)-COLUMN(Curves!$B$4)+1&lt;=45-Projects!$C$8+1))),0)</f>
        <v>0</v>
      </c>
      <c r="AV11" s="289" t="n">
        <f aca="false">IF(AND(Projects!$G$8="Yes",Projects!$F$8="Yes",46&gt;=Projects!$C$8,46&lt;Projects!$C$8+Projects!$D$8),Projects!$B$8*(1-SUMPRODUCT((Curves!$B$4:$AO$4)*(COLUMN(Curves!$B$4:$AO$4)-COLUMN(Curves!$B$4)+1&lt;=46-Projects!$C$8+1))),0)</f>
        <v>0</v>
      </c>
      <c r="AW11" s="289" t="n">
        <f aca="false">IF(AND(Projects!$G$8="Yes",Projects!$F$8="Yes",47&gt;=Projects!$C$8,47&lt;Projects!$C$8+Projects!$D$8),Projects!$B$8*(1-SUMPRODUCT((Curves!$B$4:$AO$4)*(COLUMN(Curves!$B$4:$AO$4)-COLUMN(Curves!$B$4)+1&lt;=47-Projects!$C$8+1))),0)</f>
        <v>0</v>
      </c>
      <c r="AX11" s="289" t="n">
        <f aca="false">IF(AND(Projects!$G$8="Yes",Projects!$F$8="Yes",48&gt;=Projects!$C$8,48&lt;Projects!$C$8+Projects!$D$8),Projects!$B$8*(1-SUMPRODUCT((Curves!$B$4:$AO$4)*(COLUMN(Curves!$B$4:$AO$4)-COLUMN(Curves!$B$4)+1&lt;=48-Projects!$C$8+1))),0)</f>
        <v>0</v>
      </c>
      <c r="AY11" s="289" t="n">
        <f aca="false">IF(AND(Projects!$G$8="Yes",Projects!$F$8="Yes",49&gt;=Projects!$C$8,49&lt;Projects!$C$8+Projects!$D$8),Projects!$B$8*(1-SUMPRODUCT((Curves!$B$4:$AO$4)*(COLUMN(Curves!$B$4:$AO$4)-COLUMN(Curves!$B$4)+1&lt;=49-Projects!$C$8+1))),0)</f>
        <v>0</v>
      </c>
      <c r="AZ11" s="289" t="n">
        <f aca="false">IF(AND(Projects!$G$8="Yes",Projects!$F$8="Yes",50&gt;=Projects!$C$8,50&lt;Projects!$C$8+Projects!$D$8),Projects!$B$8*(1-SUMPRODUCT((Curves!$B$4:$AO$4)*(COLUMN(Curves!$B$4:$AO$4)-COLUMN(Curves!$B$4)+1&lt;=50-Projects!$C$8+1))),0)</f>
        <v>0</v>
      </c>
      <c r="BA11" s="289" t="n">
        <f aca="false">IF(AND(Projects!$G$8="Yes",Projects!$F$8="Yes",51&gt;=Projects!$C$8,51&lt;Projects!$C$8+Projects!$D$8),Projects!$B$8*(1-SUMPRODUCT((Curves!$B$4:$AO$4)*(COLUMN(Curves!$B$4:$AO$4)-COLUMN(Curves!$B$4)+1&lt;=51-Projects!$C$8+1))),0)</f>
        <v>0</v>
      </c>
      <c r="BB11" s="289" t="n">
        <f aca="false">IF(AND(Projects!$G$8="Yes",Projects!$F$8="Yes",52&gt;=Projects!$C$8,52&lt;Projects!$C$8+Projects!$D$8),Projects!$B$8*(1-SUMPRODUCT((Curves!$B$4:$AO$4)*(COLUMN(Curves!$B$4:$AO$4)-COLUMN(Curves!$B$4)+1&lt;=52-Projects!$C$8+1))),0)</f>
        <v>0</v>
      </c>
      <c r="BC11" s="289" t="n">
        <f aca="false">IF(AND(Projects!$G$8="Yes",Projects!$F$8="Yes",53&gt;=Projects!$C$8,53&lt;Projects!$C$8+Projects!$D$8),Projects!$B$8*(1-SUMPRODUCT((Curves!$B$4:$AO$4)*(COLUMN(Curves!$B$4:$AO$4)-COLUMN(Curves!$B$4)+1&lt;=53-Projects!$C$8+1))),0)</f>
        <v>0</v>
      </c>
      <c r="BD11" s="289" t="n">
        <f aca="false">IF(AND(Projects!$G$8="Yes",Projects!$F$8="Yes",54&gt;=Projects!$C$8,54&lt;Projects!$C$8+Projects!$D$8),Projects!$B$8*(1-SUMPRODUCT((Curves!$B$4:$AO$4)*(COLUMN(Curves!$B$4:$AO$4)-COLUMN(Curves!$B$4)+1&lt;=54-Projects!$C$8+1))),0)</f>
        <v>0</v>
      </c>
      <c r="BE11" s="289" t="n">
        <f aca="false">IF(AND(Projects!$G$8="Yes",Projects!$F$8="Yes",55&gt;=Projects!$C$8,55&lt;Projects!$C$8+Projects!$D$8),Projects!$B$8*(1-SUMPRODUCT((Curves!$B$4:$AO$4)*(COLUMN(Curves!$B$4:$AO$4)-COLUMN(Curves!$B$4)+1&lt;=55-Projects!$C$8+1))),0)</f>
        <v>0</v>
      </c>
      <c r="BF11" s="289" t="n">
        <f aca="false">IF(AND(Projects!$G$8="Yes",Projects!$F$8="Yes",56&gt;=Projects!$C$8,56&lt;Projects!$C$8+Projects!$D$8),Projects!$B$8*(1-SUMPRODUCT((Curves!$B$4:$AO$4)*(COLUMN(Curves!$B$4:$AO$4)-COLUMN(Curves!$B$4)+1&lt;=56-Projects!$C$8+1))),0)</f>
        <v>0</v>
      </c>
      <c r="BG11" s="289" t="n">
        <f aca="false">IF(AND(Projects!$G$8="Yes",Projects!$F$8="Yes",57&gt;=Projects!$C$8,57&lt;Projects!$C$8+Projects!$D$8),Projects!$B$8*(1-SUMPRODUCT((Curves!$B$4:$AO$4)*(COLUMN(Curves!$B$4:$AO$4)-COLUMN(Curves!$B$4)+1&lt;=57-Projects!$C$8+1))),0)</f>
        <v>0</v>
      </c>
      <c r="BH11" s="289" t="n">
        <f aca="false">IF(AND(Projects!$G$8="Yes",Projects!$F$8="Yes",58&gt;=Projects!$C$8,58&lt;Projects!$C$8+Projects!$D$8),Projects!$B$8*(1-SUMPRODUCT((Curves!$B$4:$AO$4)*(COLUMN(Curves!$B$4:$AO$4)-COLUMN(Curves!$B$4)+1&lt;=58-Projects!$C$8+1))),0)</f>
        <v>0</v>
      </c>
      <c r="BI11" s="289" t="n">
        <f aca="false">IF(AND(Projects!$G$8="Yes",Projects!$F$8="Yes",59&gt;=Projects!$C$8,59&lt;Projects!$C$8+Projects!$D$8),Projects!$B$8*(1-SUMPRODUCT((Curves!$B$4:$AO$4)*(COLUMN(Curves!$B$4:$AO$4)-COLUMN(Curves!$B$4)+1&lt;=59-Projects!$C$8+1))),0)</f>
        <v>0</v>
      </c>
      <c r="BJ11" s="289" t="n">
        <f aca="false">IF(AND(Projects!$G$8="Yes",Projects!$F$8="Yes",60&gt;=Projects!$C$8,60&lt;Projects!$C$8+Projects!$D$8),Projects!$B$8*(1-SUMPRODUCT((Curves!$B$4:$AO$4)*(COLUMN(Curves!$B$4:$AO$4)-COLUMN(Curves!$B$4)+1&lt;=60-Projects!$C$8+1))),0)</f>
        <v>0</v>
      </c>
      <c r="BK11" s="289" t="n">
        <f aca="false">IF(AND(Projects!$G$8="Yes",Projects!$F$8="Yes",61&gt;=Projects!$C$8,61&lt;Projects!$C$8+Projects!$D$8),Projects!$B$8*(1-SUMPRODUCT((Curves!$B$4:$AO$4)*(COLUMN(Curves!$B$4:$AO$4)-COLUMN(Curves!$B$4)+1&lt;=61-Projects!$C$8+1))),0)</f>
        <v>0</v>
      </c>
      <c r="BL11" s="289" t="n">
        <f aca="false">IF(AND(Projects!$G$8="Yes",Projects!$F$8="Yes",62&gt;=Projects!$C$8,62&lt;Projects!$C$8+Projects!$D$8),Projects!$B$8*(1-SUMPRODUCT((Curves!$B$4:$AO$4)*(COLUMN(Curves!$B$4:$AO$4)-COLUMN(Curves!$B$4)+1&lt;=62-Projects!$C$8+1))),0)</f>
        <v>0</v>
      </c>
      <c r="BM11" s="289" t="n">
        <f aca="false">IF(AND(Projects!$G$8="Yes",Projects!$F$8="Yes",63&gt;=Projects!$C$8,63&lt;Projects!$C$8+Projects!$D$8),Projects!$B$8*(1-SUMPRODUCT((Curves!$B$4:$AO$4)*(COLUMN(Curves!$B$4:$AO$4)-COLUMN(Curves!$B$4)+1&lt;=63-Projects!$C$8+1))),0)</f>
        <v>0</v>
      </c>
      <c r="BN11" s="289" t="n">
        <f aca="false">IF(AND(Projects!$G$8="Yes",Projects!$F$8="Yes",64&gt;=Projects!$C$8,64&lt;Projects!$C$8+Projects!$D$8),Projects!$B$8*(1-SUMPRODUCT((Curves!$B$4:$AO$4)*(COLUMN(Curves!$B$4:$AO$4)-COLUMN(Curves!$B$4)+1&lt;=64-Projects!$C$8+1))),0)</f>
        <v>0</v>
      </c>
      <c r="BO11" s="289" t="n">
        <f aca="false">IF(AND(Projects!$G$8="Yes",Projects!$F$8="Yes",65&gt;=Projects!$C$8,65&lt;Projects!$C$8+Projects!$D$8),Projects!$B$8*(1-SUMPRODUCT((Curves!$B$4:$AO$4)*(COLUMN(Curves!$B$4:$AO$4)-COLUMN(Curves!$B$4)+1&lt;=65-Projects!$C$8+1))),0)</f>
        <v>0</v>
      </c>
      <c r="BP11" s="289" t="n">
        <f aca="false">IF(AND(Projects!$G$8="Yes",Projects!$F$8="Yes",66&gt;=Projects!$C$8,66&lt;Projects!$C$8+Projects!$D$8),Projects!$B$8*(1-SUMPRODUCT((Curves!$B$4:$AO$4)*(COLUMN(Curves!$B$4:$AO$4)-COLUMN(Curves!$B$4)+1&lt;=66-Projects!$C$8+1))),0)</f>
        <v>0</v>
      </c>
      <c r="BQ11" s="289" t="n">
        <f aca="false">IF(AND(Projects!$G$8="Yes",Projects!$F$8="Yes",67&gt;=Projects!$C$8,67&lt;Projects!$C$8+Projects!$D$8),Projects!$B$8*(1-SUMPRODUCT((Curves!$B$4:$AO$4)*(COLUMN(Curves!$B$4:$AO$4)-COLUMN(Curves!$B$4)+1&lt;=67-Projects!$C$8+1))),0)</f>
        <v>0</v>
      </c>
      <c r="BR11" s="289" t="n">
        <f aca="false">IF(AND(Projects!$G$8="Yes",Projects!$F$8="Yes",68&gt;=Projects!$C$8,68&lt;Projects!$C$8+Projects!$D$8),Projects!$B$8*(1-SUMPRODUCT((Curves!$B$4:$AO$4)*(COLUMN(Curves!$B$4:$AO$4)-COLUMN(Curves!$B$4)+1&lt;=68-Projects!$C$8+1))),0)</f>
        <v>0</v>
      </c>
      <c r="BS11" s="289" t="n">
        <f aca="false">IF(AND(Projects!$G$8="Yes",Projects!$F$8="Yes",69&gt;=Projects!$C$8,69&lt;Projects!$C$8+Projects!$D$8),Projects!$B$8*(1-SUMPRODUCT((Curves!$B$4:$AO$4)*(COLUMN(Curves!$B$4:$AO$4)-COLUMN(Curves!$B$4)+1&lt;=69-Projects!$C$8+1))),0)</f>
        <v>0</v>
      </c>
      <c r="BT11" s="289" t="n">
        <f aca="false">IF(AND(Projects!$G$8="Yes",Projects!$F$8="Yes",70&gt;=Projects!$C$8,70&lt;Projects!$C$8+Projects!$D$8),Projects!$B$8*(1-SUMPRODUCT((Curves!$B$4:$AO$4)*(COLUMN(Curves!$B$4:$AO$4)-COLUMN(Curves!$B$4)+1&lt;=70-Projects!$C$8+1))),0)</f>
        <v>0</v>
      </c>
      <c r="BU11" s="289" t="n">
        <f aca="false">IF(AND(Projects!$G$8="Yes",Projects!$F$8="Yes",71&gt;=Projects!$C$8,71&lt;Projects!$C$8+Projects!$D$8),Projects!$B$8*(1-SUMPRODUCT((Curves!$B$4:$AO$4)*(COLUMN(Curves!$B$4:$AO$4)-COLUMN(Curves!$B$4)+1&lt;=71-Projects!$C$8+1))),0)</f>
        <v>0</v>
      </c>
      <c r="BV11" s="289" t="n">
        <f aca="false">IF(AND(Projects!$G$8="Yes",Projects!$F$8="Yes",72&gt;=Projects!$C$8,72&lt;Projects!$C$8+Projects!$D$8),Projects!$B$8*(1-SUMPRODUCT((Curves!$B$4:$AO$4)*(COLUMN(Curves!$B$4:$AO$4)-COLUMN(Curves!$B$4)+1&lt;=72-Projects!$C$8+1))),0)</f>
        <v>0</v>
      </c>
      <c r="BW11" s="289" t="n">
        <f aca="false">IF(AND(Projects!$G$8="Yes",Projects!$F$8="Yes",73&gt;=Projects!$C$8,73&lt;Projects!$C$8+Projects!$D$8),Projects!$B$8*(1-SUMPRODUCT((Curves!$B$4:$AO$4)*(COLUMN(Curves!$B$4:$AO$4)-COLUMN(Curves!$B$4)+1&lt;=73-Projects!$C$8+1))),0)</f>
        <v>0</v>
      </c>
      <c r="BX11" s="289" t="n">
        <f aca="false">IF(AND(Projects!$G$8="Yes",Projects!$F$8="Yes",74&gt;=Projects!$C$8,74&lt;Projects!$C$8+Projects!$D$8),Projects!$B$8*(1-SUMPRODUCT((Curves!$B$4:$AO$4)*(COLUMN(Curves!$B$4:$AO$4)-COLUMN(Curves!$B$4)+1&lt;=74-Projects!$C$8+1))),0)</f>
        <v>0</v>
      </c>
      <c r="BY11" s="289" t="n">
        <f aca="false">IF(AND(Projects!$G$8="Yes",Projects!$F$8="Yes",75&gt;=Projects!$C$8,75&lt;Projects!$C$8+Projects!$D$8),Projects!$B$8*(1-SUMPRODUCT((Curves!$B$4:$AO$4)*(COLUMN(Curves!$B$4:$AO$4)-COLUMN(Curves!$B$4)+1&lt;=75-Projects!$C$8+1))),0)</f>
        <v>0</v>
      </c>
      <c r="BZ11" s="289" t="n">
        <f aca="false">IF(AND(Projects!$G$8="Yes",Projects!$F$8="Yes",76&gt;=Projects!$C$8,76&lt;Projects!$C$8+Projects!$D$8),Projects!$B$8*(1-SUMPRODUCT((Curves!$B$4:$AO$4)*(COLUMN(Curves!$B$4:$AO$4)-COLUMN(Curves!$B$4)+1&lt;=76-Projects!$C$8+1))),0)</f>
        <v>0</v>
      </c>
      <c r="CA11" s="289" t="n">
        <f aca="false">IF(AND(Projects!$G$8="Yes",Projects!$F$8="Yes",77&gt;=Projects!$C$8,77&lt;Projects!$C$8+Projects!$D$8),Projects!$B$8*(1-SUMPRODUCT((Curves!$B$4:$AO$4)*(COLUMN(Curves!$B$4:$AO$4)-COLUMN(Curves!$B$4)+1&lt;=77-Projects!$C$8+1))),0)</f>
        <v>0</v>
      </c>
      <c r="CB11" s="289" t="n">
        <f aca="false">IF(AND(Projects!$G$8="Yes",Projects!$F$8="Yes",78&gt;=Projects!$C$8,78&lt;Projects!$C$8+Projects!$D$8),Projects!$B$8*(1-SUMPRODUCT((Curves!$B$4:$AO$4)*(COLUMN(Curves!$B$4:$AO$4)-COLUMN(Curves!$B$4)+1&lt;=78-Projects!$C$8+1))),0)</f>
        <v>0</v>
      </c>
      <c r="CC11" s="289" t="n">
        <f aca="false">IF(AND(Projects!$G$8="Yes",Projects!$F$8="Yes",79&gt;=Projects!$C$8,79&lt;Projects!$C$8+Projects!$D$8),Projects!$B$8*(1-SUMPRODUCT((Curves!$B$4:$AO$4)*(COLUMN(Curves!$B$4:$AO$4)-COLUMN(Curves!$B$4)+1&lt;=79-Projects!$C$8+1))),0)</f>
        <v>0</v>
      </c>
      <c r="CD11" s="289" t="n">
        <f aca="false">IF(AND(Projects!$G$8="Yes",Projects!$F$8="Yes",80&gt;=Projects!$C$8,80&lt;Projects!$C$8+Projects!$D$8),Projects!$B$8*(1-SUMPRODUCT((Curves!$B$4:$AO$4)*(COLUMN(Curves!$B$4:$AO$4)-COLUMN(Curves!$B$4)+1&lt;=80-Projects!$C$8+1))),0)</f>
        <v>0</v>
      </c>
      <c r="CE11" s="289" t="n">
        <f aca="false">IF(AND(Projects!$G$8="Yes",Projects!$F$8="Yes",81&gt;=Projects!$C$8,81&lt;Projects!$C$8+Projects!$D$8),Projects!$B$8*(1-SUMPRODUCT((Curves!$B$4:$AO$4)*(COLUMN(Curves!$B$4:$AO$4)-COLUMN(Curves!$B$4)+1&lt;=81-Projects!$C$8+1))),0)</f>
        <v>0</v>
      </c>
      <c r="CF11" s="289" t="n">
        <f aca="false">IF(AND(Projects!$G$8="Yes",Projects!$F$8="Yes",82&gt;=Projects!$C$8,82&lt;Projects!$C$8+Projects!$D$8),Projects!$B$8*(1-SUMPRODUCT((Curves!$B$4:$AO$4)*(COLUMN(Curves!$B$4:$AO$4)-COLUMN(Curves!$B$4)+1&lt;=82-Projects!$C$8+1))),0)</f>
        <v>0</v>
      </c>
      <c r="CG11" s="289" t="n">
        <f aca="false">IF(AND(Projects!$G$8="Yes",Projects!$F$8="Yes",83&gt;=Projects!$C$8,83&lt;Projects!$C$8+Projects!$D$8),Projects!$B$8*(1-SUMPRODUCT((Curves!$B$4:$AO$4)*(COLUMN(Curves!$B$4:$AO$4)-COLUMN(Curves!$B$4)+1&lt;=83-Projects!$C$8+1))),0)</f>
        <v>0</v>
      </c>
      <c r="CH11" s="289" t="n">
        <f aca="false">IF(AND(Projects!$G$8="Yes",Projects!$F$8="Yes",84&gt;=Projects!$C$8,84&lt;Projects!$C$8+Projects!$D$8),Projects!$B$8*(1-SUMPRODUCT((Curves!$B$4:$AO$4)*(COLUMN(Curves!$B$4:$AO$4)-COLUMN(Curves!$B$4)+1&lt;=84-Projects!$C$8+1))),0)</f>
        <v>0</v>
      </c>
      <c r="CI11" s="289" t="n">
        <f aca="false">IF(AND(Projects!$G$8="Yes",Projects!$F$8="Yes",85&gt;=Projects!$C$8,85&lt;Projects!$C$8+Projects!$D$8),Projects!$B$8*(1-SUMPRODUCT((Curves!$B$4:$AO$4)*(COLUMN(Curves!$B$4:$AO$4)-COLUMN(Curves!$B$4)+1&lt;=85-Projects!$C$8+1))),0)</f>
        <v>0</v>
      </c>
      <c r="CJ11" s="289" t="n">
        <f aca="false">IF(AND(Projects!$G$8="Yes",Projects!$F$8="Yes",86&gt;=Projects!$C$8,86&lt;Projects!$C$8+Projects!$D$8),Projects!$B$8*(1-SUMPRODUCT((Curves!$B$4:$AO$4)*(COLUMN(Curves!$B$4:$AO$4)-COLUMN(Curves!$B$4)+1&lt;=86-Projects!$C$8+1))),0)</f>
        <v>0</v>
      </c>
      <c r="CK11" s="289" t="n">
        <f aca="false">IF(AND(Projects!$G$8="Yes",Projects!$F$8="Yes",87&gt;=Projects!$C$8,87&lt;Projects!$C$8+Projects!$D$8),Projects!$B$8*(1-SUMPRODUCT((Curves!$B$4:$AO$4)*(COLUMN(Curves!$B$4:$AO$4)-COLUMN(Curves!$B$4)+1&lt;=87-Projects!$C$8+1))),0)</f>
        <v>0</v>
      </c>
      <c r="CL11" s="289" t="n">
        <f aca="false">IF(AND(Projects!$G$8="Yes",Projects!$F$8="Yes",88&gt;=Projects!$C$8,88&lt;Projects!$C$8+Projects!$D$8),Projects!$B$8*(1-SUMPRODUCT((Curves!$B$4:$AO$4)*(COLUMN(Curves!$B$4:$AO$4)-COLUMN(Curves!$B$4)+1&lt;=88-Projects!$C$8+1))),0)</f>
        <v>0</v>
      </c>
      <c r="CM11" s="289" t="n">
        <f aca="false">IF(AND(Projects!$G$8="Yes",Projects!$F$8="Yes",89&gt;=Projects!$C$8,89&lt;Projects!$C$8+Projects!$D$8),Projects!$B$8*(1-SUMPRODUCT((Curves!$B$4:$AO$4)*(COLUMN(Curves!$B$4:$AO$4)-COLUMN(Curves!$B$4)+1&lt;=89-Projects!$C$8+1))),0)</f>
        <v>0</v>
      </c>
      <c r="CN11" s="289" t="n">
        <f aca="false">IF(AND(Projects!$G$8="Yes",Projects!$F$8="Yes",90&gt;=Projects!$C$8,90&lt;Projects!$C$8+Projects!$D$8),Projects!$B$8*(1-SUMPRODUCT((Curves!$B$4:$AO$4)*(COLUMN(Curves!$B$4:$AO$4)-COLUMN(Curves!$B$4)+1&lt;=90-Projects!$C$8+1))),0)</f>
        <v>0</v>
      </c>
      <c r="CO11" s="289" t="n">
        <f aca="false">IF(AND(Projects!$G$8="Yes",Projects!$F$8="Yes",91&gt;=Projects!$C$8,91&lt;Projects!$C$8+Projects!$D$8),Projects!$B$8*(1-SUMPRODUCT((Curves!$B$4:$AO$4)*(COLUMN(Curves!$B$4:$AO$4)-COLUMN(Curves!$B$4)+1&lt;=91-Projects!$C$8+1))),0)</f>
        <v>0</v>
      </c>
      <c r="CP11" s="289" t="n">
        <f aca="false">IF(AND(Projects!$G$8="Yes",Projects!$F$8="Yes",92&gt;=Projects!$C$8,92&lt;Projects!$C$8+Projects!$D$8),Projects!$B$8*(1-SUMPRODUCT((Curves!$B$4:$AO$4)*(COLUMN(Curves!$B$4:$AO$4)-COLUMN(Curves!$B$4)+1&lt;=92-Projects!$C$8+1))),0)</f>
        <v>0</v>
      </c>
      <c r="CQ11" s="289" t="n">
        <f aca="false">IF(AND(Projects!$G$8="Yes",Projects!$F$8="Yes",93&gt;=Projects!$C$8,93&lt;Projects!$C$8+Projects!$D$8),Projects!$B$8*(1-SUMPRODUCT((Curves!$B$4:$AO$4)*(COLUMN(Curves!$B$4:$AO$4)-COLUMN(Curves!$B$4)+1&lt;=93-Projects!$C$8+1))),0)</f>
        <v>0</v>
      </c>
    </row>
    <row r="12" customFormat="false" ht="15" hidden="false" customHeight="true" outlineLevel="0" collapsed="false">
      <c r="A12" s="177" t="s">
        <v>14</v>
      </c>
      <c r="C12" s="289" t="n">
        <f aca="false">IF(AND(Projects!$G$9="Yes",Projects!$F$9="Yes",1&gt;=Projects!$C$9,1&lt;Projects!$C$9+Projects!$D$9),Projects!$B$9*(1-SUMPRODUCT((Curves!$B$2:$AO$2)*(COLUMN(Curves!$B$2:$AO$2)-COLUMN(Curves!$B$2)+1&lt;=1-Projects!$C$9+1))),0)</f>
        <v>0</v>
      </c>
      <c r="D12" s="289" t="n">
        <f aca="false">IF(AND(Projects!$G$9="Yes",Projects!$F$9="Yes",2&gt;=Projects!$C$9,2&lt;Projects!$C$9+Projects!$D$9),Projects!$B$9*(1-SUMPRODUCT((Curves!$B$2:$AO$2)*(COLUMN(Curves!$B$2:$AO$2)-COLUMN(Curves!$B$2)+1&lt;=2-Projects!$C$9+1))),0)</f>
        <v>0</v>
      </c>
      <c r="E12" s="289" t="n">
        <f aca="false">IF(AND(Projects!$G$9="Yes",Projects!$F$9="Yes",3&gt;=Projects!$C$9,3&lt;Projects!$C$9+Projects!$D$9),Projects!$B$9*(1-SUMPRODUCT((Curves!$B$2:$AO$2)*(COLUMN(Curves!$B$2:$AO$2)-COLUMN(Curves!$B$2)+1&lt;=3-Projects!$C$9+1))),0)</f>
        <v>0</v>
      </c>
      <c r="F12" s="289" t="n">
        <f aca="false">IF(AND(Projects!$G$9="Yes",Projects!$F$9="Yes",4&gt;=Projects!$C$9,4&lt;Projects!$C$9+Projects!$D$9),Projects!$B$9*(1-SUMPRODUCT((Curves!$B$2:$AO$2)*(COLUMN(Curves!$B$2:$AO$2)-COLUMN(Curves!$B$2)+1&lt;=4-Projects!$C$9+1))),0)</f>
        <v>0</v>
      </c>
      <c r="G12" s="289" t="n">
        <f aca="false">IF(AND(Projects!$G$9="Yes",Projects!$F$9="Yes",5&gt;=Projects!$C$9,5&lt;Projects!$C$9+Projects!$D$9),Projects!$B$9*(1-SUMPRODUCT((Curves!$B$2:$AO$2)*(COLUMN(Curves!$B$2:$AO$2)-COLUMN(Curves!$B$2)+1&lt;=5-Projects!$C$9+1))),0)</f>
        <v>14106170.5891092</v>
      </c>
      <c r="H12" s="289" t="n">
        <f aca="false">IF(AND(Projects!$G$9="Yes",Projects!$F$9="Yes",6&gt;=Projects!$C$9,6&lt;Projects!$C$9+Projects!$D$9),Projects!$B$9*(1-SUMPRODUCT((Curves!$B$2:$AO$2)*(COLUMN(Curves!$B$2:$AO$2)-COLUMN(Curves!$B$2)+1&lt;=6-Projects!$C$9+1))),0)</f>
        <v>13840677.8231148</v>
      </c>
      <c r="I12" s="289" t="n">
        <f aca="false">IF(AND(Projects!$G$9="Yes",Projects!$F$9="Yes",7&gt;=Projects!$C$9,7&lt;Projects!$C$9+Projects!$D$9),Projects!$B$9*(1-SUMPRODUCT((Curves!$B$2:$AO$2)*(COLUMN(Curves!$B$2:$AO$2)-COLUMN(Curves!$B$2)+1&lt;=7-Projects!$C$9+1))),0)</f>
        <v>13538353.2763752</v>
      </c>
      <c r="J12" s="289" t="n">
        <f aca="false">IF(AND(Projects!$G$9="Yes",Projects!$F$9="Yes",8&gt;=Projects!$C$9,8&lt;Projects!$C$9+Projects!$D$9),Projects!$B$9*(1-SUMPRODUCT((Curves!$B$2:$AO$2)*(COLUMN(Curves!$B$2:$AO$2)-COLUMN(Curves!$B$2)+1&lt;=8-Projects!$C$9+1))),0)</f>
        <v>13197519.5186268</v>
      </c>
      <c r="K12" s="289" t="n">
        <f aca="false">IF(AND(Projects!$G$9="Yes",Projects!$F$9="Yes",9&gt;=Projects!$C$9,9&lt;Projects!$C$9+Projects!$D$9),Projects!$B$9*(1-SUMPRODUCT((Curves!$B$2:$AO$2)*(COLUMN(Curves!$B$2:$AO$2)-COLUMN(Curves!$B$2)+1&lt;=9-Projects!$C$9+1))),0)</f>
        <v>12817086.9370488</v>
      </c>
      <c r="L12" s="289" t="n">
        <f aca="false">IF(AND(Projects!$G$9="Yes",Projects!$F$9="Yes",10&gt;=Projects!$C$9,10&lt;Projects!$C$9+Projects!$D$9),Projects!$B$9*(1-SUMPRODUCT((Curves!$B$2:$AO$2)*(COLUMN(Curves!$B$2:$AO$2)-COLUMN(Curves!$B$2)+1&lt;=10-Projects!$C$9+1))),0)</f>
        <v>12396682.7693604</v>
      </c>
      <c r="M12" s="289" t="n">
        <f aca="false">IF(AND(Projects!$G$9="Yes",Projects!$F$9="Yes",11&gt;=Projects!$C$9,11&lt;Projects!$C$9+Projects!$D$9),Projects!$B$9*(1-SUMPRODUCT((Curves!$B$2:$AO$2)*(COLUMN(Curves!$B$2:$AO$2)-COLUMN(Curves!$B$2)+1&lt;=11-Projects!$C$9+1))),0)</f>
        <v>11936722.7888748</v>
      </c>
      <c r="N12" s="289" t="n">
        <f aca="false">IF(AND(Projects!$G$9="Yes",Projects!$F$9="Yes",12&gt;=Projects!$C$9,12&lt;Projects!$C$9+Projects!$D$9),Projects!$B$9*(1-SUMPRODUCT((Curves!$B$2:$AO$2)*(COLUMN(Curves!$B$2:$AO$2)-COLUMN(Curves!$B$2)+1&lt;=12-Projects!$C$9+1))),0)</f>
        <v>11438482.9895532</v>
      </c>
      <c r="O12" s="289" t="n">
        <f aca="false">IF(AND(Projects!$G$9="Yes",Projects!$F$9="Yes",13&gt;=Projects!$C$9,13&lt;Projects!$C$9+Projects!$D$9),Projects!$B$9*(1-SUMPRODUCT((Curves!$B$2:$AO$2)*(COLUMN(Curves!$B$2:$AO$2)-COLUMN(Curves!$B$2)+1&lt;=13-Projects!$C$9+1))),0)</f>
        <v>10904156.934048</v>
      </c>
      <c r="P12" s="289" t="n">
        <f aca="false">IF(AND(Projects!$G$9="Yes",Projects!$F$9="Yes",14&gt;=Projects!$C$9,14&lt;Projects!$C$9+Projects!$D$9),Projects!$B$9*(1-SUMPRODUCT((Curves!$B$2:$AO$2)*(COLUMN(Curves!$B$2:$AO$2)-COLUMN(Curves!$B$2)+1&lt;=14-Projects!$C$9+1))),0)</f>
        <v>10336812.7426704</v>
      </c>
      <c r="Q12" s="289" t="n">
        <f aca="false">IF(AND(Projects!$G$9="Yes",Projects!$F$9="Yes",15&gt;=Projects!$C$9,15&lt;Projects!$C$9+Projects!$D$9),Projects!$B$9*(1-SUMPRODUCT((Curves!$B$2:$AO$2)*(COLUMN(Curves!$B$2:$AO$2)-COLUMN(Curves!$B$2)+1&lt;=15-Projects!$C$9+1))),0)</f>
        <v>9740407.4304012</v>
      </c>
      <c r="R12" s="289" t="n">
        <f aca="false">IF(AND(Projects!$G$9="Yes",Projects!$F$9="Yes",16&gt;=Projects!$C$9,16&lt;Projects!$C$9+Projects!$D$9),Projects!$B$9*(1-SUMPRODUCT((Curves!$B$2:$AO$2)*(COLUMN(Curves!$B$2:$AO$2)-COLUMN(Curves!$B$2)+1&lt;=16-Projects!$C$9+1))),0)</f>
        <v>9119686.5478152</v>
      </c>
      <c r="S12" s="289" t="n">
        <f aca="false">IF(AND(Projects!$G$9="Yes",Projects!$F$9="Yes",17&gt;=Projects!$C$9,17&lt;Projects!$C$9+Projects!$D$9),Projects!$B$9*(1-SUMPRODUCT((Curves!$B$2:$AO$2)*(COLUMN(Curves!$B$2:$AO$2)-COLUMN(Curves!$B$2)+1&lt;=17-Projects!$C$9+1))),0)</f>
        <v>8480069.4849948</v>
      </c>
      <c r="T12" s="289" t="n">
        <f aca="false">IF(AND(Projects!$G$9="Yes",Projects!$F$9="Yes",18&gt;=Projects!$C$9,18&lt;Projects!$C$9+Projects!$D$9),Projects!$B$9*(1-SUMPRODUCT((Curves!$B$2:$AO$2)*(COLUMN(Curves!$B$2:$AO$2)-COLUMN(Curves!$B$2)+1&lt;=18-Projects!$C$9+1))),0)</f>
        <v>7827549.1124544</v>
      </c>
      <c r="U12" s="289" t="n">
        <f aca="false">IF(AND(Projects!$G$9="Yes",Projects!$F$9="Yes",19&gt;=Projects!$C$9,19&lt;Projects!$C$9+Projects!$D$9),Projects!$B$9*(1-SUMPRODUCT((Curves!$B$2:$AO$2)*(COLUMN(Curves!$B$2:$AO$2)-COLUMN(Curves!$B$2)+1&lt;=19-Projects!$C$9+1))),0)</f>
        <v>7168476.7259784</v>
      </c>
      <c r="V12" s="289" t="n">
        <f aca="false">IF(AND(Projects!$G$9="Yes",Projects!$F$9="Yes",20&gt;=Projects!$C$9,20&lt;Projects!$C$9+Projects!$D$9),Projects!$B$9*(1-SUMPRODUCT((Curves!$B$2:$AO$2)*(COLUMN(Curves!$B$2:$AO$2)-COLUMN(Curves!$B$2)+1&lt;=20-Projects!$C$9+1))),0)</f>
        <v>6509404.3395024</v>
      </c>
      <c r="W12" s="289" t="n">
        <f aca="false">IF(AND(Projects!$G$9="Yes",Projects!$F$9="Yes",21&gt;=Projects!$C$9,21&lt;Projects!$C$9+Projects!$D$9),Projects!$B$9*(1-SUMPRODUCT((Curves!$B$2:$AO$2)*(COLUMN(Curves!$B$2:$AO$2)-COLUMN(Curves!$B$2)+1&lt;=21-Projects!$C$9+1))),0)</f>
        <v>5856883.966962</v>
      </c>
      <c r="X12" s="289" t="n">
        <f aca="false">IF(AND(Projects!$G$9="Yes",Projects!$F$9="Yes",22&gt;=Projects!$C$9,22&lt;Projects!$C$9+Projects!$D$9),Projects!$B$9*(1-SUMPRODUCT((Curves!$B$2:$AO$2)*(COLUMN(Curves!$B$2:$AO$2)-COLUMN(Curves!$B$2)+1&lt;=22-Projects!$C$9+1))),0)</f>
        <v>5217266.9041416</v>
      </c>
      <c r="Y12" s="289" t="n">
        <f aca="false">IF(AND(Projects!$G$9="Yes",Projects!$F$9="Yes",23&gt;=Projects!$C$9,23&lt;Projects!$C$9+Projects!$D$9),Projects!$B$9*(1-SUMPRODUCT((Curves!$B$2:$AO$2)*(COLUMN(Curves!$B$2:$AO$2)-COLUMN(Curves!$B$2)+1&lt;=23-Projects!$C$9+1))),0)</f>
        <v>4596546.0215556</v>
      </c>
      <c r="Z12" s="289" t="n">
        <f aca="false">IF(AND(Projects!$G$9="Yes",Projects!$F$9="Yes",24&gt;=Projects!$C$9,24&lt;Projects!$C$9+Projects!$D$9),Projects!$B$9*(1-SUMPRODUCT((Curves!$B$2:$AO$2)*(COLUMN(Curves!$B$2:$AO$2)-COLUMN(Curves!$B$2)+1&lt;=24-Projects!$C$9+1))),0)</f>
        <v>0</v>
      </c>
      <c r="AA12" s="289" t="n">
        <f aca="false">IF(AND(Projects!$G$9="Yes",Projects!$F$9="Yes",25&gt;=Projects!$C$9,25&lt;Projects!$C$9+Projects!$D$9),Projects!$B$9*(1-SUMPRODUCT((Curves!$B$2:$AO$2)*(COLUMN(Curves!$B$2:$AO$2)-COLUMN(Curves!$B$2)+1&lt;=25-Projects!$C$9+1))),0)</f>
        <v>0</v>
      </c>
      <c r="AB12" s="289" t="n">
        <f aca="false">IF(AND(Projects!$G$9="Yes",Projects!$F$9="Yes",26&gt;=Projects!$C$9,26&lt;Projects!$C$9+Projects!$D$9),Projects!$B$9*(1-SUMPRODUCT((Curves!$B$2:$AO$2)*(COLUMN(Curves!$B$2:$AO$2)-COLUMN(Curves!$B$2)+1&lt;=26-Projects!$C$9+1))),0)</f>
        <v>0</v>
      </c>
      <c r="AC12" s="289" t="n">
        <f aca="false">IF(AND(Projects!$G$9="Yes",Projects!$F$9="Yes",27&gt;=Projects!$C$9,27&lt;Projects!$C$9+Projects!$D$9),Projects!$B$9*(1-SUMPRODUCT((Curves!$B$2:$AO$2)*(COLUMN(Curves!$B$2:$AO$2)-COLUMN(Curves!$B$2)+1&lt;=27-Projects!$C$9+1))),0)</f>
        <v>0</v>
      </c>
      <c r="AD12" s="289" t="n">
        <f aca="false">IF(AND(Projects!$G$9="Yes",Projects!$F$9="Yes",28&gt;=Projects!$C$9,28&lt;Projects!$C$9+Projects!$D$9),Projects!$B$9*(1-SUMPRODUCT((Curves!$B$2:$AO$2)*(COLUMN(Curves!$B$2:$AO$2)-COLUMN(Curves!$B$2)+1&lt;=28-Projects!$C$9+1))),0)</f>
        <v>0</v>
      </c>
      <c r="AE12" s="289" t="n">
        <f aca="false">IF(AND(Projects!$G$9="Yes",Projects!$F$9="Yes",29&gt;=Projects!$C$9,29&lt;Projects!$C$9+Projects!$D$9),Projects!$B$9*(1-SUMPRODUCT((Curves!$B$2:$AO$2)*(COLUMN(Curves!$B$2:$AO$2)-COLUMN(Curves!$B$2)+1&lt;=29-Projects!$C$9+1))),0)</f>
        <v>0</v>
      </c>
      <c r="AF12" s="289" t="n">
        <f aca="false">IF(AND(Projects!$G$9="Yes",Projects!$F$9="Yes",30&gt;=Projects!$C$9,30&lt;Projects!$C$9+Projects!$D$9),Projects!$B$9*(1-SUMPRODUCT((Curves!$B$2:$AO$2)*(COLUMN(Curves!$B$2:$AO$2)-COLUMN(Curves!$B$2)+1&lt;=30-Projects!$C$9+1))),0)</f>
        <v>0</v>
      </c>
      <c r="AG12" s="289" t="n">
        <f aca="false">IF(AND(Projects!$G$9="Yes",Projects!$F$9="Yes",31&gt;=Projects!$C$9,31&lt;Projects!$C$9+Projects!$D$9),Projects!$B$9*(1-SUMPRODUCT((Curves!$B$2:$AO$2)*(COLUMN(Curves!$B$2:$AO$2)-COLUMN(Curves!$B$2)+1&lt;=31-Projects!$C$9+1))),0)</f>
        <v>0</v>
      </c>
      <c r="AH12" s="289" t="n">
        <f aca="false">IF(AND(Projects!$G$9="Yes",Projects!$F$9="Yes",32&gt;=Projects!$C$9,32&lt;Projects!$C$9+Projects!$D$9),Projects!$B$9*(1-SUMPRODUCT((Curves!$B$2:$AO$2)*(COLUMN(Curves!$B$2:$AO$2)-COLUMN(Curves!$B$2)+1&lt;=32-Projects!$C$9+1))),0)</f>
        <v>0</v>
      </c>
      <c r="AI12" s="289" t="n">
        <f aca="false">IF(AND(Projects!$G$9="Yes",Projects!$F$9="Yes",33&gt;=Projects!$C$9,33&lt;Projects!$C$9+Projects!$D$9),Projects!$B$9*(1-SUMPRODUCT((Curves!$B$2:$AO$2)*(COLUMN(Curves!$B$2:$AO$2)-COLUMN(Curves!$B$2)+1&lt;=33-Projects!$C$9+1))),0)</f>
        <v>0</v>
      </c>
      <c r="AJ12" s="289" t="n">
        <f aca="false">IF(AND(Projects!$G$9="Yes",Projects!$F$9="Yes",34&gt;=Projects!$C$9,34&lt;Projects!$C$9+Projects!$D$9),Projects!$B$9*(1-SUMPRODUCT((Curves!$B$2:$AO$2)*(COLUMN(Curves!$B$2:$AO$2)-COLUMN(Curves!$B$2)+1&lt;=34-Projects!$C$9+1))),0)</f>
        <v>0</v>
      </c>
      <c r="AK12" s="289" t="n">
        <f aca="false">IF(AND(Projects!$G$9="Yes",Projects!$F$9="Yes",35&gt;=Projects!$C$9,35&lt;Projects!$C$9+Projects!$D$9),Projects!$B$9*(1-SUMPRODUCT((Curves!$B$2:$AO$2)*(COLUMN(Curves!$B$2:$AO$2)-COLUMN(Curves!$B$2)+1&lt;=35-Projects!$C$9+1))),0)</f>
        <v>0</v>
      </c>
      <c r="AL12" s="289" t="n">
        <f aca="false">IF(AND(Projects!$G$9="Yes",Projects!$F$9="Yes",36&gt;=Projects!$C$9,36&lt;Projects!$C$9+Projects!$D$9),Projects!$B$9*(1-SUMPRODUCT((Curves!$B$2:$AO$2)*(COLUMN(Curves!$B$2:$AO$2)-COLUMN(Curves!$B$2)+1&lt;=36-Projects!$C$9+1))),0)</f>
        <v>0</v>
      </c>
      <c r="AM12" s="289" t="n">
        <f aca="false">IF(AND(Projects!$G$9="Yes",Projects!$F$9="Yes",37&gt;=Projects!$C$9,37&lt;Projects!$C$9+Projects!$D$9),Projects!$B$9*(1-SUMPRODUCT((Curves!$B$2:$AO$2)*(COLUMN(Curves!$B$2:$AO$2)-COLUMN(Curves!$B$2)+1&lt;=37-Projects!$C$9+1))),0)</f>
        <v>0</v>
      </c>
      <c r="AN12" s="289" t="n">
        <f aca="false">IF(AND(Projects!$G$9="Yes",Projects!$F$9="Yes",38&gt;=Projects!$C$9,38&lt;Projects!$C$9+Projects!$D$9),Projects!$B$9*(1-SUMPRODUCT((Curves!$B$2:$AO$2)*(COLUMN(Curves!$B$2:$AO$2)-COLUMN(Curves!$B$2)+1&lt;=38-Projects!$C$9+1))),0)</f>
        <v>0</v>
      </c>
      <c r="AO12" s="289" t="n">
        <f aca="false">IF(AND(Projects!$G$9="Yes",Projects!$F$9="Yes",39&gt;=Projects!$C$9,39&lt;Projects!$C$9+Projects!$D$9),Projects!$B$9*(1-SUMPRODUCT((Curves!$B$2:$AO$2)*(COLUMN(Curves!$B$2:$AO$2)-COLUMN(Curves!$B$2)+1&lt;=39-Projects!$C$9+1))),0)</f>
        <v>0</v>
      </c>
      <c r="AP12" s="289" t="n">
        <f aca="false">IF(AND(Projects!$G$9="Yes",Projects!$F$9="Yes",40&gt;=Projects!$C$9,40&lt;Projects!$C$9+Projects!$D$9),Projects!$B$9*(1-SUMPRODUCT((Curves!$B$2:$AO$2)*(COLUMN(Curves!$B$2:$AO$2)-COLUMN(Curves!$B$2)+1&lt;=40-Projects!$C$9+1))),0)</f>
        <v>0</v>
      </c>
      <c r="AQ12" s="289" t="n">
        <f aca="false">IF(AND(Projects!$G$9="Yes",Projects!$F$9="Yes",41&gt;=Projects!$C$9,41&lt;Projects!$C$9+Projects!$D$9),Projects!$B$9*(1-SUMPRODUCT((Curves!$B$2:$AO$2)*(COLUMN(Curves!$B$2:$AO$2)-COLUMN(Curves!$B$2)+1&lt;=41-Projects!$C$9+1))),0)</f>
        <v>0</v>
      </c>
      <c r="AR12" s="289" t="n">
        <f aca="false">IF(AND(Projects!$G$9="Yes",Projects!$F$9="Yes",42&gt;=Projects!$C$9,42&lt;Projects!$C$9+Projects!$D$9),Projects!$B$9*(1-SUMPRODUCT((Curves!$B$2:$AO$2)*(COLUMN(Curves!$B$2:$AO$2)-COLUMN(Curves!$B$2)+1&lt;=42-Projects!$C$9+1))),0)</f>
        <v>0</v>
      </c>
      <c r="AS12" s="289" t="n">
        <f aca="false">IF(AND(Projects!$G$9="Yes",Projects!$F$9="Yes",43&gt;=Projects!$C$9,43&lt;Projects!$C$9+Projects!$D$9),Projects!$B$9*(1-SUMPRODUCT((Curves!$B$2:$AO$2)*(COLUMN(Curves!$B$2:$AO$2)-COLUMN(Curves!$B$2)+1&lt;=43-Projects!$C$9+1))),0)</f>
        <v>0</v>
      </c>
      <c r="AT12" s="289" t="n">
        <f aca="false">IF(AND(Projects!$G$9="Yes",Projects!$F$9="Yes",44&gt;=Projects!$C$9,44&lt;Projects!$C$9+Projects!$D$9),Projects!$B$9*(1-SUMPRODUCT((Curves!$B$2:$AO$2)*(COLUMN(Curves!$B$2:$AO$2)-COLUMN(Curves!$B$2)+1&lt;=44-Projects!$C$9+1))),0)</f>
        <v>0</v>
      </c>
      <c r="AU12" s="289" t="n">
        <f aca="false">IF(AND(Projects!$G$9="Yes",Projects!$F$9="Yes",45&gt;=Projects!$C$9,45&lt;Projects!$C$9+Projects!$D$9),Projects!$B$9*(1-SUMPRODUCT((Curves!$B$2:$AO$2)*(COLUMN(Curves!$B$2:$AO$2)-COLUMN(Curves!$B$2)+1&lt;=45-Projects!$C$9+1))),0)</f>
        <v>0</v>
      </c>
      <c r="AV12" s="289" t="n">
        <f aca="false">IF(AND(Projects!$G$9="Yes",Projects!$F$9="Yes",46&gt;=Projects!$C$9,46&lt;Projects!$C$9+Projects!$D$9),Projects!$B$9*(1-SUMPRODUCT((Curves!$B$2:$AO$2)*(COLUMN(Curves!$B$2:$AO$2)-COLUMN(Curves!$B$2)+1&lt;=46-Projects!$C$9+1))),0)</f>
        <v>0</v>
      </c>
      <c r="AW12" s="289" t="n">
        <f aca="false">IF(AND(Projects!$G$9="Yes",Projects!$F$9="Yes",47&gt;=Projects!$C$9,47&lt;Projects!$C$9+Projects!$D$9),Projects!$B$9*(1-SUMPRODUCT((Curves!$B$2:$AO$2)*(COLUMN(Curves!$B$2:$AO$2)-COLUMN(Curves!$B$2)+1&lt;=47-Projects!$C$9+1))),0)</f>
        <v>0</v>
      </c>
      <c r="AX12" s="289" t="n">
        <f aca="false">IF(AND(Projects!$G$9="Yes",Projects!$F$9="Yes",48&gt;=Projects!$C$9,48&lt;Projects!$C$9+Projects!$D$9),Projects!$B$9*(1-SUMPRODUCT((Curves!$B$2:$AO$2)*(COLUMN(Curves!$B$2:$AO$2)-COLUMN(Curves!$B$2)+1&lt;=48-Projects!$C$9+1))),0)</f>
        <v>0</v>
      </c>
      <c r="AY12" s="289" t="n">
        <f aca="false">IF(AND(Projects!$G$9="Yes",Projects!$F$9="Yes",49&gt;=Projects!$C$9,49&lt;Projects!$C$9+Projects!$D$9),Projects!$B$9*(1-SUMPRODUCT((Curves!$B$2:$AO$2)*(COLUMN(Curves!$B$2:$AO$2)-COLUMN(Curves!$B$2)+1&lt;=49-Projects!$C$9+1))),0)</f>
        <v>0</v>
      </c>
      <c r="AZ12" s="289" t="n">
        <f aca="false">IF(AND(Projects!$G$9="Yes",Projects!$F$9="Yes",50&gt;=Projects!$C$9,50&lt;Projects!$C$9+Projects!$D$9),Projects!$B$9*(1-SUMPRODUCT((Curves!$B$2:$AO$2)*(COLUMN(Curves!$B$2:$AO$2)-COLUMN(Curves!$B$2)+1&lt;=50-Projects!$C$9+1))),0)</f>
        <v>0</v>
      </c>
      <c r="BA12" s="289" t="n">
        <f aca="false">IF(AND(Projects!$G$9="Yes",Projects!$F$9="Yes",51&gt;=Projects!$C$9,51&lt;Projects!$C$9+Projects!$D$9),Projects!$B$9*(1-SUMPRODUCT((Curves!$B$2:$AO$2)*(COLUMN(Curves!$B$2:$AO$2)-COLUMN(Curves!$B$2)+1&lt;=51-Projects!$C$9+1))),0)</f>
        <v>0</v>
      </c>
      <c r="BB12" s="289" t="n">
        <f aca="false">IF(AND(Projects!$G$9="Yes",Projects!$F$9="Yes",52&gt;=Projects!$C$9,52&lt;Projects!$C$9+Projects!$D$9),Projects!$B$9*(1-SUMPRODUCT((Curves!$B$2:$AO$2)*(COLUMN(Curves!$B$2:$AO$2)-COLUMN(Curves!$B$2)+1&lt;=52-Projects!$C$9+1))),0)</f>
        <v>0</v>
      </c>
      <c r="BC12" s="289" t="n">
        <f aca="false">IF(AND(Projects!$G$9="Yes",Projects!$F$9="Yes",53&gt;=Projects!$C$9,53&lt;Projects!$C$9+Projects!$D$9),Projects!$B$9*(1-SUMPRODUCT((Curves!$B$2:$AO$2)*(COLUMN(Curves!$B$2:$AO$2)-COLUMN(Curves!$B$2)+1&lt;=53-Projects!$C$9+1))),0)</f>
        <v>0</v>
      </c>
      <c r="BD12" s="289" t="n">
        <f aca="false">IF(AND(Projects!$G$9="Yes",Projects!$F$9="Yes",54&gt;=Projects!$C$9,54&lt;Projects!$C$9+Projects!$D$9),Projects!$B$9*(1-SUMPRODUCT((Curves!$B$2:$AO$2)*(COLUMN(Curves!$B$2:$AO$2)-COLUMN(Curves!$B$2)+1&lt;=54-Projects!$C$9+1))),0)</f>
        <v>0</v>
      </c>
      <c r="BE12" s="289" t="n">
        <f aca="false">IF(AND(Projects!$G$9="Yes",Projects!$F$9="Yes",55&gt;=Projects!$C$9,55&lt;Projects!$C$9+Projects!$D$9),Projects!$B$9*(1-SUMPRODUCT((Curves!$B$2:$AO$2)*(COLUMN(Curves!$B$2:$AO$2)-COLUMN(Curves!$B$2)+1&lt;=55-Projects!$C$9+1))),0)</f>
        <v>0</v>
      </c>
      <c r="BF12" s="289" t="n">
        <f aca="false">IF(AND(Projects!$G$9="Yes",Projects!$F$9="Yes",56&gt;=Projects!$C$9,56&lt;Projects!$C$9+Projects!$D$9),Projects!$B$9*(1-SUMPRODUCT((Curves!$B$2:$AO$2)*(COLUMN(Curves!$B$2:$AO$2)-COLUMN(Curves!$B$2)+1&lt;=56-Projects!$C$9+1))),0)</f>
        <v>0</v>
      </c>
      <c r="BG12" s="289" t="n">
        <f aca="false">IF(AND(Projects!$G$9="Yes",Projects!$F$9="Yes",57&gt;=Projects!$C$9,57&lt;Projects!$C$9+Projects!$D$9),Projects!$B$9*(1-SUMPRODUCT((Curves!$B$2:$AO$2)*(COLUMN(Curves!$B$2:$AO$2)-COLUMN(Curves!$B$2)+1&lt;=57-Projects!$C$9+1))),0)</f>
        <v>0</v>
      </c>
      <c r="BH12" s="289" t="n">
        <f aca="false">IF(AND(Projects!$G$9="Yes",Projects!$F$9="Yes",58&gt;=Projects!$C$9,58&lt;Projects!$C$9+Projects!$D$9),Projects!$B$9*(1-SUMPRODUCT((Curves!$B$2:$AO$2)*(COLUMN(Curves!$B$2:$AO$2)-COLUMN(Curves!$B$2)+1&lt;=58-Projects!$C$9+1))),0)</f>
        <v>0</v>
      </c>
      <c r="BI12" s="289" t="n">
        <f aca="false">IF(AND(Projects!$G$9="Yes",Projects!$F$9="Yes",59&gt;=Projects!$C$9,59&lt;Projects!$C$9+Projects!$D$9),Projects!$B$9*(1-SUMPRODUCT((Curves!$B$2:$AO$2)*(COLUMN(Curves!$B$2:$AO$2)-COLUMN(Curves!$B$2)+1&lt;=59-Projects!$C$9+1))),0)</f>
        <v>0</v>
      </c>
      <c r="BJ12" s="289" t="n">
        <f aca="false">IF(AND(Projects!$G$9="Yes",Projects!$F$9="Yes",60&gt;=Projects!$C$9,60&lt;Projects!$C$9+Projects!$D$9),Projects!$B$9*(1-SUMPRODUCT((Curves!$B$2:$AO$2)*(COLUMN(Curves!$B$2:$AO$2)-COLUMN(Curves!$B$2)+1&lt;=60-Projects!$C$9+1))),0)</f>
        <v>0</v>
      </c>
      <c r="BK12" s="289" t="n">
        <f aca="false">IF(AND(Projects!$G$9="Yes",Projects!$F$9="Yes",61&gt;=Projects!$C$9,61&lt;Projects!$C$9+Projects!$D$9),Projects!$B$9*(1-SUMPRODUCT((Curves!$B$2:$AO$2)*(COLUMN(Curves!$B$2:$AO$2)-COLUMN(Curves!$B$2)+1&lt;=61-Projects!$C$9+1))),0)</f>
        <v>0</v>
      </c>
      <c r="BL12" s="289" t="n">
        <f aca="false">IF(AND(Projects!$G$9="Yes",Projects!$F$9="Yes",62&gt;=Projects!$C$9,62&lt;Projects!$C$9+Projects!$D$9),Projects!$B$9*(1-SUMPRODUCT((Curves!$B$2:$AO$2)*(COLUMN(Curves!$B$2:$AO$2)-COLUMN(Curves!$B$2)+1&lt;=62-Projects!$C$9+1))),0)</f>
        <v>0</v>
      </c>
      <c r="BM12" s="289" t="n">
        <f aca="false">IF(AND(Projects!$G$9="Yes",Projects!$F$9="Yes",63&gt;=Projects!$C$9,63&lt;Projects!$C$9+Projects!$D$9),Projects!$B$9*(1-SUMPRODUCT((Curves!$B$2:$AO$2)*(COLUMN(Curves!$B$2:$AO$2)-COLUMN(Curves!$B$2)+1&lt;=63-Projects!$C$9+1))),0)</f>
        <v>0</v>
      </c>
      <c r="BN12" s="289" t="n">
        <f aca="false">IF(AND(Projects!$G$9="Yes",Projects!$F$9="Yes",64&gt;=Projects!$C$9,64&lt;Projects!$C$9+Projects!$D$9),Projects!$B$9*(1-SUMPRODUCT((Curves!$B$2:$AO$2)*(COLUMN(Curves!$B$2:$AO$2)-COLUMN(Curves!$B$2)+1&lt;=64-Projects!$C$9+1))),0)</f>
        <v>0</v>
      </c>
      <c r="BO12" s="289" t="n">
        <f aca="false">IF(AND(Projects!$G$9="Yes",Projects!$F$9="Yes",65&gt;=Projects!$C$9,65&lt;Projects!$C$9+Projects!$D$9),Projects!$B$9*(1-SUMPRODUCT((Curves!$B$2:$AO$2)*(COLUMN(Curves!$B$2:$AO$2)-COLUMN(Curves!$B$2)+1&lt;=65-Projects!$C$9+1))),0)</f>
        <v>0</v>
      </c>
      <c r="BP12" s="289" t="n">
        <f aca="false">IF(AND(Projects!$G$9="Yes",Projects!$F$9="Yes",66&gt;=Projects!$C$9,66&lt;Projects!$C$9+Projects!$D$9),Projects!$B$9*(1-SUMPRODUCT((Curves!$B$2:$AO$2)*(COLUMN(Curves!$B$2:$AO$2)-COLUMN(Curves!$B$2)+1&lt;=66-Projects!$C$9+1))),0)</f>
        <v>0</v>
      </c>
      <c r="BQ12" s="289" t="n">
        <f aca="false">IF(AND(Projects!$G$9="Yes",Projects!$F$9="Yes",67&gt;=Projects!$C$9,67&lt;Projects!$C$9+Projects!$D$9),Projects!$B$9*(1-SUMPRODUCT((Curves!$B$2:$AO$2)*(COLUMN(Curves!$B$2:$AO$2)-COLUMN(Curves!$B$2)+1&lt;=67-Projects!$C$9+1))),0)</f>
        <v>0</v>
      </c>
      <c r="BR12" s="289" t="n">
        <f aca="false">IF(AND(Projects!$G$9="Yes",Projects!$F$9="Yes",68&gt;=Projects!$C$9,68&lt;Projects!$C$9+Projects!$D$9),Projects!$B$9*(1-SUMPRODUCT((Curves!$B$2:$AO$2)*(COLUMN(Curves!$B$2:$AO$2)-COLUMN(Curves!$B$2)+1&lt;=68-Projects!$C$9+1))),0)</f>
        <v>0</v>
      </c>
      <c r="BS12" s="289" t="n">
        <f aca="false">IF(AND(Projects!$G$9="Yes",Projects!$F$9="Yes",69&gt;=Projects!$C$9,69&lt;Projects!$C$9+Projects!$D$9),Projects!$B$9*(1-SUMPRODUCT((Curves!$B$2:$AO$2)*(COLUMN(Curves!$B$2:$AO$2)-COLUMN(Curves!$B$2)+1&lt;=69-Projects!$C$9+1))),0)</f>
        <v>0</v>
      </c>
      <c r="BT12" s="289" t="n">
        <f aca="false">IF(AND(Projects!$G$9="Yes",Projects!$F$9="Yes",70&gt;=Projects!$C$9,70&lt;Projects!$C$9+Projects!$D$9),Projects!$B$9*(1-SUMPRODUCT((Curves!$B$2:$AO$2)*(COLUMN(Curves!$B$2:$AO$2)-COLUMN(Curves!$B$2)+1&lt;=70-Projects!$C$9+1))),0)</f>
        <v>0</v>
      </c>
      <c r="BU12" s="289" t="n">
        <f aca="false">IF(AND(Projects!$G$9="Yes",Projects!$F$9="Yes",71&gt;=Projects!$C$9,71&lt;Projects!$C$9+Projects!$D$9),Projects!$B$9*(1-SUMPRODUCT((Curves!$B$2:$AO$2)*(COLUMN(Curves!$B$2:$AO$2)-COLUMN(Curves!$B$2)+1&lt;=71-Projects!$C$9+1))),0)</f>
        <v>0</v>
      </c>
      <c r="BV12" s="289" t="n">
        <f aca="false">IF(AND(Projects!$G$9="Yes",Projects!$F$9="Yes",72&gt;=Projects!$C$9,72&lt;Projects!$C$9+Projects!$D$9),Projects!$B$9*(1-SUMPRODUCT((Curves!$B$2:$AO$2)*(COLUMN(Curves!$B$2:$AO$2)-COLUMN(Curves!$B$2)+1&lt;=72-Projects!$C$9+1))),0)</f>
        <v>0</v>
      </c>
      <c r="BW12" s="289" t="n">
        <f aca="false">IF(AND(Projects!$G$9="Yes",Projects!$F$9="Yes",73&gt;=Projects!$C$9,73&lt;Projects!$C$9+Projects!$D$9),Projects!$B$9*(1-SUMPRODUCT((Curves!$B$2:$AO$2)*(COLUMN(Curves!$B$2:$AO$2)-COLUMN(Curves!$B$2)+1&lt;=73-Projects!$C$9+1))),0)</f>
        <v>0</v>
      </c>
      <c r="BX12" s="289" t="n">
        <f aca="false">IF(AND(Projects!$G$9="Yes",Projects!$F$9="Yes",74&gt;=Projects!$C$9,74&lt;Projects!$C$9+Projects!$D$9),Projects!$B$9*(1-SUMPRODUCT((Curves!$B$2:$AO$2)*(COLUMN(Curves!$B$2:$AO$2)-COLUMN(Curves!$B$2)+1&lt;=74-Projects!$C$9+1))),0)</f>
        <v>0</v>
      </c>
      <c r="BY12" s="289" t="n">
        <f aca="false">IF(AND(Projects!$G$9="Yes",Projects!$F$9="Yes",75&gt;=Projects!$C$9,75&lt;Projects!$C$9+Projects!$D$9),Projects!$B$9*(1-SUMPRODUCT((Curves!$B$2:$AO$2)*(COLUMN(Curves!$B$2:$AO$2)-COLUMN(Curves!$B$2)+1&lt;=75-Projects!$C$9+1))),0)</f>
        <v>0</v>
      </c>
      <c r="BZ12" s="289" t="n">
        <f aca="false">IF(AND(Projects!$G$9="Yes",Projects!$F$9="Yes",76&gt;=Projects!$C$9,76&lt;Projects!$C$9+Projects!$D$9),Projects!$B$9*(1-SUMPRODUCT((Curves!$B$2:$AO$2)*(COLUMN(Curves!$B$2:$AO$2)-COLUMN(Curves!$B$2)+1&lt;=76-Projects!$C$9+1))),0)</f>
        <v>0</v>
      </c>
      <c r="CA12" s="289" t="n">
        <f aca="false">IF(AND(Projects!$G$9="Yes",Projects!$F$9="Yes",77&gt;=Projects!$C$9,77&lt;Projects!$C$9+Projects!$D$9),Projects!$B$9*(1-SUMPRODUCT((Curves!$B$2:$AO$2)*(COLUMN(Curves!$B$2:$AO$2)-COLUMN(Curves!$B$2)+1&lt;=77-Projects!$C$9+1))),0)</f>
        <v>0</v>
      </c>
      <c r="CB12" s="289" t="n">
        <f aca="false">IF(AND(Projects!$G$9="Yes",Projects!$F$9="Yes",78&gt;=Projects!$C$9,78&lt;Projects!$C$9+Projects!$D$9),Projects!$B$9*(1-SUMPRODUCT((Curves!$B$2:$AO$2)*(COLUMN(Curves!$B$2:$AO$2)-COLUMN(Curves!$B$2)+1&lt;=78-Projects!$C$9+1))),0)</f>
        <v>0</v>
      </c>
      <c r="CC12" s="289" t="n">
        <f aca="false">IF(AND(Projects!$G$9="Yes",Projects!$F$9="Yes",79&gt;=Projects!$C$9,79&lt;Projects!$C$9+Projects!$D$9),Projects!$B$9*(1-SUMPRODUCT((Curves!$B$2:$AO$2)*(COLUMN(Curves!$B$2:$AO$2)-COLUMN(Curves!$B$2)+1&lt;=79-Projects!$C$9+1))),0)</f>
        <v>0</v>
      </c>
      <c r="CD12" s="289" t="n">
        <f aca="false">IF(AND(Projects!$G$9="Yes",Projects!$F$9="Yes",80&gt;=Projects!$C$9,80&lt;Projects!$C$9+Projects!$D$9),Projects!$B$9*(1-SUMPRODUCT((Curves!$B$2:$AO$2)*(COLUMN(Curves!$B$2:$AO$2)-COLUMN(Curves!$B$2)+1&lt;=80-Projects!$C$9+1))),0)</f>
        <v>0</v>
      </c>
      <c r="CE12" s="289" t="n">
        <f aca="false">IF(AND(Projects!$G$9="Yes",Projects!$F$9="Yes",81&gt;=Projects!$C$9,81&lt;Projects!$C$9+Projects!$D$9),Projects!$B$9*(1-SUMPRODUCT((Curves!$B$2:$AO$2)*(COLUMN(Curves!$B$2:$AO$2)-COLUMN(Curves!$B$2)+1&lt;=81-Projects!$C$9+1))),0)</f>
        <v>0</v>
      </c>
      <c r="CF12" s="289" t="n">
        <f aca="false">IF(AND(Projects!$G$9="Yes",Projects!$F$9="Yes",82&gt;=Projects!$C$9,82&lt;Projects!$C$9+Projects!$D$9),Projects!$B$9*(1-SUMPRODUCT((Curves!$B$2:$AO$2)*(COLUMN(Curves!$B$2:$AO$2)-COLUMN(Curves!$B$2)+1&lt;=82-Projects!$C$9+1))),0)</f>
        <v>0</v>
      </c>
      <c r="CG12" s="289" t="n">
        <f aca="false">IF(AND(Projects!$G$9="Yes",Projects!$F$9="Yes",83&gt;=Projects!$C$9,83&lt;Projects!$C$9+Projects!$D$9),Projects!$B$9*(1-SUMPRODUCT((Curves!$B$2:$AO$2)*(COLUMN(Curves!$B$2:$AO$2)-COLUMN(Curves!$B$2)+1&lt;=83-Projects!$C$9+1))),0)</f>
        <v>0</v>
      </c>
      <c r="CH12" s="289" t="n">
        <f aca="false">IF(AND(Projects!$G$9="Yes",Projects!$F$9="Yes",84&gt;=Projects!$C$9,84&lt;Projects!$C$9+Projects!$D$9),Projects!$B$9*(1-SUMPRODUCT((Curves!$B$2:$AO$2)*(COLUMN(Curves!$B$2:$AO$2)-COLUMN(Curves!$B$2)+1&lt;=84-Projects!$C$9+1))),0)</f>
        <v>0</v>
      </c>
      <c r="CI12" s="289" t="n">
        <f aca="false">IF(AND(Projects!$G$9="Yes",Projects!$F$9="Yes",85&gt;=Projects!$C$9,85&lt;Projects!$C$9+Projects!$D$9),Projects!$B$9*(1-SUMPRODUCT((Curves!$B$2:$AO$2)*(COLUMN(Curves!$B$2:$AO$2)-COLUMN(Curves!$B$2)+1&lt;=85-Projects!$C$9+1))),0)</f>
        <v>0</v>
      </c>
      <c r="CJ12" s="289" t="n">
        <f aca="false">IF(AND(Projects!$G$9="Yes",Projects!$F$9="Yes",86&gt;=Projects!$C$9,86&lt;Projects!$C$9+Projects!$D$9),Projects!$B$9*(1-SUMPRODUCT((Curves!$B$2:$AO$2)*(COLUMN(Curves!$B$2:$AO$2)-COLUMN(Curves!$B$2)+1&lt;=86-Projects!$C$9+1))),0)</f>
        <v>0</v>
      </c>
      <c r="CK12" s="289" t="n">
        <f aca="false">IF(AND(Projects!$G$9="Yes",Projects!$F$9="Yes",87&gt;=Projects!$C$9,87&lt;Projects!$C$9+Projects!$D$9),Projects!$B$9*(1-SUMPRODUCT((Curves!$B$2:$AO$2)*(COLUMN(Curves!$B$2:$AO$2)-COLUMN(Curves!$B$2)+1&lt;=87-Projects!$C$9+1))),0)</f>
        <v>0</v>
      </c>
      <c r="CL12" s="289" t="n">
        <f aca="false">IF(AND(Projects!$G$9="Yes",Projects!$F$9="Yes",88&gt;=Projects!$C$9,88&lt;Projects!$C$9+Projects!$D$9),Projects!$B$9*(1-SUMPRODUCT((Curves!$B$2:$AO$2)*(COLUMN(Curves!$B$2:$AO$2)-COLUMN(Curves!$B$2)+1&lt;=88-Projects!$C$9+1))),0)</f>
        <v>0</v>
      </c>
      <c r="CM12" s="289" t="n">
        <f aca="false">IF(AND(Projects!$G$9="Yes",Projects!$F$9="Yes",89&gt;=Projects!$C$9,89&lt;Projects!$C$9+Projects!$D$9),Projects!$B$9*(1-SUMPRODUCT((Curves!$B$2:$AO$2)*(COLUMN(Curves!$B$2:$AO$2)-COLUMN(Curves!$B$2)+1&lt;=89-Projects!$C$9+1))),0)</f>
        <v>0</v>
      </c>
      <c r="CN12" s="289" t="n">
        <f aca="false">IF(AND(Projects!$G$9="Yes",Projects!$F$9="Yes",90&gt;=Projects!$C$9,90&lt;Projects!$C$9+Projects!$D$9),Projects!$B$9*(1-SUMPRODUCT((Curves!$B$2:$AO$2)*(COLUMN(Curves!$B$2:$AO$2)-COLUMN(Curves!$B$2)+1&lt;=90-Projects!$C$9+1))),0)</f>
        <v>0</v>
      </c>
      <c r="CO12" s="289" t="n">
        <f aca="false">IF(AND(Projects!$G$9="Yes",Projects!$F$9="Yes",91&gt;=Projects!$C$9,91&lt;Projects!$C$9+Projects!$D$9),Projects!$B$9*(1-SUMPRODUCT((Curves!$B$2:$AO$2)*(COLUMN(Curves!$B$2:$AO$2)-COLUMN(Curves!$B$2)+1&lt;=91-Projects!$C$9+1))),0)</f>
        <v>0</v>
      </c>
      <c r="CP12" s="289" t="n">
        <f aca="false">IF(AND(Projects!$G$9="Yes",Projects!$F$9="Yes",92&gt;=Projects!$C$9,92&lt;Projects!$C$9+Projects!$D$9),Projects!$B$9*(1-SUMPRODUCT((Curves!$B$2:$AO$2)*(COLUMN(Curves!$B$2:$AO$2)-COLUMN(Curves!$B$2)+1&lt;=92-Projects!$C$9+1))),0)</f>
        <v>0</v>
      </c>
      <c r="CQ12" s="289" t="n">
        <f aca="false">IF(AND(Projects!$G$9="Yes",Projects!$F$9="Yes",93&gt;=Projects!$C$9,93&lt;Projects!$C$9+Projects!$D$9),Projects!$B$9*(1-SUMPRODUCT((Curves!$B$2:$AO$2)*(COLUMN(Curves!$B$2:$AO$2)-COLUMN(Curves!$B$2)+1&lt;=93-Projects!$C$9+1))),0)</f>
        <v>0</v>
      </c>
    </row>
    <row r="13" customFormat="false" ht="15" hidden="false" customHeight="true" outlineLevel="0" collapsed="false">
      <c r="A13" s="177" t="s">
        <v>15</v>
      </c>
      <c r="C13" s="289" t="n">
        <f aca="false">IF(AND(Projects!$G$10="Yes",Projects!$F$10="Yes",1&gt;=Projects!$C$10,1&lt;Projects!$C$10+Projects!$D$10),Projects!$B$10*(1-SUMPRODUCT((Curves!$B$4:$AO$4)*(COLUMN(Curves!$B$4:$AO$4)-COLUMN(Curves!$B$4)+1&lt;=1-Projects!$C$10+1))),0)</f>
        <v>0</v>
      </c>
      <c r="D13" s="289" t="n">
        <f aca="false">IF(AND(Projects!$G$10="Yes",Projects!$F$10="Yes",2&gt;=Projects!$C$10,2&lt;Projects!$C$10+Projects!$D$10),Projects!$B$10*(1-SUMPRODUCT((Curves!$B$4:$AO$4)*(COLUMN(Curves!$B$4:$AO$4)-COLUMN(Curves!$B$4)+1&lt;=2-Projects!$C$10+1))),0)</f>
        <v>0</v>
      </c>
      <c r="E13" s="289" t="n">
        <f aca="false">IF(AND(Projects!$G$10="Yes",Projects!$F$10="Yes",3&gt;=Projects!$C$10,3&lt;Projects!$C$10+Projects!$D$10),Projects!$B$10*(1-SUMPRODUCT((Curves!$B$4:$AO$4)*(COLUMN(Curves!$B$4:$AO$4)-COLUMN(Curves!$B$4)+1&lt;=3-Projects!$C$10+1))),0)</f>
        <v>0</v>
      </c>
      <c r="F13" s="289" t="n">
        <f aca="false">IF(AND(Projects!$G$10="Yes",Projects!$F$10="Yes",4&gt;=Projects!$C$10,4&lt;Projects!$C$10+Projects!$D$10),Projects!$B$10*(1-SUMPRODUCT((Curves!$B$4:$AO$4)*(COLUMN(Curves!$B$4:$AO$4)-COLUMN(Curves!$B$4)+1&lt;=4-Projects!$C$10+1))),0)</f>
        <v>0</v>
      </c>
      <c r="G13" s="289" t="n">
        <f aca="false">IF(AND(Projects!$G$10="Yes",Projects!$F$10="Yes",5&gt;=Projects!$C$10,5&lt;Projects!$C$10+Projects!$D$10),Projects!$B$10*(1-SUMPRODUCT((Curves!$B$4:$AO$4)*(COLUMN(Curves!$B$4:$AO$4)-COLUMN(Curves!$B$4)+1&lt;=5-Projects!$C$10+1))),0)</f>
        <v>0</v>
      </c>
      <c r="H13" s="289" t="n">
        <f aca="false">IF(AND(Projects!$G$10="Yes",Projects!$F$10="Yes",6&gt;=Projects!$C$10,6&lt;Projects!$C$10+Projects!$D$10),Projects!$B$10*(1-SUMPRODUCT((Curves!$B$4:$AO$4)*(COLUMN(Curves!$B$4:$AO$4)-COLUMN(Curves!$B$4)+1&lt;=6-Projects!$C$10+1))),0)</f>
        <v>0</v>
      </c>
      <c r="I13" s="289" t="n">
        <f aca="false">IF(AND(Projects!$G$10="Yes",Projects!$F$10="Yes",7&gt;=Projects!$C$10,7&lt;Projects!$C$10+Projects!$D$10),Projects!$B$10*(1-SUMPRODUCT((Curves!$B$4:$AO$4)*(COLUMN(Curves!$B$4:$AO$4)-COLUMN(Curves!$B$4)+1&lt;=7-Projects!$C$10+1))),0)</f>
        <v>0</v>
      </c>
      <c r="J13" s="289" t="n">
        <f aca="false">IF(AND(Projects!$G$10="Yes",Projects!$F$10="Yes",8&gt;=Projects!$C$10,8&lt;Projects!$C$10+Projects!$D$10),Projects!$B$10*(1-SUMPRODUCT((Curves!$B$4:$AO$4)*(COLUMN(Curves!$B$4:$AO$4)-COLUMN(Curves!$B$4)+1&lt;=8-Projects!$C$10+1))),0)</f>
        <v>0</v>
      </c>
      <c r="K13" s="289" t="n">
        <f aca="false">IF(AND(Projects!$G$10="Yes",Projects!$F$10="Yes",9&gt;=Projects!$C$10,9&lt;Projects!$C$10+Projects!$D$10),Projects!$B$10*(1-SUMPRODUCT((Curves!$B$4:$AO$4)*(COLUMN(Curves!$B$4:$AO$4)-COLUMN(Curves!$B$4)+1&lt;=9-Projects!$C$10+1))),0)</f>
        <v>20699563.289615</v>
      </c>
      <c r="L13" s="289" t="n">
        <f aca="false">IF(AND(Projects!$G$10="Yes",Projects!$F$10="Yes",10&gt;=Projects!$C$10,10&lt;Projects!$C$10+Projects!$D$10),Projects!$B$10*(1-SUMPRODUCT((Curves!$B$4:$AO$4)*(COLUMN(Curves!$B$4:$AO$4)-COLUMN(Curves!$B$4)+1&lt;=10-Projects!$C$10+1))),0)</f>
        <v>20002952.87841</v>
      </c>
      <c r="M13" s="289" t="n">
        <f aca="false">IF(AND(Projects!$G$10="Yes",Projects!$F$10="Yes",11&gt;=Projects!$C$10,11&lt;Projects!$C$10+Projects!$D$10),Projects!$B$10*(1-SUMPRODUCT((Curves!$B$4:$AO$4)*(COLUMN(Curves!$B$4:$AO$4)-COLUMN(Curves!$B$4)+1&lt;=11-Projects!$C$10+1))),0)</f>
        <v>19163431.1222</v>
      </c>
      <c r="N13" s="289" t="n">
        <f aca="false">IF(AND(Projects!$G$10="Yes",Projects!$F$10="Yes",12&gt;=Projects!$C$10,12&lt;Projects!$C$10+Projects!$D$10),Projects!$B$10*(1-SUMPRODUCT((Curves!$B$4:$AO$4)*(COLUMN(Curves!$B$4:$AO$4)-COLUMN(Curves!$B$4)+1&lt;=12-Projects!$C$10+1))),0)</f>
        <v>18176553.96934</v>
      </c>
      <c r="O13" s="289" t="n">
        <f aca="false">IF(AND(Projects!$G$10="Yes",Projects!$F$10="Yes",13&gt;=Projects!$C$10,13&lt;Projects!$C$10+Projects!$D$10),Projects!$B$10*(1-SUMPRODUCT((Curves!$B$4:$AO$4)*(COLUMN(Curves!$B$4:$AO$4)-COLUMN(Curves!$B$4)+1&lt;=13-Projects!$C$10+1))),0)</f>
        <v>17044958.08205</v>
      </c>
      <c r="P13" s="289" t="n">
        <f aca="false">IF(AND(Projects!$G$10="Yes",Projects!$F$10="Yes",14&gt;=Projects!$C$10,14&lt;Projects!$C$10+Projects!$D$10),Projects!$B$10*(1-SUMPRODUCT((Curves!$B$4:$AO$4)*(COLUMN(Curves!$B$4:$AO$4)-COLUMN(Curves!$B$4)+1&lt;=14-Projects!$C$10+1))),0)</f>
        <v>15779317.68964</v>
      </c>
      <c r="Q13" s="289" t="n">
        <f aca="false">IF(AND(Projects!$G$10="Yes",Projects!$F$10="Yes",15&gt;=Projects!$C$10,15&lt;Projects!$C$10+Projects!$D$10),Projects!$B$10*(1-SUMPRODUCT((Curves!$B$4:$AO$4)*(COLUMN(Curves!$B$4:$AO$4)-COLUMN(Curves!$B$4)+1&lt;=15-Projects!$C$10+1))),0)</f>
        <v>14398535.959155</v>
      </c>
      <c r="R13" s="289" t="n">
        <f aca="false">IF(AND(Projects!$G$10="Yes",Projects!$F$10="Yes",16&gt;=Projects!$C$10,16&lt;Projects!$C$10+Projects!$D$10),Projects!$B$10*(1-SUMPRODUCT((Curves!$B$4:$AO$4)*(COLUMN(Curves!$B$4:$AO$4)-COLUMN(Curves!$B$4)+1&lt;=16-Projects!$C$10+1))),0)</f>
        <v>12929149.620035</v>
      </c>
      <c r="S13" s="289" t="n">
        <f aca="false">IF(AND(Projects!$G$10="Yes",Projects!$F$10="Yes",17&gt;=Projects!$C$10,17&lt;Projects!$C$10+Projects!$D$10),Projects!$B$10*(1-SUMPRODUCT((Curves!$B$4:$AO$4)*(COLUMN(Curves!$B$4:$AO$4)-COLUMN(Curves!$B$4)+1&lt;=17-Projects!$C$10+1))),0)</f>
        <v>11403883.052575</v>
      </c>
      <c r="T13" s="289" t="n">
        <f aca="false">IF(AND(Projects!$G$10="Yes",Projects!$F$10="Yes",18&gt;=Projects!$C$10,18&lt;Projects!$C$10+Projects!$D$10),Projects!$B$10*(1-SUMPRODUCT((Curves!$B$4:$AO$4)*(COLUMN(Curves!$B$4:$AO$4)-COLUMN(Curves!$B$4)+1&lt;=18-Projects!$C$10+1))),0)</f>
        <v>9859521.947425</v>
      </c>
      <c r="U13" s="289" t="n">
        <f aca="false">IF(AND(Projects!$G$10="Yes",Projects!$F$10="Yes",19&gt;=Projects!$C$10,19&lt;Projects!$C$10+Projects!$D$10),Projects!$B$10*(1-SUMPRODUCT((Curves!$B$4:$AO$4)*(COLUMN(Curves!$B$4:$AO$4)-COLUMN(Curves!$B$4)+1&lt;=19-Projects!$C$10+1))),0)</f>
        <v>8334255.379965</v>
      </c>
      <c r="V13" s="289" t="n">
        <f aca="false">IF(AND(Projects!$G$10="Yes",Projects!$F$10="Yes",20&gt;=Projects!$C$10,20&lt;Projects!$C$10+Projects!$D$10),Projects!$B$10*(1-SUMPRODUCT((Curves!$B$4:$AO$4)*(COLUMN(Curves!$B$4:$AO$4)-COLUMN(Curves!$B$4)+1&lt;=20-Projects!$C$10+1))),0)</f>
        <v>6864869.040845</v>
      </c>
      <c r="W13" s="289" t="n">
        <f aca="false">IF(AND(Projects!$G$10="Yes",Projects!$F$10="Yes",21&gt;=Projects!$C$10,21&lt;Projects!$C$10+Projects!$D$10),Projects!$B$10*(1-SUMPRODUCT((Curves!$B$4:$AO$4)*(COLUMN(Curves!$B$4:$AO$4)-COLUMN(Curves!$B$4)+1&lt;=21-Projects!$C$10+1))),0)</f>
        <v>5484087.31036</v>
      </c>
      <c r="X13" s="289" t="n">
        <f aca="false">IF(AND(Projects!$G$10="Yes",Projects!$F$10="Yes",22&gt;=Projects!$C$10,22&lt;Projects!$C$10+Projects!$D$10),Projects!$B$10*(1-SUMPRODUCT((Curves!$B$4:$AO$4)*(COLUMN(Curves!$B$4:$AO$4)-COLUMN(Curves!$B$4)+1&lt;=22-Projects!$C$10+1))),0)</f>
        <v>4218446.91795</v>
      </c>
      <c r="Y13" s="289" t="n">
        <f aca="false">IF(AND(Projects!$G$10="Yes",Projects!$F$10="Yes",23&gt;=Projects!$C$10,23&lt;Projects!$C$10+Projects!$D$10),Projects!$B$10*(1-SUMPRODUCT((Curves!$B$4:$AO$4)*(COLUMN(Curves!$B$4:$AO$4)-COLUMN(Curves!$B$4)+1&lt;=23-Projects!$C$10+1))),0)</f>
        <v>3086851.03066</v>
      </c>
      <c r="Z13" s="289" t="n">
        <f aca="false">IF(AND(Projects!$G$10="Yes",Projects!$F$10="Yes",24&gt;=Projects!$C$10,24&lt;Projects!$C$10+Projects!$D$10),Projects!$B$10*(1-SUMPRODUCT((Curves!$B$4:$AO$4)*(COLUMN(Curves!$B$4:$AO$4)-COLUMN(Curves!$B$4)+1&lt;=24-Projects!$C$10+1))),0)</f>
        <v>2099973.8778</v>
      </c>
      <c r="AA13" s="289" t="n">
        <f aca="false">IF(AND(Projects!$G$10="Yes",Projects!$F$10="Yes",25&gt;=Projects!$C$10,25&lt;Projects!$C$10+Projects!$D$10),Projects!$B$10*(1-SUMPRODUCT((Curves!$B$4:$AO$4)*(COLUMN(Curves!$B$4:$AO$4)-COLUMN(Curves!$B$4)+1&lt;=25-Projects!$C$10+1))),0)</f>
        <v>1260452.12159</v>
      </c>
      <c r="AB13" s="289" t="n">
        <f aca="false">IF(AND(Projects!$G$10="Yes",Projects!$F$10="Yes",26&gt;=Projects!$C$10,26&lt;Projects!$C$10+Projects!$D$10),Projects!$B$10*(1-SUMPRODUCT((Curves!$B$4:$AO$4)*(COLUMN(Curves!$B$4:$AO$4)-COLUMN(Curves!$B$4)+1&lt;=26-Projects!$C$10+1))),0)</f>
        <v>563841.710385</v>
      </c>
      <c r="AC13" s="289" t="n">
        <f aca="false">IF(AND(Projects!$G$10="Yes",Projects!$F$10="Yes",27&gt;=Projects!$C$10,27&lt;Projects!$C$10+Projects!$D$10),Projects!$B$10*(1-SUMPRODUCT((Curves!$B$4:$AO$4)*(COLUMN(Curves!$B$4:$AO$4)-COLUMN(Curves!$B$4)+1&lt;=27-Projects!$C$10+1))),0)</f>
        <v>0</v>
      </c>
      <c r="AD13" s="289" t="n">
        <f aca="false">IF(AND(Projects!$G$10="Yes",Projects!$F$10="Yes",28&gt;=Projects!$C$10,28&lt;Projects!$C$10+Projects!$D$10),Projects!$B$10*(1-SUMPRODUCT((Curves!$B$4:$AO$4)*(COLUMN(Curves!$B$4:$AO$4)-COLUMN(Curves!$B$4)+1&lt;=28-Projects!$C$10+1))),0)</f>
        <v>0</v>
      </c>
      <c r="AE13" s="289" t="n">
        <f aca="false">IF(AND(Projects!$G$10="Yes",Projects!$F$10="Yes",29&gt;=Projects!$C$10,29&lt;Projects!$C$10+Projects!$D$10),Projects!$B$10*(1-SUMPRODUCT((Curves!$B$4:$AO$4)*(COLUMN(Curves!$B$4:$AO$4)-COLUMN(Curves!$B$4)+1&lt;=29-Projects!$C$10+1))),0)</f>
        <v>0</v>
      </c>
      <c r="AF13" s="289" t="n">
        <f aca="false">IF(AND(Projects!$G$10="Yes",Projects!$F$10="Yes",30&gt;=Projects!$C$10,30&lt;Projects!$C$10+Projects!$D$10),Projects!$B$10*(1-SUMPRODUCT((Curves!$B$4:$AO$4)*(COLUMN(Curves!$B$4:$AO$4)-COLUMN(Curves!$B$4)+1&lt;=30-Projects!$C$10+1))),0)</f>
        <v>0</v>
      </c>
      <c r="AG13" s="289" t="n">
        <f aca="false">IF(AND(Projects!$G$10="Yes",Projects!$F$10="Yes",31&gt;=Projects!$C$10,31&lt;Projects!$C$10+Projects!$D$10),Projects!$B$10*(1-SUMPRODUCT((Curves!$B$4:$AO$4)*(COLUMN(Curves!$B$4:$AO$4)-COLUMN(Curves!$B$4)+1&lt;=31-Projects!$C$10+1))),0)</f>
        <v>0</v>
      </c>
      <c r="AH13" s="289" t="n">
        <f aca="false">IF(AND(Projects!$G$10="Yes",Projects!$F$10="Yes",32&gt;=Projects!$C$10,32&lt;Projects!$C$10+Projects!$D$10),Projects!$B$10*(1-SUMPRODUCT((Curves!$B$4:$AO$4)*(COLUMN(Curves!$B$4:$AO$4)-COLUMN(Curves!$B$4)+1&lt;=32-Projects!$C$10+1))),0)</f>
        <v>0</v>
      </c>
      <c r="AI13" s="289" t="n">
        <f aca="false">IF(AND(Projects!$G$10="Yes",Projects!$F$10="Yes",33&gt;=Projects!$C$10,33&lt;Projects!$C$10+Projects!$D$10),Projects!$B$10*(1-SUMPRODUCT((Curves!$B$4:$AO$4)*(COLUMN(Curves!$B$4:$AO$4)-COLUMN(Curves!$B$4)+1&lt;=33-Projects!$C$10+1))),0)</f>
        <v>0</v>
      </c>
      <c r="AJ13" s="289" t="n">
        <f aca="false">IF(AND(Projects!$G$10="Yes",Projects!$F$10="Yes",34&gt;=Projects!$C$10,34&lt;Projects!$C$10+Projects!$D$10),Projects!$B$10*(1-SUMPRODUCT((Curves!$B$4:$AO$4)*(COLUMN(Curves!$B$4:$AO$4)-COLUMN(Curves!$B$4)+1&lt;=34-Projects!$C$10+1))),0)</f>
        <v>0</v>
      </c>
      <c r="AK13" s="289" t="n">
        <f aca="false">IF(AND(Projects!$G$10="Yes",Projects!$F$10="Yes",35&gt;=Projects!$C$10,35&lt;Projects!$C$10+Projects!$D$10),Projects!$B$10*(1-SUMPRODUCT((Curves!$B$4:$AO$4)*(COLUMN(Curves!$B$4:$AO$4)-COLUMN(Curves!$B$4)+1&lt;=35-Projects!$C$10+1))),0)</f>
        <v>0</v>
      </c>
      <c r="AL13" s="289" t="n">
        <f aca="false">IF(AND(Projects!$G$10="Yes",Projects!$F$10="Yes",36&gt;=Projects!$C$10,36&lt;Projects!$C$10+Projects!$D$10),Projects!$B$10*(1-SUMPRODUCT((Curves!$B$4:$AO$4)*(COLUMN(Curves!$B$4:$AO$4)-COLUMN(Curves!$B$4)+1&lt;=36-Projects!$C$10+1))),0)</f>
        <v>0</v>
      </c>
      <c r="AM13" s="289" t="n">
        <f aca="false">IF(AND(Projects!$G$10="Yes",Projects!$F$10="Yes",37&gt;=Projects!$C$10,37&lt;Projects!$C$10+Projects!$D$10),Projects!$B$10*(1-SUMPRODUCT((Curves!$B$4:$AO$4)*(COLUMN(Curves!$B$4:$AO$4)-COLUMN(Curves!$B$4)+1&lt;=37-Projects!$C$10+1))),0)</f>
        <v>0</v>
      </c>
      <c r="AN13" s="289" t="n">
        <f aca="false">IF(AND(Projects!$G$10="Yes",Projects!$F$10="Yes",38&gt;=Projects!$C$10,38&lt;Projects!$C$10+Projects!$D$10),Projects!$B$10*(1-SUMPRODUCT((Curves!$B$4:$AO$4)*(COLUMN(Curves!$B$4:$AO$4)-COLUMN(Curves!$B$4)+1&lt;=38-Projects!$C$10+1))),0)</f>
        <v>0</v>
      </c>
      <c r="AO13" s="289" t="n">
        <f aca="false">IF(AND(Projects!$G$10="Yes",Projects!$F$10="Yes",39&gt;=Projects!$C$10,39&lt;Projects!$C$10+Projects!$D$10),Projects!$B$10*(1-SUMPRODUCT((Curves!$B$4:$AO$4)*(COLUMN(Curves!$B$4:$AO$4)-COLUMN(Curves!$B$4)+1&lt;=39-Projects!$C$10+1))),0)</f>
        <v>0</v>
      </c>
      <c r="AP13" s="289" t="n">
        <f aca="false">IF(AND(Projects!$G$10="Yes",Projects!$F$10="Yes",40&gt;=Projects!$C$10,40&lt;Projects!$C$10+Projects!$D$10),Projects!$B$10*(1-SUMPRODUCT((Curves!$B$4:$AO$4)*(COLUMN(Curves!$B$4:$AO$4)-COLUMN(Curves!$B$4)+1&lt;=40-Projects!$C$10+1))),0)</f>
        <v>0</v>
      </c>
      <c r="AQ13" s="289" t="n">
        <f aca="false">IF(AND(Projects!$G$10="Yes",Projects!$F$10="Yes",41&gt;=Projects!$C$10,41&lt;Projects!$C$10+Projects!$D$10),Projects!$B$10*(1-SUMPRODUCT((Curves!$B$4:$AO$4)*(COLUMN(Curves!$B$4:$AO$4)-COLUMN(Curves!$B$4)+1&lt;=41-Projects!$C$10+1))),0)</f>
        <v>0</v>
      </c>
      <c r="AR13" s="289" t="n">
        <f aca="false">IF(AND(Projects!$G$10="Yes",Projects!$F$10="Yes",42&gt;=Projects!$C$10,42&lt;Projects!$C$10+Projects!$D$10),Projects!$B$10*(1-SUMPRODUCT((Curves!$B$4:$AO$4)*(COLUMN(Curves!$B$4:$AO$4)-COLUMN(Curves!$B$4)+1&lt;=42-Projects!$C$10+1))),0)</f>
        <v>0</v>
      </c>
      <c r="AS13" s="289" t="n">
        <f aca="false">IF(AND(Projects!$G$10="Yes",Projects!$F$10="Yes",43&gt;=Projects!$C$10,43&lt;Projects!$C$10+Projects!$D$10),Projects!$B$10*(1-SUMPRODUCT((Curves!$B$4:$AO$4)*(COLUMN(Curves!$B$4:$AO$4)-COLUMN(Curves!$B$4)+1&lt;=43-Projects!$C$10+1))),0)</f>
        <v>0</v>
      </c>
      <c r="AT13" s="289" t="n">
        <f aca="false">IF(AND(Projects!$G$10="Yes",Projects!$F$10="Yes",44&gt;=Projects!$C$10,44&lt;Projects!$C$10+Projects!$D$10),Projects!$B$10*(1-SUMPRODUCT((Curves!$B$4:$AO$4)*(COLUMN(Curves!$B$4:$AO$4)-COLUMN(Curves!$B$4)+1&lt;=44-Projects!$C$10+1))),0)</f>
        <v>0</v>
      </c>
      <c r="AU13" s="289" t="n">
        <f aca="false">IF(AND(Projects!$G$10="Yes",Projects!$F$10="Yes",45&gt;=Projects!$C$10,45&lt;Projects!$C$10+Projects!$D$10),Projects!$B$10*(1-SUMPRODUCT((Curves!$B$4:$AO$4)*(COLUMN(Curves!$B$4:$AO$4)-COLUMN(Curves!$B$4)+1&lt;=45-Projects!$C$10+1))),0)</f>
        <v>0</v>
      </c>
      <c r="AV13" s="289" t="n">
        <f aca="false">IF(AND(Projects!$G$10="Yes",Projects!$F$10="Yes",46&gt;=Projects!$C$10,46&lt;Projects!$C$10+Projects!$D$10),Projects!$B$10*(1-SUMPRODUCT((Curves!$B$4:$AO$4)*(COLUMN(Curves!$B$4:$AO$4)-COLUMN(Curves!$B$4)+1&lt;=46-Projects!$C$10+1))),0)</f>
        <v>0</v>
      </c>
      <c r="AW13" s="289" t="n">
        <f aca="false">IF(AND(Projects!$G$10="Yes",Projects!$F$10="Yes",47&gt;=Projects!$C$10,47&lt;Projects!$C$10+Projects!$D$10),Projects!$B$10*(1-SUMPRODUCT((Curves!$B$4:$AO$4)*(COLUMN(Curves!$B$4:$AO$4)-COLUMN(Curves!$B$4)+1&lt;=47-Projects!$C$10+1))),0)</f>
        <v>0</v>
      </c>
      <c r="AX13" s="289" t="n">
        <f aca="false">IF(AND(Projects!$G$10="Yes",Projects!$F$10="Yes",48&gt;=Projects!$C$10,48&lt;Projects!$C$10+Projects!$D$10),Projects!$B$10*(1-SUMPRODUCT((Curves!$B$4:$AO$4)*(COLUMN(Curves!$B$4:$AO$4)-COLUMN(Curves!$B$4)+1&lt;=48-Projects!$C$10+1))),0)</f>
        <v>0</v>
      </c>
      <c r="AY13" s="289" t="n">
        <f aca="false">IF(AND(Projects!$G$10="Yes",Projects!$F$10="Yes",49&gt;=Projects!$C$10,49&lt;Projects!$C$10+Projects!$D$10),Projects!$B$10*(1-SUMPRODUCT((Curves!$B$4:$AO$4)*(COLUMN(Curves!$B$4:$AO$4)-COLUMN(Curves!$B$4)+1&lt;=49-Projects!$C$10+1))),0)</f>
        <v>0</v>
      </c>
      <c r="AZ13" s="289" t="n">
        <f aca="false">IF(AND(Projects!$G$10="Yes",Projects!$F$10="Yes",50&gt;=Projects!$C$10,50&lt;Projects!$C$10+Projects!$D$10),Projects!$B$10*(1-SUMPRODUCT((Curves!$B$4:$AO$4)*(COLUMN(Curves!$B$4:$AO$4)-COLUMN(Curves!$B$4)+1&lt;=50-Projects!$C$10+1))),0)</f>
        <v>0</v>
      </c>
      <c r="BA13" s="289" t="n">
        <f aca="false">IF(AND(Projects!$G$10="Yes",Projects!$F$10="Yes",51&gt;=Projects!$C$10,51&lt;Projects!$C$10+Projects!$D$10),Projects!$B$10*(1-SUMPRODUCT((Curves!$B$4:$AO$4)*(COLUMN(Curves!$B$4:$AO$4)-COLUMN(Curves!$B$4)+1&lt;=51-Projects!$C$10+1))),0)</f>
        <v>0</v>
      </c>
      <c r="BB13" s="289" t="n">
        <f aca="false">IF(AND(Projects!$G$10="Yes",Projects!$F$10="Yes",52&gt;=Projects!$C$10,52&lt;Projects!$C$10+Projects!$D$10),Projects!$B$10*(1-SUMPRODUCT((Curves!$B$4:$AO$4)*(COLUMN(Curves!$B$4:$AO$4)-COLUMN(Curves!$B$4)+1&lt;=52-Projects!$C$10+1))),0)</f>
        <v>0</v>
      </c>
      <c r="BC13" s="289" t="n">
        <f aca="false">IF(AND(Projects!$G$10="Yes",Projects!$F$10="Yes",53&gt;=Projects!$C$10,53&lt;Projects!$C$10+Projects!$D$10),Projects!$B$10*(1-SUMPRODUCT((Curves!$B$4:$AO$4)*(COLUMN(Curves!$B$4:$AO$4)-COLUMN(Curves!$B$4)+1&lt;=53-Projects!$C$10+1))),0)</f>
        <v>0</v>
      </c>
      <c r="BD13" s="289" t="n">
        <f aca="false">IF(AND(Projects!$G$10="Yes",Projects!$F$10="Yes",54&gt;=Projects!$C$10,54&lt;Projects!$C$10+Projects!$D$10),Projects!$B$10*(1-SUMPRODUCT((Curves!$B$4:$AO$4)*(COLUMN(Curves!$B$4:$AO$4)-COLUMN(Curves!$B$4)+1&lt;=54-Projects!$C$10+1))),0)</f>
        <v>0</v>
      </c>
      <c r="BE13" s="289" t="n">
        <f aca="false">IF(AND(Projects!$G$10="Yes",Projects!$F$10="Yes",55&gt;=Projects!$C$10,55&lt;Projects!$C$10+Projects!$D$10),Projects!$B$10*(1-SUMPRODUCT((Curves!$B$4:$AO$4)*(COLUMN(Curves!$B$4:$AO$4)-COLUMN(Curves!$B$4)+1&lt;=55-Projects!$C$10+1))),0)</f>
        <v>0</v>
      </c>
      <c r="BF13" s="289" t="n">
        <f aca="false">IF(AND(Projects!$G$10="Yes",Projects!$F$10="Yes",56&gt;=Projects!$C$10,56&lt;Projects!$C$10+Projects!$D$10),Projects!$B$10*(1-SUMPRODUCT((Curves!$B$4:$AO$4)*(COLUMN(Curves!$B$4:$AO$4)-COLUMN(Curves!$B$4)+1&lt;=56-Projects!$C$10+1))),0)</f>
        <v>0</v>
      </c>
      <c r="BG13" s="289" t="n">
        <f aca="false">IF(AND(Projects!$G$10="Yes",Projects!$F$10="Yes",57&gt;=Projects!$C$10,57&lt;Projects!$C$10+Projects!$D$10),Projects!$B$10*(1-SUMPRODUCT((Curves!$B$4:$AO$4)*(COLUMN(Curves!$B$4:$AO$4)-COLUMN(Curves!$B$4)+1&lt;=57-Projects!$C$10+1))),0)</f>
        <v>0</v>
      </c>
      <c r="BH13" s="289" t="n">
        <f aca="false">IF(AND(Projects!$G$10="Yes",Projects!$F$10="Yes",58&gt;=Projects!$C$10,58&lt;Projects!$C$10+Projects!$D$10),Projects!$B$10*(1-SUMPRODUCT((Curves!$B$4:$AO$4)*(COLUMN(Curves!$B$4:$AO$4)-COLUMN(Curves!$B$4)+1&lt;=58-Projects!$C$10+1))),0)</f>
        <v>0</v>
      </c>
      <c r="BI13" s="289" t="n">
        <f aca="false">IF(AND(Projects!$G$10="Yes",Projects!$F$10="Yes",59&gt;=Projects!$C$10,59&lt;Projects!$C$10+Projects!$D$10),Projects!$B$10*(1-SUMPRODUCT((Curves!$B$4:$AO$4)*(COLUMN(Curves!$B$4:$AO$4)-COLUMN(Curves!$B$4)+1&lt;=59-Projects!$C$10+1))),0)</f>
        <v>0</v>
      </c>
      <c r="BJ13" s="289" t="n">
        <f aca="false">IF(AND(Projects!$G$10="Yes",Projects!$F$10="Yes",60&gt;=Projects!$C$10,60&lt;Projects!$C$10+Projects!$D$10),Projects!$B$10*(1-SUMPRODUCT((Curves!$B$4:$AO$4)*(COLUMN(Curves!$B$4:$AO$4)-COLUMN(Curves!$B$4)+1&lt;=60-Projects!$C$10+1))),0)</f>
        <v>0</v>
      </c>
      <c r="BK13" s="289" t="n">
        <f aca="false">IF(AND(Projects!$G$10="Yes",Projects!$F$10="Yes",61&gt;=Projects!$C$10,61&lt;Projects!$C$10+Projects!$D$10),Projects!$B$10*(1-SUMPRODUCT((Curves!$B$4:$AO$4)*(COLUMN(Curves!$B$4:$AO$4)-COLUMN(Curves!$B$4)+1&lt;=61-Projects!$C$10+1))),0)</f>
        <v>0</v>
      </c>
      <c r="BL13" s="289" t="n">
        <f aca="false">IF(AND(Projects!$G$10="Yes",Projects!$F$10="Yes",62&gt;=Projects!$C$10,62&lt;Projects!$C$10+Projects!$D$10),Projects!$B$10*(1-SUMPRODUCT((Curves!$B$4:$AO$4)*(COLUMN(Curves!$B$4:$AO$4)-COLUMN(Curves!$B$4)+1&lt;=62-Projects!$C$10+1))),0)</f>
        <v>0</v>
      </c>
      <c r="BM13" s="289" t="n">
        <f aca="false">IF(AND(Projects!$G$10="Yes",Projects!$F$10="Yes",63&gt;=Projects!$C$10,63&lt;Projects!$C$10+Projects!$D$10),Projects!$B$10*(1-SUMPRODUCT((Curves!$B$4:$AO$4)*(COLUMN(Curves!$B$4:$AO$4)-COLUMN(Curves!$B$4)+1&lt;=63-Projects!$C$10+1))),0)</f>
        <v>0</v>
      </c>
      <c r="BN13" s="289" t="n">
        <f aca="false">IF(AND(Projects!$G$10="Yes",Projects!$F$10="Yes",64&gt;=Projects!$C$10,64&lt;Projects!$C$10+Projects!$D$10),Projects!$B$10*(1-SUMPRODUCT((Curves!$B$4:$AO$4)*(COLUMN(Curves!$B$4:$AO$4)-COLUMN(Curves!$B$4)+1&lt;=64-Projects!$C$10+1))),0)</f>
        <v>0</v>
      </c>
      <c r="BO13" s="289" t="n">
        <f aca="false">IF(AND(Projects!$G$10="Yes",Projects!$F$10="Yes",65&gt;=Projects!$C$10,65&lt;Projects!$C$10+Projects!$D$10),Projects!$B$10*(1-SUMPRODUCT((Curves!$B$4:$AO$4)*(COLUMN(Curves!$B$4:$AO$4)-COLUMN(Curves!$B$4)+1&lt;=65-Projects!$C$10+1))),0)</f>
        <v>0</v>
      </c>
      <c r="BP13" s="289" t="n">
        <f aca="false">IF(AND(Projects!$G$10="Yes",Projects!$F$10="Yes",66&gt;=Projects!$C$10,66&lt;Projects!$C$10+Projects!$D$10),Projects!$B$10*(1-SUMPRODUCT((Curves!$B$4:$AO$4)*(COLUMN(Curves!$B$4:$AO$4)-COLUMN(Curves!$B$4)+1&lt;=66-Projects!$C$10+1))),0)</f>
        <v>0</v>
      </c>
      <c r="BQ13" s="289" t="n">
        <f aca="false">IF(AND(Projects!$G$10="Yes",Projects!$F$10="Yes",67&gt;=Projects!$C$10,67&lt;Projects!$C$10+Projects!$D$10),Projects!$B$10*(1-SUMPRODUCT((Curves!$B$4:$AO$4)*(COLUMN(Curves!$B$4:$AO$4)-COLUMN(Curves!$B$4)+1&lt;=67-Projects!$C$10+1))),0)</f>
        <v>0</v>
      </c>
      <c r="BR13" s="289" t="n">
        <f aca="false">IF(AND(Projects!$G$10="Yes",Projects!$F$10="Yes",68&gt;=Projects!$C$10,68&lt;Projects!$C$10+Projects!$D$10),Projects!$B$10*(1-SUMPRODUCT((Curves!$B$4:$AO$4)*(COLUMN(Curves!$B$4:$AO$4)-COLUMN(Curves!$B$4)+1&lt;=68-Projects!$C$10+1))),0)</f>
        <v>0</v>
      </c>
      <c r="BS13" s="289" t="n">
        <f aca="false">IF(AND(Projects!$G$10="Yes",Projects!$F$10="Yes",69&gt;=Projects!$C$10,69&lt;Projects!$C$10+Projects!$D$10),Projects!$B$10*(1-SUMPRODUCT((Curves!$B$4:$AO$4)*(COLUMN(Curves!$B$4:$AO$4)-COLUMN(Curves!$B$4)+1&lt;=69-Projects!$C$10+1))),0)</f>
        <v>0</v>
      </c>
      <c r="BT13" s="289" t="n">
        <f aca="false">IF(AND(Projects!$G$10="Yes",Projects!$F$10="Yes",70&gt;=Projects!$C$10,70&lt;Projects!$C$10+Projects!$D$10),Projects!$B$10*(1-SUMPRODUCT((Curves!$B$4:$AO$4)*(COLUMN(Curves!$B$4:$AO$4)-COLUMN(Curves!$B$4)+1&lt;=70-Projects!$C$10+1))),0)</f>
        <v>0</v>
      </c>
      <c r="BU13" s="289" t="n">
        <f aca="false">IF(AND(Projects!$G$10="Yes",Projects!$F$10="Yes",71&gt;=Projects!$C$10,71&lt;Projects!$C$10+Projects!$D$10),Projects!$B$10*(1-SUMPRODUCT((Curves!$B$4:$AO$4)*(COLUMN(Curves!$B$4:$AO$4)-COLUMN(Curves!$B$4)+1&lt;=71-Projects!$C$10+1))),0)</f>
        <v>0</v>
      </c>
      <c r="BV13" s="289" t="n">
        <f aca="false">IF(AND(Projects!$G$10="Yes",Projects!$F$10="Yes",72&gt;=Projects!$C$10,72&lt;Projects!$C$10+Projects!$D$10),Projects!$B$10*(1-SUMPRODUCT((Curves!$B$4:$AO$4)*(COLUMN(Curves!$B$4:$AO$4)-COLUMN(Curves!$B$4)+1&lt;=72-Projects!$C$10+1))),0)</f>
        <v>0</v>
      </c>
      <c r="BW13" s="289" t="n">
        <f aca="false">IF(AND(Projects!$G$10="Yes",Projects!$F$10="Yes",73&gt;=Projects!$C$10,73&lt;Projects!$C$10+Projects!$D$10),Projects!$B$10*(1-SUMPRODUCT((Curves!$B$4:$AO$4)*(COLUMN(Curves!$B$4:$AO$4)-COLUMN(Curves!$B$4)+1&lt;=73-Projects!$C$10+1))),0)</f>
        <v>0</v>
      </c>
      <c r="BX13" s="289" t="n">
        <f aca="false">IF(AND(Projects!$G$10="Yes",Projects!$F$10="Yes",74&gt;=Projects!$C$10,74&lt;Projects!$C$10+Projects!$D$10),Projects!$B$10*(1-SUMPRODUCT((Curves!$B$4:$AO$4)*(COLUMN(Curves!$B$4:$AO$4)-COLUMN(Curves!$B$4)+1&lt;=74-Projects!$C$10+1))),0)</f>
        <v>0</v>
      </c>
      <c r="BY13" s="289" t="n">
        <f aca="false">IF(AND(Projects!$G$10="Yes",Projects!$F$10="Yes",75&gt;=Projects!$C$10,75&lt;Projects!$C$10+Projects!$D$10),Projects!$B$10*(1-SUMPRODUCT((Curves!$B$4:$AO$4)*(COLUMN(Curves!$B$4:$AO$4)-COLUMN(Curves!$B$4)+1&lt;=75-Projects!$C$10+1))),0)</f>
        <v>0</v>
      </c>
      <c r="BZ13" s="289" t="n">
        <f aca="false">IF(AND(Projects!$G$10="Yes",Projects!$F$10="Yes",76&gt;=Projects!$C$10,76&lt;Projects!$C$10+Projects!$D$10),Projects!$B$10*(1-SUMPRODUCT((Curves!$B$4:$AO$4)*(COLUMN(Curves!$B$4:$AO$4)-COLUMN(Curves!$B$4)+1&lt;=76-Projects!$C$10+1))),0)</f>
        <v>0</v>
      </c>
      <c r="CA13" s="289" t="n">
        <f aca="false">IF(AND(Projects!$G$10="Yes",Projects!$F$10="Yes",77&gt;=Projects!$C$10,77&lt;Projects!$C$10+Projects!$D$10),Projects!$B$10*(1-SUMPRODUCT((Curves!$B$4:$AO$4)*(COLUMN(Curves!$B$4:$AO$4)-COLUMN(Curves!$B$4)+1&lt;=77-Projects!$C$10+1))),0)</f>
        <v>0</v>
      </c>
      <c r="CB13" s="289" t="n">
        <f aca="false">IF(AND(Projects!$G$10="Yes",Projects!$F$10="Yes",78&gt;=Projects!$C$10,78&lt;Projects!$C$10+Projects!$D$10),Projects!$B$10*(1-SUMPRODUCT((Curves!$B$4:$AO$4)*(COLUMN(Curves!$B$4:$AO$4)-COLUMN(Curves!$B$4)+1&lt;=78-Projects!$C$10+1))),0)</f>
        <v>0</v>
      </c>
      <c r="CC13" s="289" t="n">
        <f aca="false">IF(AND(Projects!$G$10="Yes",Projects!$F$10="Yes",79&gt;=Projects!$C$10,79&lt;Projects!$C$10+Projects!$D$10),Projects!$B$10*(1-SUMPRODUCT((Curves!$B$4:$AO$4)*(COLUMN(Curves!$B$4:$AO$4)-COLUMN(Curves!$B$4)+1&lt;=79-Projects!$C$10+1))),0)</f>
        <v>0</v>
      </c>
      <c r="CD13" s="289" t="n">
        <f aca="false">IF(AND(Projects!$G$10="Yes",Projects!$F$10="Yes",80&gt;=Projects!$C$10,80&lt;Projects!$C$10+Projects!$D$10),Projects!$B$10*(1-SUMPRODUCT((Curves!$B$4:$AO$4)*(COLUMN(Curves!$B$4:$AO$4)-COLUMN(Curves!$B$4)+1&lt;=80-Projects!$C$10+1))),0)</f>
        <v>0</v>
      </c>
      <c r="CE13" s="289" t="n">
        <f aca="false">IF(AND(Projects!$G$10="Yes",Projects!$F$10="Yes",81&gt;=Projects!$C$10,81&lt;Projects!$C$10+Projects!$D$10),Projects!$B$10*(1-SUMPRODUCT((Curves!$B$4:$AO$4)*(COLUMN(Curves!$B$4:$AO$4)-COLUMN(Curves!$B$4)+1&lt;=81-Projects!$C$10+1))),0)</f>
        <v>0</v>
      </c>
      <c r="CF13" s="289" t="n">
        <f aca="false">IF(AND(Projects!$G$10="Yes",Projects!$F$10="Yes",82&gt;=Projects!$C$10,82&lt;Projects!$C$10+Projects!$D$10),Projects!$B$10*(1-SUMPRODUCT((Curves!$B$4:$AO$4)*(COLUMN(Curves!$B$4:$AO$4)-COLUMN(Curves!$B$4)+1&lt;=82-Projects!$C$10+1))),0)</f>
        <v>0</v>
      </c>
      <c r="CG13" s="289" t="n">
        <f aca="false">IF(AND(Projects!$G$10="Yes",Projects!$F$10="Yes",83&gt;=Projects!$C$10,83&lt;Projects!$C$10+Projects!$D$10),Projects!$B$10*(1-SUMPRODUCT((Curves!$B$4:$AO$4)*(COLUMN(Curves!$B$4:$AO$4)-COLUMN(Curves!$B$4)+1&lt;=83-Projects!$C$10+1))),0)</f>
        <v>0</v>
      </c>
      <c r="CH13" s="289" t="n">
        <f aca="false">IF(AND(Projects!$G$10="Yes",Projects!$F$10="Yes",84&gt;=Projects!$C$10,84&lt;Projects!$C$10+Projects!$D$10),Projects!$B$10*(1-SUMPRODUCT((Curves!$B$4:$AO$4)*(COLUMN(Curves!$B$4:$AO$4)-COLUMN(Curves!$B$4)+1&lt;=84-Projects!$C$10+1))),0)</f>
        <v>0</v>
      </c>
      <c r="CI13" s="289" t="n">
        <f aca="false">IF(AND(Projects!$G$10="Yes",Projects!$F$10="Yes",85&gt;=Projects!$C$10,85&lt;Projects!$C$10+Projects!$D$10),Projects!$B$10*(1-SUMPRODUCT((Curves!$B$4:$AO$4)*(COLUMN(Curves!$B$4:$AO$4)-COLUMN(Curves!$B$4)+1&lt;=85-Projects!$C$10+1))),0)</f>
        <v>0</v>
      </c>
      <c r="CJ13" s="289" t="n">
        <f aca="false">IF(AND(Projects!$G$10="Yes",Projects!$F$10="Yes",86&gt;=Projects!$C$10,86&lt;Projects!$C$10+Projects!$D$10),Projects!$B$10*(1-SUMPRODUCT((Curves!$B$4:$AO$4)*(COLUMN(Curves!$B$4:$AO$4)-COLUMN(Curves!$B$4)+1&lt;=86-Projects!$C$10+1))),0)</f>
        <v>0</v>
      </c>
      <c r="CK13" s="289" t="n">
        <f aca="false">IF(AND(Projects!$G$10="Yes",Projects!$F$10="Yes",87&gt;=Projects!$C$10,87&lt;Projects!$C$10+Projects!$D$10),Projects!$B$10*(1-SUMPRODUCT((Curves!$B$4:$AO$4)*(COLUMN(Curves!$B$4:$AO$4)-COLUMN(Curves!$B$4)+1&lt;=87-Projects!$C$10+1))),0)</f>
        <v>0</v>
      </c>
      <c r="CL13" s="289" t="n">
        <f aca="false">IF(AND(Projects!$G$10="Yes",Projects!$F$10="Yes",88&gt;=Projects!$C$10,88&lt;Projects!$C$10+Projects!$D$10),Projects!$B$10*(1-SUMPRODUCT((Curves!$B$4:$AO$4)*(COLUMN(Curves!$B$4:$AO$4)-COLUMN(Curves!$B$4)+1&lt;=88-Projects!$C$10+1))),0)</f>
        <v>0</v>
      </c>
      <c r="CM13" s="289" t="n">
        <f aca="false">IF(AND(Projects!$G$10="Yes",Projects!$F$10="Yes",89&gt;=Projects!$C$10,89&lt;Projects!$C$10+Projects!$D$10),Projects!$B$10*(1-SUMPRODUCT((Curves!$B$4:$AO$4)*(COLUMN(Curves!$B$4:$AO$4)-COLUMN(Curves!$B$4)+1&lt;=89-Projects!$C$10+1))),0)</f>
        <v>0</v>
      </c>
      <c r="CN13" s="289" t="n">
        <f aca="false">IF(AND(Projects!$G$10="Yes",Projects!$F$10="Yes",90&gt;=Projects!$C$10,90&lt;Projects!$C$10+Projects!$D$10),Projects!$B$10*(1-SUMPRODUCT((Curves!$B$4:$AO$4)*(COLUMN(Curves!$B$4:$AO$4)-COLUMN(Curves!$B$4)+1&lt;=90-Projects!$C$10+1))),0)</f>
        <v>0</v>
      </c>
      <c r="CO13" s="289" t="n">
        <f aca="false">IF(AND(Projects!$G$10="Yes",Projects!$F$10="Yes",91&gt;=Projects!$C$10,91&lt;Projects!$C$10+Projects!$D$10),Projects!$B$10*(1-SUMPRODUCT((Curves!$B$4:$AO$4)*(COLUMN(Curves!$B$4:$AO$4)-COLUMN(Curves!$B$4)+1&lt;=91-Projects!$C$10+1))),0)</f>
        <v>0</v>
      </c>
      <c r="CP13" s="289" t="n">
        <f aca="false">IF(AND(Projects!$G$10="Yes",Projects!$F$10="Yes",92&gt;=Projects!$C$10,92&lt;Projects!$C$10+Projects!$D$10),Projects!$B$10*(1-SUMPRODUCT((Curves!$B$4:$AO$4)*(COLUMN(Curves!$B$4:$AO$4)-COLUMN(Curves!$B$4)+1&lt;=92-Projects!$C$10+1))),0)</f>
        <v>0</v>
      </c>
      <c r="CQ13" s="289"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7" t="s">
        <v>18</v>
      </c>
      <c r="C14" s="289" t="n">
        <f aca="false">IF(AND(Projects!$G$13="Yes",Projects!$F$13="Yes",1&gt;=Projects!$C$13,1&lt;Projects!$C$13+Projects!$D$13),Projects!$B$13*(1-SUMPRODUCT((Curves!$B$2:$AO$2)*(COLUMN(Curves!$B$2:$AO$2)-COLUMN(Curves!$B$2)+1&lt;=1-Projects!$C$13+1))),0)</f>
        <v>0</v>
      </c>
      <c r="D14" s="289" t="n">
        <f aca="false">IF(AND(Projects!$G$13="Yes",Projects!$F$13="Yes",2&gt;=Projects!$C$13,2&lt;Projects!$C$13+Projects!$D$13),Projects!$B$13*(1-SUMPRODUCT((Curves!$B$2:$AO$2)*(COLUMN(Curves!$B$2:$AO$2)-COLUMN(Curves!$B$2)+1&lt;=2-Projects!$C$13+1))),0)</f>
        <v>0</v>
      </c>
      <c r="E14" s="289" t="n">
        <f aca="false">IF(AND(Projects!$G$13="Yes",Projects!$F$13="Yes",3&gt;=Projects!$C$13,3&lt;Projects!$C$13+Projects!$D$13),Projects!$B$13*(1-SUMPRODUCT((Curves!$B$2:$AO$2)*(COLUMN(Curves!$B$2:$AO$2)-COLUMN(Curves!$B$2)+1&lt;=3-Projects!$C$13+1))),0)</f>
        <v>0</v>
      </c>
      <c r="F14" s="289" t="n">
        <f aca="false">IF(AND(Projects!$G$13="Yes",Projects!$F$13="Yes",4&gt;=Projects!$C$13,4&lt;Projects!$C$13+Projects!$D$13),Projects!$B$13*(1-SUMPRODUCT((Curves!$B$2:$AO$2)*(COLUMN(Curves!$B$2:$AO$2)-COLUMN(Curves!$B$2)+1&lt;=4-Projects!$C$13+1))),0)</f>
        <v>0</v>
      </c>
      <c r="G14" s="289" t="n">
        <f aca="false">IF(AND(Projects!$G$13="Yes",Projects!$F$13="Yes",5&gt;=Projects!$C$13,5&lt;Projects!$C$13+Projects!$D$13),Projects!$B$13*(1-SUMPRODUCT((Curves!$B$2:$AO$2)*(COLUMN(Curves!$B$2:$AO$2)-COLUMN(Curves!$B$2)+1&lt;=5-Projects!$C$13+1))),0)</f>
        <v>0</v>
      </c>
      <c r="H14" s="289" t="n">
        <f aca="false">IF(AND(Projects!$G$13="Yes",Projects!$F$13="Yes",6&gt;=Projects!$C$13,6&lt;Projects!$C$13+Projects!$D$13),Projects!$B$13*(1-SUMPRODUCT((Curves!$B$2:$AO$2)*(COLUMN(Curves!$B$2:$AO$2)-COLUMN(Curves!$B$2)+1&lt;=6-Projects!$C$13+1))),0)</f>
        <v>0</v>
      </c>
      <c r="I14" s="289" t="n">
        <f aca="false">IF(AND(Projects!$G$13="Yes",Projects!$F$13="Yes",7&gt;=Projects!$C$13,7&lt;Projects!$C$13+Projects!$D$13),Projects!$B$13*(1-SUMPRODUCT((Curves!$B$2:$AO$2)*(COLUMN(Curves!$B$2:$AO$2)-COLUMN(Curves!$B$2)+1&lt;=7-Projects!$C$13+1))),0)</f>
        <v>0</v>
      </c>
      <c r="J14" s="289" t="n">
        <f aca="false">IF(AND(Projects!$G$13="Yes",Projects!$F$13="Yes",8&gt;=Projects!$C$13,8&lt;Projects!$C$13+Projects!$D$13),Projects!$B$13*(1-SUMPRODUCT((Curves!$B$2:$AO$2)*(COLUMN(Curves!$B$2:$AO$2)-COLUMN(Curves!$B$2)+1&lt;=8-Projects!$C$13+1))),0)</f>
        <v>0</v>
      </c>
      <c r="K14" s="289" t="n">
        <f aca="false">IF(AND(Projects!$G$13="Yes",Projects!$F$13="Yes",9&gt;=Projects!$C$13,9&lt;Projects!$C$13+Projects!$D$13),Projects!$B$13*(1-SUMPRODUCT((Curves!$B$2:$AO$2)*(COLUMN(Curves!$B$2:$AO$2)-COLUMN(Curves!$B$2)+1&lt;=9-Projects!$C$13+1))),0)</f>
        <v>0</v>
      </c>
      <c r="L14" s="289" t="n">
        <f aca="false">IF(AND(Projects!$G$13="Yes",Projects!$F$13="Yes",10&gt;=Projects!$C$13,10&lt;Projects!$C$13+Projects!$D$13),Projects!$B$13*(1-SUMPRODUCT((Curves!$B$2:$AO$2)*(COLUMN(Curves!$B$2:$AO$2)-COLUMN(Curves!$B$2)+1&lt;=10-Projects!$C$13+1))),0)</f>
        <v>0</v>
      </c>
      <c r="M14" s="289" t="n">
        <f aca="false">IF(AND(Projects!$G$13="Yes",Projects!$F$13="Yes",11&gt;=Projects!$C$13,11&lt;Projects!$C$13+Projects!$D$13),Projects!$B$13*(1-SUMPRODUCT((Curves!$B$2:$AO$2)*(COLUMN(Curves!$B$2:$AO$2)-COLUMN(Curves!$B$2)+1&lt;=11-Projects!$C$13+1))),0)</f>
        <v>0</v>
      </c>
      <c r="N14" s="289" t="n">
        <f aca="false">IF(AND(Projects!$G$13="Yes",Projects!$F$13="Yes",12&gt;=Projects!$C$13,12&lt;Projects!$C$13+Projects!$D$13),Projects!$B$13*(1-SUMPRODUCT((Curves!$B$2:$AO$2)*(COLUMN(Curves!$B$2:$AO$2)-COLUMN(Curves!$B$2)+1&lt;=12-Projects!$C$13+1))),0)</f>
        <v>0</v>
      </c>
      <c r="O14" s="289" t="n">
        <f aca="false">IF(AND(Projects!$G$13="Yes",Projects!$F$13="Yes",13&gt;=Projects!$C$13,13&lt;Projects!$C$13+Projects!$D$13),Projects!$B$13*(1-SUMPRODUCT((Curves!$B$2:$AO$2)*(COLUMN(Curves!$B$2:$AO$2)-COLUMN(Curves!$B$2)+1&lt;=13-Projects!$C$13+1))),0)</f>
        <v>44537929.73623</v>
      </c>
      <c r="P14" s="289" t="n">
        <f aca="false">IF(AND(Projects!$G$13="Yes",Projects!$F$13="Yes",14&gt;=Projects!$C$13,14&lt;Projects!$C$13+Projects!$D$13),Projects!$B$13*(1-SUMPRODUCT((Curves!$B$2:$AO$2)*(COLUMN(Curves!$B$2:$AO$2)-COLUMN(Curves!$B$2)+1&lt;=14-Projects!$C$13+1))),0)</f>
        <v>43699679.68937</v>
      </c>
      <c r="Q14" s="289" t="n">
        <f aca="false">IF(AND(Projects!$G$13="Yes",Projects!$F$13="Yes",15&gt;=Projects!$C$13,15&lt;Projects!$C$13+Projects!$D$13),Projects!$B$13*(1-SUMPRODUCT((Curves!$B$2:$AO$2)*(COLUMN(Curves!$B$2:$AO$2)-COLUMN(Curves!$B$2)+1&lt;=15-Projects!$C$13+1))),0)</f>
        <v>42745139.31038</v>
      </c>
      <c r="R14" s="289" t="n">
        <f aca="false">IF(AND(Projects!$G$13="Yes",Projects!$F$13="Yes",16&gt;=Projects!$C$13,16&lt;Projects!$C$13+Projects!$D$13),Projects!$B$13*(1-SUMPRODUCT((Curves!$B$2:$AO$2)*(COLUMN(Curves!$B$2:$AO$2)-COLUMN(Curves!$B$2)+1&lt;=16-Projects!$C$13+1))),0)</f>
        <v>41669012.38717</v>
      </c>
      <c r="S14" s="289" t="n">
        <f aca="false">IF(AND(Projects!$G$13="Yes",Projects!$F$13="Yes",17&gt;=Projects!$C$13,17&lt;Projects!$C$13+Projects!$D$13),Projects!$B$13*(1-SUMPRODUCT((Curves!$B$2:$AO$2)*(COLUMN(Curves!$B$2:$AO$2)-COLUMN(Curves!$B$2)+1&lt;=17-Projects!$C$13+1))),0)</f>
        <v>40467858.64522</v>
      </c>
      <c r="T14" s="289" t="n">
        <f aca="false">IF(AND(Projects!$G$13="Yes",Projects!$F$13="Yes",18&gt;=Projects!$C$13,18&lt;Projects!$C$13+Projects!$D$13),Projects!$B$13*(1-SUMPRODUCT((Curves!$B$2:$AO$2)*(COLUMN(Curves!$B$2:$AO$2)-COLUMN(Curves!$B$2)+1&lt;=18-Projects!$C$13+1))),0)</f>
        <v>39140501.14851</v>
      </c>
      <c r="U14" s="289" t="n">
        <f aca="false">IF(AND(Projects!$G$13="Yes",Projects!$F$13="Yes",19&gt;=Projects!$C$13,19&lt;Projects!$C$13+Projects!$D$13),Projects!$B$13*(1-SUMPRODUCT((Curves!$B$2:$AO$2)*(COLUMN(Curves!$B$2:$AO$2)-COLUMN(Curves!$B$2)+1&lt;=19-Projects!$C$13+1))),0)</f>
        <v>37688252.63337</v>
      </c>
      <c r="V14" s="289" t="n">
        <f aca="false">IF(AND(Projects!$G$13="Yes",Projects!$F$13="Yes",20&gt;=Projects!$C$13,20&lt;Projects!$C$13+Projects!$D$13),Projects!$B$13*(1-SUMPRODUCT((Curves!$B$2:$AO$2)*(COLUMN(Curves!$B$2:$AO$2)-COLUMN(Curves!$B$2)+1&lt;=20-Projects!$C$13+1))),0)</f>
        <v>36115141.84233</v>
      </c>
      <c r="W14" s="289" t="n">
        <f aca="false">IF(AND(Projects!$G$13="Yes",Projects!$F$13="Yes",21&gt;=Projects!$C$13,21&lt;Projects!$C$13+Projects!$D$13),Projects!$B$13*(1-SUMPRODUCT((Curves!$B$2:$AO$2)*(COLUMN(Curves!$B$2:$AO$2)-COLUMN(Curves!$B$2)+1&lt;=21-Projects!$C$13+1))),0)</f>
        <v>34428094.5912</v>
      </c>
      <c r="X14" s="289" t="n">
        <f aca="false">IF(AND(Projects!$G$13="Yes",Projects!$F$13="Yes",22&gt;=Projects!$C$13,22&lt;Projects!$C$13+Projects!$D$13),Projects!$B$13*(1-SUMPRODUCT((Curves!$B$2:$AO$2)*(COLUMN(Curves!$B$2:$AO$2)-COLUMN(Curves!$B$2)+1&lt;=22-Projects!$C$13+1))),0)</f>
        <v>32636797.96876</v>
      </c>
      <c r="Y14" s="289" t="n">
        <f aca="false">IF(AND(Projects!$G$13="Yes",Projects!$F$13="Yes",23&gt;=Projects!$C$13,23&lt;Projects!$C$13+Projects!$D$13),Projects!$B$13*(1-SUMPRODUCT((Curves!$B$2:$AO$2)*(COLUMN(Curves!$B$2:$AO$2)-COLUMN(Curves!$B$2)+1&lt;=23-Projects!$C$13+1))),0)</f>
        <v>30753745.60353</v>
      </c>
      <c r="Z14" s="289" t="n">
        <f aca="false">IF(AND(Projects!$G$13="Yes",Projects!$F$13="Yes",24&gt;=Projects!$C$13,24&lt;Projects!$C$13+Projects!$D$13),Projects!$B$13*(1-SUMPRODUCT((Curves!$B$2:$AO$2)*(COLUMN(Curves!$B$2:$AO$2)-COLUMN(Curves!$B$2)+1&lt;=24-Projects!$C$13+1))),0)</f>
        <v>28793920.79638</v>
      </c>
      <c r="AA14" s="289" t="n">
        <f aca="false">IF(AND(Projects!$G$13="Yes",Projects!$F$13="Yes",25&gt;=Projects!$C$13,25&lt;Projects!$C$13+Projects!$D$13),Projects!$B$13*(1-SUMPRODUCT((Curves!$B$2:$AO$2)*(COLUMN(Curves!$B$2:$AO$2)-COLUMN(Curves!$B$2)+1&lt;=25-Projects!$C$13+1))),0)</f>
        <v>26774434.38637</v>
      </c>
      <c r="AB14" s="289" t="n">
        <f aca="false">IF(AND(Projects!$G$13="Yes",Projects!$F$13="Yes",26&gt;=Projects!$C$13,26&lt;Projects!$C$13+Projects!$D$13),Projects!$B$13*(1-SUMPRODUCT((Curves!$B$2:$AO$2)*(COLUMN(Curves!$B$2:$AO$2)-COLUMN(Curves!$B$2)+1&lt;=26-Projects!$C$13+1))),0)</f>
        <v>24714207.88336</v>
      </c>
      <c r="AC14" s="289" t="n">
        <f aca="false">IF(AND(Projects!$G$13="Yes",Projects!$F$13="Yes",27&gt;=Projects!$C$13,27&lt;Projects!$C$13+Projects!$D$13),Projects!$B$13*(1-SUMPRODUCT((Curves!$B$2:$AO$2)*(COLUMN(Curves!$B$2:$AO$2)-COLUMN(Curves!$B$2)+1&lt;=27-Projects!$C$13+1))),0)</f>
        <v>22633294.46646</v>
      </c>
      <c r="AD14" s="289" t="n">
        <f aca="false">IF(AND(Projects!$G$13="Yes",Projects!$F$13="Yes",28&gt;=Projects!$C$13,28&lt;Projects!$C$13+Projects!$D$13),Projects!$B$13*(1-SUMPRODUCT((Curves!$B$2:$AO$2)*(COLUMN(Curves!$B$2:$AO$2)-COLUMN(Curves!$B$2)+1&lt;=28-Projects!$C$13+1))),0)</f>
        <v>20552381.04956</v>
      </c>
      <c r="AE14" s="289" t="n">
        <f aca="false">IF(AND(Projects!$G$13="Yes",Projects!$F$13="Yes",29&gt;=Projects!$C$13,29&lt;Projects!$C$13+Projects!$D$13),Projects!$B$13*(1-SUMPRODUCT((Curves!$B$2:$AO$2)*(COLUMN(Curves!$B$2:$AO$2)-COLUMN(Curves!$B$2)+1&lt;=29-Projects!$C$13+1))),0)</f>
        <v>18492154.54655</v>
      </c>
      <c r="AF14" s="289" t="n">
        <f aca="false">IF(AND(Projects!$G$13="Yes",Projects!$F$13="Yes",30&gt;=Projects!$C$13,30&lt;Projects!$C$13+Projects!$D$13),Projects!$B$13*(1-SUMPRODUCT((Curves!$B$2:$AO$2)*(COLUMN(Curves!$B$2:$AO$2)-COLUMN(Curves!$B$2)+1&lt;=30-Projects!$C$13+1))),0)</f>
        <v>16472668.13654</v>
      </c>
      <c r="AG14" s="289" t="n">
        <f aca="false">IF(AND(Projects!$G$13="Yes",Projects!$F$13="Yes",31&gt;=Projects!$C$13,31&lt;Projects!$C$13+Projects!$D$13),Projects!$B$13*(1-SUMPRODUCT((Curves!$B$2:$AO$2)*(COLUMN(Curves!$B$2:$AO$2)-COLUMN(Curves!$B$2)+1&lt;=31-Projects!$C$13+1))),0)</f>
        <v>14512843.32939</v>
      </c>
      <c r="AH14" s="289" t="n">
        <f aca="false">IF(AND(Projects!$G$13="Yes",Projects!$F$13="Yes",32&gt;=Projects!$C$13,32&lt;Projects!$C$13+Projects!$D$13),Projects!$B$13*(1-SUMPRODUCT((Curves!$B$2:$AO$2)*(COLUMN(Curves!$B$2:$AO$2)-COLUMN(Curves!$B$2)+1&lt;=32-Projects!$C$13+1))),0)</f>
        <v>12629790.96416</v>
      </c>
      <c r="AI14" s="289" t="n">
        <f aca="false">IF(AND(Projects!$G$13="Yes",Projects!$F$13="Yes",33&gt;=Projects!$C$13,33&lt;Projects!$C$13+Projects!$D$13),Projects!$B$13*(1-SUMPRODUCT((Curves!$B$2:$AO$2)*(COLUMN(Curves!$B$2:$AO$2)-COLUMN(Curves!$B$2)+1&lt;=33-Projects!$C$13+1))),0)</f>
        <v>10838494.34172</v>
      </c>
      <c r="AJ14" s="289" t="n">
        <f aca="false">IF(AND(Projects!$G$13="Yes",Projects!$F$13="Yes",34&gt;=Projects!$C$13,34&lt;Projects!$C$13+Projects!$D$13),Projects!$B$13*(1-SUMPRODUCT((Curves!$B$2:$AO$2)*(COLUMN(Curves!$B$2:$AO$2)-COLUMN(Curves!$B$2)+1&lt;=34-Projects!$C$13+1))),0)</f>
        <v>9151447.09059</v>
      </c>
      <c r="AK14" s="289" t="n">
        <f aca="false">IF(AND(Projects!$G$13="Yes",Projects!$F$13="Yes",35&gt;=Projects!$C$13,35&lt;Projects!$C$13+Projects!$D$13),Projects!$B$13*(1-SUMPRODUCT((Curves!$B$2:$AO$2)*(COLUMN(Curves!$B$2:$AO$2)-COLUMN(Curves!$B$2)+1&lt;=35-Projects!$C$13+1))),0)</f>
        <v>7578336.29955</v>
      </c>
      <c r="AL14" s="289" t="n">
        <f aca="false">IF(AND(Projects!$G$13="Yes",Projects!$F$13="Yes",36&gt;=Projects!$C$13,36&lt;Projects!$C$13+Projects!$D$13),Projects!$B$13*(1-SUMPRODUCT((Curves!$B$2:$AO$2)*(COLUMN(Curves!$B$2:$AO$2)-COLUMN(Curves!$B$2)+1&lt;=36-Projects!$C$13+1))),0)</f>
        <v>6126087.78441</v>
      </c>
      <c r="AM14" s="289" t="n">
        <f aca="false">IF(AND(Projects!$G$13="Yes",Projects!$F$13="Yes",37&gt;=Projects!$C$13,37&lt;Projects!$C$13+Projects!$D$13),Projects!$B$13*(1-SUMPRODUCT((Curves!$B$2:$AO$2)*(COLUMN(Curves!$B$2:$AO$2)-COLUMN(Curves!$B$2)+1&lt;=37-Projects!$C$13+1))),0)</f>
        <v>4798730.2877</v>
      </c>
      <c r="AN14" s="289" t="n">
        <f aca="false">IF(AND(Projects!$G$13="Yes",Projects!$F$13="Yes",38&gt;=Projects!$C$13,38&lt;Projects!$C$13+Projects!$D$13),Projects!$B$13*(1-SUMPRODUCT((Curves!$B$2:$AO$2)*(COLUMN(Curves!$B$2:$AO$2)-COLUMN(Curves!$B$2)+1&lt;=38-Projects!$C$13+1))),0)</f>
        <v>3597576.54575</v>
      </c>
      <c r="AO14" s="289" t="n">
        <f aca="false">IF(AND(Projects!$G$13="Yes",Projects!$F$13="Yes",39&gt;=Projects!$C$13,39&lt;Projects!$C$13+Projects!$D$13),Projects!$B$13*(1-SUMPRODUCT((Curves!$B$2:$AO$2)*(COLUMN(Curves!$B$2:$AO$2)-COLUMN(Curves!$B$2)+1&lt;=39-Projects!$C$13+1))),0)</f>
        <v>2521449.62254</v>
      </c>
      <c r="AP14" s="289" t="n">
        <f aca="false">IF(AND(Projects!$G$13="Yes",Projects!$F$13="Yes",40&gt;=Projects!$C$13,40&lt;Projects!$C$13+Projects!$D$13),Projects!$B$13*(1-SUMPRODUCT((Curves!$B$2:$AO$2)*(COLUMN(Curves!$B$2:$AO$2)-COLUMN(Curves!$B$2)+1&lt;=40-Projects!$C$13+1))),0)</f>
        <v>1566909.24355</v>
      </c>
      <c r="AQ14" s="289" t="n">
        <f aca="false">IF(AND(Projects!$G$13="Yes",Projects!$F$13="Yes",41&gt;=Projects!$C$13,41&lt;Projects!$C$13+Projects!$D$13),Projects!$B$13*(1-SUMPRODUCT((Curves!$B$2:$AO$2)*(COLUMN(Curves!$B$2:$AO$2)-COLUMN(Curves!$B$2)+1&lt;=41-Projects!$C$13+1))),0)</f>
        <v>728659.196690001</v>
      </c>
      <c r="AR14" s="289" t="n">
        <f aca="false">IF(AND(Projects!$G$13="Yes",Projects!$F$13="Yes",42&gt;=Projects!$C$13,42&lt;Projects!$C$13+Projects!$D$13),Projects!$B$13*(1-SUMPRODUCT((Curves!$B$2:$AO$2)*(COLUMN(Curves!$B$2:$AO$2)-COLUMN(Curves!$B$2)+1&lt;=42-Projects!$C$13+1))),0)</f>
        <v>-181.067079995155</v>
      </c>
      <c r="AS14" s="289" t="n">
        <f aca="false">IF(AND(Projects!$G$13="Yes",Projects!$F$13="Yes",43&gt;=Projects!$C$13,43&lt;Projects!$C$13+Projects!$D$13),Projects!$B$13*(1-SUMPRODUCT((Curves!$B$2:$AO$2)*(COLUMN(Curves!$B$2:$AO$2)-COLUMN(Curves!$B$2)+1&lt;=43-Projects!$C$13+1))),0)</f>
        <v>0</v>
      </c>
      <c r="AT14" s="289" t="n">
        <f aca="false">IF(AND(Projects!$G$13="Yes",Projects!$F$13="Yes",44&gt;=Projects!$C$13,44&lt;Projects!$C$13+Projects!$D$13),Projects!$B$13*(1-SUMPRODUCT((Curves!$B$2:$AO$2)*(COLUMN(Curves!$B$2:$AO$2)-COLUMN(Curves!$B$2)+1&lt;=44-Projects!$C$13+1))),0)</f>
        <v>0</v>
      </c>
      <c r="AU14" s="289" t="n">
        <f aca="false">IF(AND(Projects!$G$13="Yes",Projects!$F$13="Yes",45&gt;=Projects!$C$13,45&lt;Projects!$C$13+Projects!$D$13),Projects!$B$13*(1-SUMPRODUCT((Curves!$B$2:$AO$2)*(COLUMN(Curves!$B$2:$AO$2)-COLUMN(Curves!$B$2)+1&lt;=45-Projects!$C$13+1))),0)</f>
        <v>0</v>
      </c>
      <c r="AV14" s="289" t="n">
        <f aca="false">IF(AND(Projects!$G$13="Yes",Projects!$F$13="Yes",46&gt;=Projects!$C$13,46&lt;Projects!$C$13+Projects!$D$13),Projects!$B$13*(1-SUMPRODUCT((Curves!$B$2:$AO$2)*(COLUMN(Curves!$B$2:$AO$2)-COLUMN(Curves!$B$2)+1&lt;=46-Projects!$C$13+1))),0)</f>
        <v>0</v>
      </c>
      <c r="AW14" s="289" t="n">
        <f aca="false">IF(AND(Projects!$G$13="Yes",Projects!$F$13="Yes",47&gt;=Projects!$C$13,47&lt;Projects!$C$13+Projects!$D$13),Projects!$B$13*(1-SUMPRODUCT((Curves!$B$2:$AO$2)*(COLUMN(Curves!$B$2:$AO$2)-COLUMN(Curves!$B$2)+1&lt;=47-Projects!$C$13+1))),0)</f>
        <v>0</v>
      </c>
      <c r="AX14" s="289" t="n">
        <f aca="false">IF(AND(Projects!$G$13="Yes",Projects!$F$13="Yes",48&gt;=Projects!$C$13,48&lt;Projects!$C$13+Projects!$D$13),Projects!$B$13*(1-SUMPRODUCT((Curves!$B$2:$AO$2)*(COLUMN(Curves!$B$2:$AO$2)-COLUMN(Curves!$B$2)+1&lt;=48-Projects!$C$13+1))),0)</f>
        <v>0</v>
      </c>
      <c r="AY14" s="289" t="n">
        <f aca="false">IF(AND(Projects!$G$13="Yes",Projects!$F$13="Yes",49&gt;=Projects!$C$13,49&lt;Projects!$C$13+Projects!$D$13),Projects!$B$13*(1-SUMPRODUCT((Curves!$B$2:$AO$2)*(COLUMN(Curves!$B$2:$AO$2)-COLUMN(Curves!$B$2)+1&lt;=49-Projects!$C$13+1))),0)</f>
        <v>0</v>
      </c>
      <c r="AZ14" s="289" t="n">
        <f aca="false">IF(AND(Projects!$G$13="Yes",Projects!$F$13="Yes",50&gt;=Projects!$C$13,50&lt;Projects!$C$13+Projects!$D$13),Projects!$B$13*(1-SUMPRODUCT((Curves!$B$2:$AO$2)*(COLUMN(Curves!$B$2:$AO$2)-COLUMN(Curves!$B$2)+1&lt;=50-Projects!$C$13+1))),0)</f>
        <v>0</v>
      </c>
      <c r="BA14" s="289" t="n">
        <f aca="false">IF(AND(Projects!$G$13="Yes",Projects!$F$13="Yes",51&gt;=Projects!$C$13,51&lt;Projects!$C$13+Projects!$D$13),Projects!$B$13*(1-SUMPRODUCT((Curves!$B$2:$AO$2)*(COLUMN(Curves!$B$2:$AO$2)-COLUMN(Curves!$B$2)+1&lt;=51-Projects!$C$13+1))),0)</f>
        <v>0</v>
      </c>
      <c r="BB14" s="289" t="n">
        <f aca="false">IF(AND(Projects!$G$13="Yes",Projects!$F$13="Yes",52&gt;=Projects!$C$13,52&lt;Projects!$C$13+Projects!$D$13),Projects!$B$13*(1-SUMPRODUCT((Curves!$B$2:$AO$2)*(COLUMN(Curves!$B$2:$AO$2)-COLUMN(Curves!$B$2)+1&lt;=52-Projects!$C$13+1))),0)</f>
        <v>0</v>
      </c>
      <c r="BC14" s="289" t="n">
        <f aca="false">IF(AND(Projects!$G$13="Yes",Projects!$F$13="Yes",53&gt;=Projects!$C$13,53&lt;Projects!$C$13+Projects!$D$13),Projects!$B$13*(1-SUMPRODUCT((Curves!$B$2:$AO$2)*(COLUMN(Curves!$B$2:$AO$2)-COLUMN(Curves!$B$2)+1&lt;=53-Projects!$C$13+1))),0)</f>
        <v>0</v>
      </c>
      <c r="BD14" s="289" t="n">
        <f aca="false">IF(AND(Projects!$G$13="Yes",Projects!$F$13="Yes",54&gt;=Projects!$C$13,54&lt;Projects!$C$13+Projects!$D$13),Projects!$B$13*(1-SUMPRODUCT((Curves!$B$2:$AO$2)*(COLUMN(Curves!$B$2:$AO$2)-COLUMN(Curves!$B$2)+1&lt;=54-Projects!$C$13+1))),0)</f>
        <v>0</v>
      </c>
      <c r="BE14" s="289" t="n">
        <f aca="false">IF(AND(Projects!$G$13="Yes",Projects!$F$13="Yes",55&gt;=Projects!$C$13,55&lt;Projects!$C$13+Projects!$D$13),Projects!$B$13*(1-SUMPRODUCT((Curves!$B$2:$AO$2)*(COLUMN(Curves!$B$2:$AO$2)-COLUMN(Curves!$B$2)+1&lt;=55-Projects!$C$13+1))),0)</f>
        <v>0</v>
      </c>
      <c r="BF14" s="289" t="n">
        <f aca="false">IF(AND(Projects!$G$13="Yes",Projects!$F$13="Yes",56&gt;=Projects!$C$13,56&lt;Projects!$C$13+Projects!$D$13),Projects!$B$13*(1-SUMPRODUCT((Curves!$B$2:$AO$2)*(COLUMN(Curves!$B$2:$AO$2)-COLUMN(Curves!$B$2)+1&lt;=56-Projects!$C$13+1))),0)</f>
        <v>0</v>
      </c>
      <c r="BG14" s="289" t="n">
        <f aca="false">IF(AND(Projects!$G$13="Yes",Projects!$F$13="Yes",57&gt;=Projects!$C$13,57&lt;Projects!$C$13+Projects!$D$13),Projects!$B$13*(1-SUMPRODUCT((Curves!$B$2:$AO$2)*(COLUMN(Curves!$B$2:$AO$2)-COLUMN(Curves!$B$2)+1&lt;=57-Projects!$C$13+1))),0)</f>
        <v>0</v>
      </c>
      <c r="BH14" s="289" t="n">
        <f aca="false">IF(AND(Projects!$G$13="Yes",Projects!$F$13="Yes",58&gt;=Projects!$C$13,58&lt;Projects!$C$13+Projects!$D$13),Projects!$B$13*(1-SUMPRODUCT((Curves!$B$2:$AO$2)*(COLUMN(Curves!$B$2:$AO$2)-COLUMN(Curves!$B$2)+1&lt;=58-Projects!$C$13+1))),0)</f>
        <v>0</v>
      </c>
      <c r="BI14" s="289" t="n">
        <f aca="false">IF(AND(Projects!$G$13="Yes",Projects!$F$13="Yes",59&gt;=Projects!$C$13,59&lt;Projects!$C$13+Projects!$D$13),Projects!$B$13*(1-SUMPRODUCT((Curves!$B$2:$AO$2)*(COLUMN(Curves!$B$2:$AO$2)-COLUMN(Curves!$B$2)+1&lt;=59-Projects!$C$13+1))),0)</f>
        <v>0</v>
      </c>
      <c r="BJ14" s="289" t="n">
        <f aca="false">IF(AND(Projects!$G$13="Yes",Projects!$F$13="Yes",60&gt;=Projects!$C$13,60&lt;Projects!$C$13+Projects!$D$13),Projects!$B$13*(1-SUMPRODUCT((Curves!$B$2:$AO$2)*(COLUMN(Curves!$B$2:$AO$2)-COLUMN(Curves!$B$2)+1&lt;=60-Projects!$C$13+1))),0)</f>
        <v>0</v>
      </c>
      <c r="BK14" s="289" t="n">
        <f aca="false">IF(AND(Projects!$G$13="Yes",Projects!$F$13="Yes",61&gt;=Projects!$C$13,61&lt;Projects!$C$13+Projects!$D$13),Projects!$B$13*(1-SUMPRODUCT((Curves!$B$2:$AO$2)*(COLUMN(Curves!$B$2:$AO$2)-COLUMN(Curves!$B$2)+1&lt;=61-Projects!$C$13+1))),0)</f>
        <v>0</v>
      </c>
      <c r="BL14" s="289" t="n">
        <f aca="false">IF(AND(Projects!$G$13="Yes",Projects!$F$13="Yes",62&gt;=Projects!$C$13,62&lt;Projects!$C$13+Projects!$D$13),Projects!$B$13*(1-SUMPRODUCT((Curves!$B$2:$AO$2)*(COLUMN(Curves!$B$2:$AO$2)-COLUMN(Curves!$B$2)+1&lt;=62-Projects!$C$13+1))),0)</f>
        <v>0</v>
      </c>
      <c r="BM14" s="289" t="n">
        <f aca="false">IF(AND(Projects!$G$13="Yes",Projects!$F$13="Yes",63&gt;=Projects!$C$13,63&lt;Projects!$C$13+Projects!$D$13),Projects!$B$13*(1-SUMPRODUCT((Curves!$B$2:$AO$2)*(COLUMN(Curves!$B$2:$AO$2)-COLUMN(Curves!$B$2)+1&lt;=63-Projects!$C$13+1))),0)</f>
        <v>0</v>
      </c>
      <c r="BN14" s="289" t="n">
        <f aca="false">IF(AND(Projects!$G$13="Yes",Projects!$F$13="Yes",64&gt;=Projects!$C$13,64&lt;Projects!$C$13+Projects!$D$13),Projects!$B$13*(1-SUMPRODUCT((Curves!$B$2:$AO$2)*(COLUMN(Curves!$B$2:$AO$2)-COLUMN(Curves!$B$2)+1&lt;=64-Projects!$C$13+1))),0)</f>
        <v>0</v>
      </c>
      <c r="BO14" s="289" t="n">
        <f aca="false">IF(AND(Projects!$G$13="Yes",Projects!$F$13="Yes",65&gt;=Projects!$C$13,65&lt;Projects!$C$13+Projects!$D$13),Projects!$B$13*(1-SUMPRODUCT((Curves!$B$2:$AO$2)*(COLUMN(Curves!$B$2:$AO$2)-COLUMN(Curves!$B$2)+1&lt;=65-Projects!$C$13+1))),0)</f>
        <v>0</v>
      </c>
      <c r="BP14" s="289" t="n">
        <f aca="false">IF(AND(Projects!$G$13="Yes",Projects!$F$13="Yes",66&gt;=Projects!$C$13,66&lt;Projects!$C$13+Projects!$D$13),Projects!$B$13*(1-SUMPRODUCT((Curves!$B$2:$AO$2)*(COLUMN(Curves!$B$2:$AO$2)-COLUMN(Curves!$B$2)+1&lt;=66-Projects!$C$13+1))),0)</f>
        <v>0</v>
      </c>
      <c r="BQ14" s="289" t="n">
        <f aca="false">IF(AND(Projects!$G$13="Yes",Projects!$F$13="Yes",67&gt;=Projects!$C$13,67&lt;Projects!$C$13+Projects!$D$13),Projects!$B$13*(1-SUMPRODUCT((Curves!$B$2:$AO$2)*(COLUMN(Curves!$B$2:$AO$2)-COLUMN(Curves!$B$2)+1&lt;=67-Projects!$C$13+1))),0)</f>
        <v>0</v>
      </c>
      <c r="BR14" s="289" t="n">
        <f aca="false">IF(AND(Projects!$G$13="Yes",Projects!$F$13="Yes",68&gt;=Projects!$C$13,68&lt;Projects!$C$13+Projects!$D$13),Projects!$B$13*(1-SUMPRODUCT((Curves!$B$2:$AO$2)*(COLUMN(Curves!$B$2:$AO$2)-COLUMN(Curves!$B$2)+1&lt;=68-Projects!$C$13+1))),0)</f>
        <v>0</v>
      </c>
      <c r="BS14" s="289" t="n">
        <f aca="false">IF(AND(Projects!$G$13="Yes",Projects!$F$13="Yes",69&gt;=Projects!$C$13,69&lt;Projects!$C$13+Projects!$D$13),Projects!$B$13*(1-SUMPRODUCT((Curves!$B$2:$AO$2)*(COLUMN(Curves!$B$2:$AO$2)-COLUMN(Curves!$B$2)+1&lt;=69-Projects!$C$13+1))),0)</f>
        <v>0</v>
      </c>
      <c r="BT14" s="289" t="n">
        <f aca="false">IF(AND(Projects!$G$13="Yes",Projects!$F$13="Yes",70&gt;=Projects!$C$13,70&lt;Projects!$C$13+Projects!$D$13),Projects!$B$13*(1-SUMPRODUCT((Curves!$B$2:$AO$2)*(COLUMN(Curves!$B$2:$AO$2)-COLUMN(Curves!$B$2)+1&lt;=70-Projects!$C$13+1))),0)</f>
        <v>0</v>
      </c>
      <c r="BU14" s="289" t="n">
        <f aca="false">IF(AND(Projects!$G$13="Yes",Projects!$F$13="Yes",71&gt;=Projects!$C$13,71&lt;Projects!$C$13+Projects!$D$13),Projects!$B$13*(1-SUMPRODUCT((Curves!$B$2:$AO$2)*(COLUMN(Curves!$B$2:$AO$2)-COLUMN(Curves!$B$2)+1&lt;=71-Projects!$C$13+1))),0)</f>
        <v>0</v>
      </c>
      <c r="BV14" s="289" t="n">
        <f aca="false">IF(AND(Projects!$G$13="Yes",Projects!$F$13="Yes",72&gt;=Projects!$C$13,72&lt;Projects!$C$13+Projects!$D$13),Projects!$B$13*(1-SUMPRODUCT((Curves!$B$2:$AO$2)*(COLUMN(Curves!$B$2:$AO$2)-COLUMN(Curves!$B$2)+1&lt;=72-Projects!$C$13+1))),0)</f>
        <v>0</v>
      </c>
      <c r="BW14" s="289" t="n">
        <f aca="false">IF(AND(Projects!$G$13="Yes",Projects!$F$13="Yes",73&gt;=Projects!$C$13,73&lt;Projects!$C$13+Projects!$D$13),Projects!$B$13*(1-SUMPRODUCT((Curves!$B$2:$AO$2)*(COLUMN(Curves!$B$2:$AO$2)-COLUMN(Curves!$B$2)+1&lt;=73-Projects!$C$13+1))),0)</f>
        <v>0</v>
      </c>
      <c r="BX14" s="289" t="n">
        <f aca="false">IF(AND(Projects!$G$13="Yes",Projects!$F$13="Yes",74&gt;=Projects!$C$13,74&lt;Projects!$C$13+Projects!$D$13),Projects!$B$13*(1-SUMPRODUCT((Curves!$B$2:$AO$2)*(COLUMN(Curves!$B$2:$AO$2)-COLUMN(Curves!$B$2)+1&lt;=74-Projects!$C$13+1))),0)</f>
        <v>0</v>
      </c>
      <c r="BY14" s="289" t="n">
        <f aca="false">IF(AND(Projects!$G$13="Yes",Projects!$F$13="Yes",75&gt;=Projects!$C$13,75&lt;Projects!$C$13+Projects!$D$13),Projects!$B$13*(1-SUMPRODUCT((Curves!$B$2:$AO$2)*(COLUMN(Curves!$B$2:$AO$2)-COLUMN(Curves!$B$2)+1&lt;=75-Projects!$C$13+1))),0)</f>
        <v>0</v>
      </c>
      <c r="BZ14" s="289" t="n">
        <f aca="false">IF(AND(Projects!$G$13="Yes",Projects!$F$13="Yes",76&gt;=Projects!$C$13,76&lt;Projects!$C$13+Projects!$D$13),Projects!$B$13*(1-SUMPRODUCT((Curves!$B$2:$AO$2)*(COLUMN(Curves!$B$2:$AO$2)-COLUMN(Curves!$B$2)+1&lt;=76-Projects!$C$13+1))),0)</f>
        <v>0</v>
      </c>
      <c r="CA14" s="289" t="n">
        <f aca="false">IF(AND(Projects!$G$13="Yes",Projects!$F$13="Yes",77&gt;=Projects!$C$13,77&lt;Projects!$C$13+Projects!$D$13),Projects!$B$13*(1-SUMPRODUCT((Curves!$B$2:$AO$2)*(COLUMN(Curves!$B$2:$AO$2)-COLUMN(Curves!$B$2)+1&lt;=77-Projects!$C$13+1))),0)</f>
        <v>0</v>
      </c>
      <c r="CB14" s="289" t="n">
        <f aca="false">IF(AND(Projects!$G$13="Yes",Projects!$F$13="Yes",78&gt;=Projects!$C$13,78&lt;Projects!$C$13+Projects!$D$13),Projects!$B$13*(1-SUMPRODUCT((Curves!$B$2:$AO$2)*(COLUMN(Curves!$B$2:$AO$2)-COLUMN(Curves!$B$2)+1&lt;=78-Projects!$C$13+1))),0)</f>
        <v>0</v>
      </c>
      <c r="CC14" s="289" t="n">
        <f aca="false">IF(AND(Projects!$G$13="Yes",Projects!$F$13="Yes",79&gt;=Projects!$C$13,79&lt;Projects!$C$13+Projects!$D$13),Projects!$B$13*(1-SUMPRODUCT((Curves!$B$2:$AO$2)*(COLUMN(Curves!$B$2:$AO$2)-COLUMN(Curves!$B$2)+1&lt;=79-Projects!$C$13+1))),0)</f>
        <v>0</v>
      </c>
      <c r="CD14" s="289" t="n">
        <f aca="false">IF(AND(Projects!$G$13="Yes",Projects!$F$13="Yes",80&gt;=Projects!$C$13,80&lt;Projects!$C$13+Projects!$D$13),Projects!$B$13*(1-SUMPRODUCT((Curves!$B$2:$AO$2)*(COLUMN(Curves!$B$2:$AO$2)-COLUMN(Curves!$B$2)+1&lt;=80-Projects!$C$13+1))),0)</f>
        <v>0</v>
      </c>
      <c r="CE14" s="289" t="n">
        <f aca="false">IF(AND(Projects!$G$13="Yes",Projects!$F$13="Yes",81&gt;=Projects!$C$13,81&lt;Projects!$C$13+Projects!$D$13),Projects!$B$13*(1-SUMPRODUCT((Curves!$B$2:$AO$2)*(COLUMN(Curves!$B$2:$AO$2)-COLUMN(Curves!$B$2)+1&lt;=81-Projects!$C$13+1))),0)</f>
        <v>0</v>
      </c>
      <c r="CF14" s="289" t="n">
        <f aca="false">IF(AND(Projects!$G$13="Yes",Projects!$F$13="Yes",82&gt;=Projects!$C$13,82&lt;Projects!$C$13+Projects!$D$13),Projects!$B$13*(1-SUMPRODUCT((Curves!$B$2:$AO$2)*(COLUMN(Curves!$B$2:$AO$2)-COLUMN(Curves!$B$2)+1&lt;=82-Projects!$C$13+1))),0)</f>
        <v>0</v>
      </c>
      <c r="CG14" s="289" t="n">
        <f aca="false">IF(AND(Projects!$G$13="Yes",Projects!$F$13="Yes",83&gt;=Projects!$C$13,83&lt;Projects!$C$13+Projects!$D$13),Projects!$B$13*(1-SUMPRODUCT((Curves!$B$2:$AO$2)*(COLUMN(Curves!$B$2:$AO$2)-COLUMN(Curves!$B$2)+1&lt;=83-Projects!$C$13+1))),0)</f>
        <v>0</v>
      </c>
      <c r="CH14" s="289" t="n">
        <f aca="false">IF(AND(Projects!$G$13="Yes",Projects!$F$13="Yes",84&gt;=Projects!$C$13,84&lt;Projects!$C$13+Projects!$D$13),Projects!$B$13*(1-SUMPRODUCT((Curves!$B$2:$AO$2)*(COLUMN(Curves!$B$2:$AO$2)-COLUMN(Curves!$B$2)+1&lt;=84-Projects!$C$13+1))),0)</f>
        <v>0</v>
      </c>
      <c r="CI14" s="289" t="n">
        <f aca="false">IF(AND(Projects!$G$13="Yes",Projects!$F$13="Yes",85&gt;=Projects!$C$13,85&lt;Projects!$C$13+Projects!$D$13),Projects!$B$13*(1-SUMPRODUCT((Curves!$B$2:$AO$2)*(COLUMN(Curves!$B$2:$AO$2)-COLUMN(Curves!$B$2)+1&lt;=85-Projects!$C$13+1))),0)</f>
        <v>0</v>
      </c>
      <c r="CJ14" s="289" t="n">
        <f aca="false">IF(AND(Projects!$G$13="Yes",Projects!$F$13="Yes",86&gt;=Projects!$C$13,86&lt;Projects!$C$13+Projects!$D$13),Projects!$B$13*(1-SUMPRODUCT((Curves!$B$2:$AO$2)*(COLUMN(Curves!$B$2:$AO$2)-COLUMN(Curves!$B$2)+1&lt;=86-Projects!$C$13+1))),0)</f>
        <v>0</v>
      </c>
      <c r="CK14" s="289" t="n">
        <f aca="false">IF(AND(Projects!$G$13="Yes",Projects!$F$13="Yes",87&gt;=Projects!$C$13,87&lt;Projects!$C$13+Projects!$D$13),Projects!$B$13*(1-SUMPRODUCT((Curves!$B$2:$AO$2)*(COLUMN(Curves!$B$2:$AO$2)-COLUMN(Curves!$B$2)+1&lt;=87-Projects!$C$13+1))),0)</f>
        <v>0</v>
      </c>
      <c r="CL14" s="289" t="n">
        <f aca="false">IF(AND(Projects!$G$13="Yes",Projects!$F$13="Yes",88&gt;=Projects!$C$13,88&lt;Projects!$C$13+Projects!$D$13),Projects!$B$13*(1-SUMPRODUCT((Curves!$B$2:$AO$2)*(COLUMN(Curves!$B$2:$AO$2)-COLUMN(Curves!$B$2)+1&lt;=88-Projects!$C$13+1))),0)</f>
        <v>0</v>
      </c>
      <c r="CM14" s="289" t="n">
        <f aca="false">IF(AND(Projects!$G$13="Yes",Projects!$F$13="Yes",89&gt;=Projects!$C$13,89&lt;Projects!$C$13+Projects!$D$13),Projects!$B$13*(1-SUMPRODUCT((Curves!$B$2:$AO$2)*(COLUMN(Curves!$B$2:$AO$2)-COLUMN(Curves!$B$2)+1&lt;=89-Projects!$C$13+1))),0)</f>
        <v>0</v>
      </c>
      <c r="CN14" s="289" t="n">
        <f aca="false">IF(AND(Projects!$G$13="Yes",Projects!$F$13="Yes",90&gt;=Projects!$C$13,90&lt;Projects!$C$13+Projects!$D$13),Projects!$B$13*(1-SUMPRODUCT((Curves!$B$2:$AO$2)*(COLUMN(Curves!$B$2:$AO$2)-COLUMN(Curves!$B$2)+1&lt;=90-Projects!$C$13+1))),0)</f>
        <v>0</v>
      </c>
      <c r="CO14" s="289" t="n">
        <f aca="false">IF(AND(Projects!$G$13="Yes",Projects!$F$13="Yes",91&gt;=Projects!$C$13,91&lt;Projects!$C$13+Projects!$D$13),Projects!$B$13*(1-SUMPRODUCT((Curves!$B$2:$AO$2)*(COLUMN(Curves!$B$2:$AO$2)-COLUMN(Curves!$B$2)+1&lt;=91-Projects!$C$13+1))),0)</f>
        <v>0</v>
      </c>
      <c r="CP14" s="289" t="n">
        <f aca="false">IF(AND(Projects!$G$13="Yes",Projects!$F$13="Yes",92&gt;=Projects!$C$13,92&lt;Projects!$C$13+Projects!$D$13),Projects!$B$13*(1-SUMPRODUCT((Curves!$B$2:$AO$2)*(COLUMN(Curves!$B$2:$AO$2)-COLUMN(Curves!$B$2)+1&lt;=92-Projects!$C$13+1))),0)</f>
        <v>0</v>
      </c>
      <c r="CQ14" s="289"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7" t="s">
        <v>19</v>
      </c>
      <c r="C15" s="289" t="n">
        <f aca="false">IF(AND(Projects!$G$14="Yes",Projects!$F$14="Yes",1&gt;=Projects!$C$14,1&lt;Projects!$C$14+Projects!$D$14),Projects!$B$14*(1-SUMPRODUCT((Curves!$B$2:$AO$2)*(COLUMN(Curves!$B$2:$AO$2)-COLUMN(Curves!$B$2)+1&lt;=1-Projects!$C$14+1))),0)</f>
        <v>0</v>
      </c>
      <c r="D15" s="289" t="n">
        <f aca="false">IF(AND(Projects!$G$14="Yes",Projects!$F$14="Yes",2&gt;=Projects!$C$14,2&lt;Projects!$C$14+Projects!$D$14),Projects!$B$14*(1-SUMPRODUCT((Curves!$B$2:$AO$2)*(COLUMN(Curves!$B$2:$AO$2)-COLUMN(Curves!$B$2)+1&lt;=2-Projects!$C$14+1))),0)</f>
        <v>0</v>
      </c>
      <c r="E15" s="289" t="n">
        <f aca="false">IF(AND(Projects!$G$14="Yes",Projects!$F$14="Yes",3&gt;=Projects!$C$14,3&lt;Projects!$C$14+Projects!$D$14),Projects!$B$14*(1-SUMPRODUCT((Curves!$B$2:$AO$2)*(COLUMN(Curves!$B$2:$AO$2)-COLUMN(Curves!$B$2)+1&lt;=3-Projects!$C$14+1))),0)</f>
        <v>0</v>
      </c>
      <c r="F15" s="289" t="n">
        <f aca="false">IF(AND(Projects!$G$14="Yes",Projects!$F$14="Yes",4&gt;=Projects!$C$14,4&lt;Projects!$C$14+Projects!$D$14),Projects!$B$14*(1-SUMPRODUCT((Curves!$B$2:$AO$2)*(COLUMN(Curves!$B$2:$AO$2)-COLUMN(Curves!$B$2)+1&lt;=4-Projects!$C$14+1))),0)</f>
        <v>0</v>
      </c>
      <c r="G15" s="289" t="n">
        <f aca="false">IF(AND(Projects!$G$14="Yes",Projects!$F$14="Yes",5&gt;=Projects!$C$14,5&lt;Projects!$C$14+Projects!$D$14),Projects!$B$14*(1-SUMPRODUCT((Curves!$B$2:$AO$2)*(COLUMN(Curves!$B$2:$AO$2)-COLUMN(Curves!$B$2)+1&lt;=5-Projects!$C$14+1))),0)</f>
        <v>0</v>
      </c>
      <c r="H15" s="289" t="n">
        <f aca="false">IF(AND(Projects!$G$14="Yes",Projects!$F$14="Yes",6&gt;=Projects!$C$14,6&lt;Projects!$C$14+Projects!$D$14),Projects!$B$14*(1-SUMPRODUCT((Curves!$B$2:$AO$2)*(COLUMN(Curves!$B$2:$AO$2)-COLUMN(Curves!$B$2)+1&lt;=6-Projects!$C$14+1))),0)</f>
        <v>0</v>
      </c>
      <c r="I15" s="289" t="n">
        <f aca="false">IF(AND(Projects!$G$14="Yes",Projects!$F$14="Yes",7&gt;=Projects!$C$14,7&lt;Projects!$C$14+Projects!$D$14),Projects!$B$14*(1-SUMPRODUCT((Curves!$B$2:$AO$2)*(COLUMN(Curves!$B$2:$AO$2)-COLUMN(Curves!$B$2)+1&lt;=7-Projects!$C$14+1))),0)</f>
        <v>0</v>
      </c>
      <c r="J15" s="289" t="n">
        <f aca="false">IF(AND(Projects!$G$14="Yes",Projects!$F$14="Yes",8&gt;=Projects!$C$14,8&lt;Projects!$C$14+Projects!$D$14),Projects!$B$14*(1-SUMPRODUCT((Curves!$B$2:$AO$2)*(COLUMN(Curves!$B$2:$AO$2)-COLUMN(Curves!$B$2)+1&lt;=8-Projects!$C$14+1))),0)</f>
        <v>0</v>
      </c>
      <c r="K15" s="289" t="n">
        <f aca="false">IF(AND(Projects!$G$14="Yes",Projects!$F$14="Yes",9&gt;=Projects!$C$14,9&lt;Projects!$C$14+Projects!$D$14),Projects!$B$14*(1-SUMPRODUCT((Curves!$B$2:$AO$2)*(COLUMN(Curves!$B$2:$AO$2)-COLUMN(Curves!$B$2)+1&lt;=9-Projects!$C$14+1))),0)</f>
        <v>0</v>
      </c>
      <c r="L15" s="289" t="n">
        <f aca="false">IF(AND(Projects!$G$14="Yes",Projects!$F$14="Yes",10&gt;=Projects!$C$14,10&lt;Projects!$C$14+Projects!$D$14),Projects!$B$14*(1-SUMPRODUCT((Curves!$B$2:$AO$2)*(COLUMN(Curves!$B$2:$AO$2)-COLUMN(Curves!$B$2)+1&lt;=10-Projects!$C$14+1))),0)</f>
        <v>0</v>
      </c>
      <c r="M15" s="289" t="n">
        <f aca="false">IF(AND(Projects!$G$14="Yes",Projects!$F$14="Yes",11&gt;=Projects!$C$14,11&lt;Projects!$C$14+Projects!$D$14),Projects!$B$14*(1-SUMPRODUCT((Curves!$B$2:$AO$2)*(COLUMN(Curves!$B$2:$AO$2)-COLUMN(Curves!$B$2)+1&lt;=11-Projects!$C$14+1))),0)</f>
        <v>0</v>
      </c>
      <c r="N15" s="289" t="n">
        <f aca="false">IF(AND(Projects!$G$14="Yes",Projects!$F$14="Yes",12&gt;=Projects!$C$14,12&lt;Projects!$C$14+Projects!$D$14),Projects!$B$14*(1-SUMPRODUCT((Curves!$B$2:$AO$2)*(COLUMN(Curves!$B$2:$AO$2)-COLUMN(Curves!$B$2)+1&lt;=12-Projects!$C$14+1))),0)</f>
        <v>0</v>
      </c>
      <c r="O15" s="289" t="n">
        <f aca="false">IF(AND(Projects!$G$14="Yes",Projects!$F$14="Yes",13&gt;=Projects!$C$14,13&lt;Projects!$C$14+Projects!$D$14),Projects!$B$14*(1-SUMPRODUCT((Curves!$B$2:$AO$2)*(COLUMN(Curves!$B$2:$AO$2)-COLUMN(Curves!$B$2)+1&lt;=13-Projects!$C$14+1))),0)</f>
        <v>0</v>
      </c>
      <c r="P15" s="289" t="n">
        <f aca="false">IF(AND(Projects!$G$14="Yes",Projects!$F$14="Yes",14&gt;=Projects!$C$14,14&lt;Projects!$C$14+Projects!$D$14),Projects!$B$14*(1-SUMPRODUCT((Curves!$B$2:$AO$2)*(COLUMN(Curves!$B$2:$AO$2)-COLUMN(Curves!$B$2)+1&lt;=14-Projects!$C$14+1))),0)</f>
        <v>0</v>
      </c>
      <c r="Q15" s="289" t="n">
        <f aca="false">IF(AND(Projects!$G$14="Yes",Projects!$F$14="Yes",15&gt;=Projects!$C$14,15&lt;Projects!$C$14+Projects!$D$14),Projects!$B$14*(1-SUMPRODUCT((Curves!$B$2:$AO$2)*(COLUMN(Curves!$B$2:$AO$2)-COLUMN(Curves!$B$2)+1&lt;=15-Projects!$C$14+1))),0)</f>
        <v>0</v>
      </c>
      <c r="R15" s="289" t="n">
        <f aca="false">IF(AND(Projects!$G$14="Yes",Projects!$F$14="Yes",16&gt;=Projects!$C$14,16&lt;Projects!$C$14+Projects!$D$14),Projects!$B$14*(1-SUMPRODUCT((Curves!$B$2:$AO$2)*(COLUMN(Curves!$B$2:$AO$2)-COLUMN(Curves!$B$2)+1&lt;=16-Projects!$C$14+1))),0)</f>
        <v>0</v>
      </c>
      <c r="S15" s="289" t="n">
        <f aca="false">IF(AND(Projects!$G$14="Yes",Projects!$F$14="Yes",17&gt;=Projects!$C$14,17&lt;Projects!$C$14+Projects!$D$14),Projects!$B$14*(1-SUMPRODUCT((Curves!$B$2:$AO$2)*(COLUMN(Curves!$B$2:$AO$2)-COLUMN(Curves!$B$2)+1&lt;=17-Projects!$C$14+1))),0)</f>
        <v>0</v>
      </c>
      <c r="T15" s="289" t="n">
        <f aca="false">IF(AND(Projects!$G$14="Yes",Projects!$F$14="Yes",18&gt;=Projects!$C$14,18&lt;Projects!$C$14+Projects!$D$14),Projects!$B$14*(1-SUMPRODUCT((Curves!$B$2:$AO$2)*(COLUMN(Curves!$B$2:$AO$2)-COLUMN(Curves!$B$2)+1&lt;=18-Projects!$C$14+1))),0)</f>
        <v>0</v>
      </c>
      <c r="U15" s="289" t="n">
        <f aca="false">IF(AND(Projects!$G$14="Yes",Projects!$F$14="Yes",19&gt;=Projects!$C$14,19&lt;Projects!$C$14+Projects!$D$14),Projects!$B$14*(1-SUMPRODUCT((Curves!$B$2:$AO$2)*(COLUMN(Curves!$B$2:$AO$2)-COLUMN(Curves!$B$2)+1&lt;=19-Projects!$C$14+1))),0)</f>
        <v>0</v>
      </c>
      <c r="V15" s="289" t="n">
        <f aca="false">IF(AND(Projects!$G$14="Yes",Projects!$F$14="Yes",20&gt;=Projects!$C$14,20&lt;Projects!$C$14+Projects!$D$14),Projects!$B$14*(1-SUMPRODUCT((Curves!$B$2:$AO$2)*(COLUMN(Curves!$B$2:$AO$2)-COLUMN(Curves!$B$2)+1&lt;=20-Projects!$C$14+1))),0)</f>
        <v>0</v>
      </c>
      <c r="W15" s="289" t="n">
        <f aca="false">IF(AND(Projects!$G$14="Yes",Projects!$F$14="Yes",21&gt;=Projects!$C$14,21&lt;Projects!$C$14+Projects!$D$14),Projects!$B$14*(1-SUMPRODUCT((Curves!$B$2:$AO$2)*(COLUMN(Curves!$B$2:$AO$2)-COLUMN(Curves!$B$2)+1&lt;=21-Projects!$C$14+1))),0)</f>
        <v>0</v>
      </c>
      <c r="X15" s="289" t="n">
        <f aca="false">IF(AND(Projects!$G$14="Yes",Projects!$F$14="Yes",22&gt;=Projects!$C$14,22&lt;Projects!$C$14+Projects!$D$14),Projects!$B$14*(1-SUMPRODUCT((Curves!$B$2:$AO$2)*(COLUMN(Curves!$B$2:$AO$2)-COLUMN(Curves!$B$2)+1&lt;=22-Projects!$C$14+1))),0)</f>
        <v>0</v>
      </c>
      <c r="Y15" s="289" t="n">
        <f aca="false">IF(AND(Projects!$G$14="Yes",Projects!$F$14="Yes",23&gt;=Projects!$C$14,23&lt;Projects!$C$14+Projects!$D$14),Projects!$B$14*(1-SUMPRODUCT((Curves!$B$2:$AO$2)*(COLUMN(Curves!$B$2:$AO$2)-COLUMN(Curves!$B$2)+1&lt;=23-Projects!$C$14+1))),0)</f>
        <v>0</v>
      </c>
      <c r="Z15" s="289" t="n">
        <f aca="false">IF(AND(Projects!$G$14="Yes",Projects!$F$14="Yes",24&gt;=Projects!$C$14,24&lt;Projects!$C$14+Projects!$D$14),Projects!$B$14*(1-SUMPRODUCT((Curves!$B$2:$AO$2)*(COLUMN(Curves!$B$2:$AO$2)-COLUMN(Curves!$B$2)+1&lt;=24-Projects!$C$14+1))),0)</f>
        <v>0</v>
      </c>
      <c r="AA15" s="289" t="n">
        <f aca="false">IF(AND(Projects!$G$14="Yes",Projects!$F$14="Yes",25&gt;=Projects!$C$14,25&lt;Projects!$C$14+Projects!$D$14),Projects!$B$14*(1-SUMPRODUCT((Curves!$B$2:$AO$2)*(COLUMN(Curves!$B$2:$AO$2)-COLUMN(Curves!$B$2)+1&lt;=25-Projects!$C$14+1))),0)</f>
        <v>0</v>
      </c>
      <c r="AB15" s="289" t="n">
        <f aca="false">IF(AND(Projects!$G$14="Yes",Projects!$F$14="Yes",26&gt;=Projects!$C$14,26&lt;Projects!$C$14+Projects!$D$14),Projects!$B$14*(1-SUMPRODUCT((Curves!$B$2:$AO$2)*(COLUMN(Curves!$B$2:$AO$2)-COLUMN(Curves!$B$2)+1&lt;=26-Projects!$C$14+1))),0)</f>
        <v>0</v>
      </c>
      <c r="AC15" s="289" t="n">
        <f aca="false">IF(AND(Projects!$G$14="Yes",Projects!$F$14="Yes",27&gt;=Projects!$C$14,27&lt;Projects!$C$14+Projects!$D$14),Projects!$B$14*(1-SUMPRODUCT((Curves!$B$2:$AO$2)*(COLUMN(Curves!$B$2:$AO$2)-COLUMN(Curves!$B$2)+1&lt;=27-Projects!$C$14+1))),0)</f>
        <v>40688781.070168</v>
      </c>
      <c r="AD15" s="289" t="n">
        <f aca="false">IF(AND(Projects!$G$14="Yes",Projects!$F$14="Yes",28&gt;=Projects!$C$14,28&lt;Projects!$C$14+Projects!$D$14),Projects!$B$14*(1-SUMPRODUCT((Curves!$B$2:$AO$2)*(COLUMN(Curves!$B$2:$AO$2)-COLUMN(Curves!$B$2)+1&lt;=28-Projects!$C$14+1))),0)</f>
        <v>39922975.994792</v>
      </c>
      <c r="AE15" s="289" t="n">
        <f aca="false">IF(AND(Projects!$G$14="Yes",Projects!$F$14="Yes",29&gt;=Projects!$C$14,29&lt;Projects!$C$14+Projects!$D$14),Projects!$B$14*(1-SUMPRODUCT((Curves!$B$2:$AO$2)*(COLUMN(Curves!$B$2:$AO$2)-COLUMN(Curves!$B$2)+1&lt;=29-Projects!$C$14+1))),0)</f>
        <v>39050930.869808</v>
      </c>
      <c r="AF15" s="289" t="n">
        <f aca="false">IF(AND(Projects!$G$14="Yes",Projects!$F$14="Yes",30&gt;=Projects!$C$14,30&lt;Projects!$C$14+Projects!$D$14),Projects!$B$14*(1-SUMPRODUCT((Curves!$B$2:$AO$2)*(COLUMN(Curves!$B$2:$AO$2)-COLUMN(Curves!$B$2)+1&lt;=30-Projects!$C$14+1))),0)</f>
        <v>38067807.203272</v>
      </c>
      <c r="AG15" s="289" t="n">
        <f aca="false">IF(AND(Projects!$G$14="Yes",Projects!$F$14="Yes",31&gt;=Projects!$C$14,31&lt;Projects!$C$14+Projects!$D$14),Projects!$B$14*(1-SUMPRODUCT((Curves!$B$2:$AO$2)*(COLUMN(Curves!$B$2:$AO$2)-COLUMN(Curves!$B$2)+1&lt;=31-Projects!$C$14+1))),0)</f>
        <v>36970462.043152</v>
      </c>
      <c r="AH15" s="289" t="n">
        <f aca="false">IF(AND(Projects!$G$14="Yes",Projects!$F$14="Yes",32&gt;=Projects!$C$14,32&lt;Projects!$C$14+Projects!$D$14),Projects!$B$14*(1-SUMPRODUCT((Curves!$B$2:$AO$2)*(COLUMN(Curves!$B$2:$AO$2)-COLUMN(Curves!$B$2)+1&lt;=32-Projects!$C$14+1))),0)</f>
        <v>35757820.169016</v>
      </c>
      <c r="AI15" s="289" t="n">
        <f aca="false">IF(AND(Projects!$G$14="Yes",Projects!$F$14="Yes",33&gt;=Projects!$C$14,33&lt;Projects!$C$14+Projects!$D$14),Projects!$B$14*(1-SUMPRODUCT((Curves!$B$2:$AO$2)*(COLUMN(Curves!$B$2:$AO$2)-COLUMN(Curves!$B$2)+1&lt;=33-Projects!$C$14+1))),0)</f>
        <v>34431080.865192</v>
      </c>
      <c r="AJ15" s="289" t="n">
        <f aca="false">IF(AND(Projects!$G$14="Yes",Projects!$F$14="Yes",34&gt;=Projects!$C$14,34&lt;Projects!$C$14+Projects!$D$14),Projects!$B$14*(1-SUMPRODUCT((Curves!$B$2:$AO$2)*(COLUMN(Curves!$B$2:$AO$2)-COLUMN(Curves!$B$2)+1&lt;=34-Projects!$C$14+1))),0)</f>
        <v>32993924.693928</v>
      </c>
      <c r="AK15" s="289" t="n">
        <f aca="false">IF(AND(Projects!$G$14="Yes",Projects!$F$14="Yes",35&gt;=Projects!$C$14,35&lt;Projects!$C$14+Projects!$D$14),Projects!$B$14*(1-SUMPRODUCT((Curves!$B$2:$AO$2)*(COLUMN(Curves!$B$2:$AO$2)-COLUMN(Curves!$B$2)+1&lt;=35-Projects!$C$14+1))),0)</f>
        <v>31452678.91392</v>
      </c>
      <c r="AL15" s="289" t="n">
        <f aca="false">IF(AND(Projects!$G$14="Yes",Projects!$F$14="Yes",36&gt;=Projects!$C$14,36&lt;Projects!$C$14+Projects!$D$14),Projects!$B$14*(1-SUMPRODUCT((Curves!$B$2:$AO$2)*(COLUMN(Curves!$B$2:$AO$2)-COLUMN(Curves!$B$2)+1&lt;=36-Projects!$C$14+1))),0)</f>
        <v>29816193.416416</v>
      </c>
      <c r="AM15" s="289" t="n">
        <f aca="false">IF(AND(Projects!$G$14="Yes",Projects!$F$14="Yes",37&gt;=Projects!$C$14,37&lt;Projects!$C$14+Projects!$D$14),Projects!$B$14*(1-SUMPRODUCT((Curves!$B$2:$AO$2)*(COLUMN(Curves!$B$2:$AO$2)-COLUMN(Curves!$B$2)+1&lt;=37-Projects!$C$14+1))),0)</f>
        <v>28095882.079848</v>
      </c>
      <c r="AN15" s="289" t="n">
        <f aca="false">IF(AND(Projects!$G$14="Yes",Projects!$F$14="Yes",38&gt;=Projects!$C$14,38&lt;Projects!$C$14+Projects!$D$14),Projects!$B$14*(1-SUMPRODUCT((Curves!$B$2:$AO$2)*(COLUMN(Curves!$B$2:$AO$2)-COLUMN(Curves!$B$2)+1&lt;=38-Projects!$C$14+1))),0)</f>
        <v>26305433.287408</v>
      </c>
      <c r="AO15" s="289" t="n">
        <f aca="false">IF(AND(Projects!$G$14="Yes",Projects!$F$14="Yes",39&gt;=Projects!$C$14,39&lt;Projects!$C$14+Projects!$D$14),Projects!$B$14*(1-SUMPRODUCT((Curves!$B$2:$AO$2)*(COLUMN(Curves!$B$2:$AO$2)-COLUMN(Curves!$B$2)+1&lt;=39-Projects!$C$14+1))),0)</f>
        <v>24460479.089992</v>
      </c>
      <c r="AP15" s="289" t="n">
        <f aca="false">IF(AND(Projects!$G$14="Yes",Projects!$F$14="Yes",40&gt;=Projects!$C$14,40&lt;Projects!$C$14+Projects!$D$14),Projects!$B$14*(1-SUMPRODUCT((Curves!$B$2:$AO$2)*(COLUMN(Curves!$B$2:$AO$2)-COLUMN(Curves!$B$2)+1&lt;=40-Projects!$C$14+1))),0)</f>
        <v>22578305.723776</v>
      </c>
      <c r="AQ15" s="289" t="n">
        <f aca="false">IF(AND(Projects!$G$14="Yes",Projects!$F$14="Yes",41&gt;=Projects!$C$14,41&lt;Projects!$C$14+Projects!$D$14),Projects!$B$14*(1-SUMPRODUCT((Curves!$B$2:$AO$2)*(COLUMN(Curves!$B$2:$AO$2)-COLUMN(Curves!$B$2)+1&lt;=41-Projects!$C$14+1))),0)</f>
        <v>20677233.290736</v>
      </c>
      <c r="AR15" s="289" t="n">
        <f aca="false">IF(AND(Projects!$G$14="Yes",Projects!$F$14="Yes",42&gt;=Projects!$C$14,42&lt;Projects!$C$14+Projects!$D$14),Projects!$B$14*(1-SUMPRODUCT((Curves!$B$2:$AO$2)*(COLUMN(Curves!$B$2:$AO$2)-COLUMN(Curves!$B$2)+1&lt;=42-Projects!$C$14+1))),0)</f>
        <v>18776160.857696</v>
      </c>
      <c r="AS15" s="289" t="n">
        <f aca="false">IF(AND(Projects!$G$14="Yes",Projects!$F$14="Yes",43&gt;=Projects!$C$14,43&lt;Projects!$C$14+Projects!$D$14),Projects!$B$14*(1-SUMPRODUCT((Curves!$B$2:$AO$2)*(COLUMN(Curves!$B$2:$AO$2)-COLUMN(Curves!$B$2)+1&lt;=43-Projects!$C$14+1))),0)</f>
        <v>16893987.49148</v>
      </c>
      <c r="AT15" s="289" t="n">
        <f aca="false">IF(AND(Projects!$G$14="Yes",Projects!$F$14="Yes",44&gt;=Projects!$C$14,44&lt;Projects!$C$14+Projects!$D$14),Projects!$B$14*(1-SUMPRODUCT((Curves!$B$2:$AO$2)*(COLUMN(Curves!$B$2:$AO$2)-COLUMN(Curves!$B$2)+1&lt;=44-Projects!$C$14+1))),0)</f>
        <v>15049033.294064</v>
      </c>
      <c r="AU15" s="289" t="n">
        <f aca="false">IF(AND(Projects!$G$14="Yes",Projects!$F$14="Yes",45&gt;=Projects!$C$14,45&lt;Projects!$C$14+Projects!$D$14),Projects!$B$14*(1-SUMPRODUCT((Curves!$B$2:$AO$2)*(COLUMN(Curves!$B$2:$AO$2)-COLUMN(Curves!$B$2)+1&lt;=45-Projects!$C$14+1))),0)</f>
        <v>13258584.501624</v>
      </c>
      <c r="AV15" s="289" t="n">
        <f aca="false">IF(AND(Projects!$G$14="Yes",Projects!$F$14="Yes",46&gt;=Projects!$C$14,46&lt;Projects!$C$14+Projects!$D$14),Projects!$B$14*(1-SUMPRODUCT((Curves!$B$2:$AO$2)*(COLUMN(Curves!$B$2:$AO$2)-COLUMN(Curves!$B$2)+1&lt;=46-Projects!$C$14+1))),0)</f>
        <v>11538273.165056</v>
      </c>
      <c r="AW15" s="289" t="n">
        <f aca="false">IF(AND(Projects!$G$14="Yes",Projects!$F$14="Yes",47&gt;=Projects!$C$14,47&lt;Projects!$C$14+Projects!$D$14),Projects!$B$14*(1-SUMPRODUCT((Curves!$B$2:$AO$2)*(COLUMN(Curves!$B$2:$AO$2)-COLUMN(Curves!$B$2)+1&lt;=47-Projects!$C$14+1))),0)</f>
        <v>9901787.667552</v>
      </c>
      <c r="AX15" s="289" t="n">
        <f aca="false">IF(AND(Projects!$G$14="Yes",Projects!$F$14="Yes",48&gt;=Projects!$C$14,48&lt;Projects!$C$14+Projects!$D$14),Projects!$B$14*(1-SUMPRODUCT((Curves!$B$2:$AO$2)*(COLUMN(Curves!$B$2:$AO$2)-COLUMN(Curves!$B$2)+1&lt;=48-Projects!$C$14+1))),0)</f>
        <v>8360541.887544</v>
      </c>
      <c r="AY15" s="289" t="n">
        <f aca="false">IF(AND(Projects!$G$14="Yes",Projects!$F$14="Yes",49&gt;=Projects!$C$14,49&lt;Projects!$C$14+Projects!$D$14),Projects!$B$14*(1-SUMPRODUCT((Curves!$B$2:$AO$2)*(COLUMN(Curves!$B$2:$AO$2)-COLUMN(Curves!$B$2)+1&lt;=49-Projects!$C$14+1))),0)</f>
        <v>6923385.71628</v>
      </c>
      <c r="AZ15" s="289" t="n">
        <f aca="false">IF(AND(Projects!$G$14="Yes",Projects!$F$14="Yes",50&gt;=Projects!$C$14,50&lt;Projects!$C$14+Projects!$D$14),Projects!$B$14*(1-SUMPRODUCT((Curves!$B$2:$AO$2)*(COLUMN(Curves!$B$2:$AO$2)-COLUMN(Curves!$B$2)+1&lt;=50-Projects!$C$14+1))),0)</f>
        <v>5596646.412456</v>
      </c>
      <c r="BA15" s="289" t="n">
        <f aca="false">IF(AND(Projects!$G$14="Yes",Projects!$F$14="Yes",51&gt;=Projects!$C$14,51&lt;Projects!$C$14+Projects!$D$14),Projects!$B$14*(1-SUMPRODUCT((Curves!$B$2:$AO$2)*(COLUMN(Curves!$B$2:$AO$2)-COLUMN(Curves!$B$2)+1&lt;=51-Projects!$C$14+1))),0)</f>
        <v>4384004.53832</v>
      </c>
      <c r="BB15" s="289" t="n">
        <f aca="false">IF(AND(Projects!$G$14="Yes",Projects!$F$14="Yes",52&gt;=Projects!$C$14,52&lt;Projects!$C$14+Projects!$D$14),Projects!$B$14*(1-SUMPRODUCT((Curves!$B$2:$AO$2)*(COLUMN(Curves!$B$2:$AO$2)-COLUMN(Curves!$B$2)+1&lt;=52-Projects!$C$14+1))),0)</f>
        <v>3286659.3782</v>
      </c>
      <c r="BC15" s="289" t="n">
        <f aca="false">IF(AND(Projects!$G$14="Yes",Projects!$F$14="Yes",53&gt;=Projects!$C$14,53&lt;Projects!$C$14+Projects!$D$14),Projects!$B$14*(1-SUMPRODUCT((Curves!$B$2:$AO$2)*(COLUMN(Curves!$B$2:$AO$2)-COLUMN(Curves!$B$2)+1&lt;=53-Projects!$C$14+1))),0)</f>
        <v>2303535.711664</v>
      </c>
      <c r="BD15" s="289" t="n">
        <f aca="false">IF(AND(Projects!$G$14="Yes",Projects!$F$14="Yes",54&gt;=Projects!$C$14,54&lt;Projects!$C$14+Projects!$D$14),Projects!$B$14*(1-SUMPRODUCT((Curves!$B$2:$AO$2)*(COLUMN(Curves!$B$2:$AO$2)-COLUMN(Curves!$B$2)+1&lt;=54-Projects!$C$14+1))),0)</f>
        <v>1431490.58668</v>
      </c>
      <c r="BE15" s="289" t="n">
        <f aca="false">IF(AND(Projects!$G$14="Yes",Projects!$F$14="Yes",55&gt;=Projects!$C$14,55&lt;Projects!$C$14+Projects!$D$14),Projects!$B$14*(1-SUMPRODUCT((Curves!$B$2:$AO$2)*(COLUMN(Curves!$B$2:$AO$2)-COLUMN(Curves!$B$2)+1&lt;=55-Projects!$C$14+1))),0)</f>
        <v>665685.511304001</v>
      </c>
      <c r="BF15" s="289" t="n">
        <f aca="false">IF(AND(Projects!$G$14="Yes",Projects!$F$14="Yes",56&gt;=Projects!$C$14,56&lt;Projects!$C$14+Projects!$D$14),Projects!$B$14*(1-SUMPRODUCT((Curves!$B$2:$AO$2)*(COLUMN(Curves!$B$2:$AO$2)-COLUMN(Curves!$B$2)+1&lt;=56-Projects!$C$14+1))),0)</f>
        <v>-165.418527995574</v>
      </c>
      <c r="BG15" s="289" t="n">
        <f aca="false">IF(AND(Projects!$G$14="Yes",Projects!$F$14="Yes",57&gt;=Projects!$C$14,57&lt;Projects!$C$14+Projects!$D$14),Projects!$B$14*(1-SUMPRODUCT((Curves!$B$2:$AO$2)*(COLUMN(Curves!$B$2:$AO$2)-COLUMN(Curves!$B$2)+1&lt;=57-Projects!$C$14+1))),0)</f>
        <v>0</v>
      </c>
      <c r="BH15" s="289" t="n">
        <f aca="false">IF(AND(Projects!$G$14="Yes",Projects!$F$14="Yes",58&gt;=Projects!$C$14,58&lt;Projects!$C$14+Projects!$D$14),Projects!$B$14*(1-SUMPRODUCT((Curves!$B$2:$AO$2)*(COLUMN(Curves!$B$2:$AO$2)-COLUMN(Curves!$B$2)+1&lt;=58-Projects!$C$14+1))),0)</f>
        <v>0</v>
      </c>
      <c r="BI15" s="289" t="n">
        <f aca="false">IF(AND(Projects!$G$14="Yes",Projects!$F$14="Yes",59&gt;=Projects!$C$14,59&lt;Projects!$C$14+Projects!$D$14),Projects!$B$14*(1-SUMPRODUCT((Curves!$B$2:$AO$2)*(COLUMN(Curves!$B$2:$AO$2)-COLUMN(Curves!$B$2)+1&lt;=59-Projects!$C$14+1))),0)</f>
        <v>0</v>
      </c>
      <c r="BJ15" s="289" t="n">
        <f aca="false">IF(AND(Projects!$G$14="Yes",Projects!$F$14="Yes",60&gt;=Projects!$C$14,60&lt;Projects!$C$14+Projects!$D$14),Projects!$B$14*(1-SUMPRODUCT((Curves!$B$2:$AO$2)*(COLUMN(Curves!$B$2:$AO$2)-COLUMN(Curves!$B$2)+1&lt;=60-Projects!$C$14+1))),0)</f>
        <v>0</v>
      </c>
      <c r="BK15" s="289" t="n">
        <f aca="false">IF(AND(Projects!$G$14="Yes",Projects!$F$14="Yes",61&gt;=Projects!$C$14,61&lt;Projects!$C$14+Projects!$D$14),Projects!$B$14*(1-SUMPRODUCT((Curves!$B$2:$AO$2)*(COLUMN(Curves!$B$2:$AO$2)-COLUMN(Curves!$B$2)+1&lt;=61-Projects!$C$14+1))),0)</f>
        <v>0</v>
      </c>
      <c r="BL15" s="289" t="n">
        <f aca="false">IF(AND(Projects!$G$14="Yes",Projects!$F$14="Yes",62&gt;=Projects!$C$14,62&lt;Projects!$C$14+Projects!$D$14),Projects!$B$14*(1-SUMPRODUCT((Curves!$B$2:$AO$2)*(COLUMN(Curves!$B$2:$AO$2)-COLUMN(Curves!$B$2)+1&lt;=62-Projects!$C$14+1))),0)</f>
        <v>0</v>
      </c>
      <c r="BM15" s="289" t="n">
        <f aca="false">IF(AND(Projects!$G$14="Yes",Projects!$F$14="Yes",63&gt;=Projects!$C$14,63&lt;Projects!$C$14+Projects!$D$14),Projects!$B$14*(1-SUMPRODUCT((Curves!$B$2:$AO$2)*(COLUMN(Curves!$B$2:$AO$2)-COLUMN(Curves!$B$2)+1&lt;=63-Projects!$C$14+1))),0)</f>
        <v>0</v>
      </c>
      <c r="BN15" s="289" t="n">
        <f aca="false">IF(AND(Projects!$G$14="Yes",Projects!$F$14="Yes",64&gt;=Projects!$C$14,64&lt;Projects!$C$14+Projects!$D$14),Projects!$B$14*(1-SUMPRODUCT((Curves!$B$2:$AO$2)*(COLUMN(Curves!$B$2:$AO$2)-COLUMN(Curves!$B$2)+1&lt;=64-Projects!$C$14+1))),0)</f>
        <v>0</v>
      </c>
      <c r="BO15" s="289" t="n">
        <f aca="false">IF(AND(Projects!$G$14="Yes",Projects!$F$14="Yes",65&gt;=Projects!$C$14,65&lt;Projects!$C$14+Projects!$D$14),Projects!$B$14*(1-SUMPRODUCT((Curves!$B$2:$AO$2)*(COLUMN(Curves!$B$2:$AO$2)-COLUMN(Curves!$B$2)+1&lt;=65-Projects!$C$14+1))),0)</f>
        <v>0</v>
      </c>
      <c r="BP15" s="289" t="n">
        <f aca="false">IF(AND(Projects!$G$14="Yes",Projects!$F$14="Yes",66&gt;=Projects!$C$14,66&lt;Projects!$C$14+Projects!$D$14),Projects!$B$14*(1-SUMPRODUCT((Curves!$B$2:$AO$2)*(COLUMN(Curves!$B$2:$AO$2)-COLUMN(Curves!$B$2)+1&lt;=66-Projects!$C$14+1))),0)</f>
        <v>0</v>
      </c>
      <c r="BQ15" s="289" t="n">
        <f aca="false">IF(AND(Projects!$G$14="Yes",Projects!$F$14="Yes",67&gt;=Projects!$C$14,67&lt;Projects!$C$14+Projects!$D$14),Projects!$B$14*(1-SUMPRODUCT((Curves!$B$2:$AO$2)*(COLUMN(Curves!$B$2:$AO$2)-COLUMN(Curves!$B$2)+1&lt;=67-Projects!$C$14+1))),0)</f>
        <v>0</v>
      </c>
      <c r="BR15" s="289" t="n">
        <f aca="false">IF(AND(Projects!$G$14="Yes",Projects!$F$14="Yes",68&gt;=Projects!$C$14,68&lt;Projects!$C$14+Projects!$D$14),Projects!$B$14*(1-SUMPRODUCT((Curves!$B$2:$AO$2)*(COLUMN(Curves!$B$2:$AO$2)-COLUMN(Curves!$B$2)+1&lt;=68-Projects!$C$14+1))),0)</f>
        <v>0</v>
      </c>
      <c r="BS15" s="289" t="n">
        <f aca="false">IF(AND(Projects!$G$14="Yes",Projects!$F$14="Yes",69&gt;=Projects!$C$14,69&lt;Projects!$C$14+Projects!$D$14),Projects!$B$14*(1-SUMPRODUCT((Curves!$B$2:$AO$2)*(COLUMN(Curves!$B$2:$AO$2)-COLUMN(Curves!$B$2)+1&lt;=69-Projects!$C$14+1))),0)</f>
        <v>0</v>
      </c>
      <c r="BT15" s="289" t="n">
        <f aca="false">IF(AND(Projects!$G$14="Yes",Projects!$F$14="Yes",70&gt;=Projects!$C$14,70&lt;Projects!$C$14+Projects!$D$14),Projects!$B$14*(1-SUMPRODUCT((Curves!$B$2:$AO$2)*(COLUMN(Curves!$B$2:$AO$2)-COLUMN(Curves!$B$2)+1&lt;=70-Projects!$C$14+1))),0)</f>
        <v>0</v>
      </c>
      <c r="BU15" s="289" t="n">
        <f aca="false">IF(AND(Projects!$G$14="Yes",Projects!$F$14="Yes",71&gt;=Projects!$C$14,71&lt;Projects!$C$14+Projects!$D$14),Projects!$B$14*(1-SUMPRODUCT((Curves!$B$2:$AO$2)*(COLUMN(Curves!$B$2:$AO$2)-COLUMN(Curves!$B$2)+1&lt;=71-Projects!$C$14+1))),0)</f>
        <v>0</v>
      </c>
      <c r="BV15" s="289" t="n">
        <f aca="false">IF(AND(Projects!$G$14="Yes",Projects!$F$14="Yes",72&gt;=Projects!$C$14,72&lt;Projects!$C$14+Projects!$D$14),Projects!$B$14*(1-SUMPRODUCT((Curves!$B$2:$AO$2)*(COLUMN(Curves!$B$2:$AO$2)-COLUMN(Curves!$B$2)+1&lt;=72-Projects!$C$14+1))),0)</f>
        <v>0</v>
      </c>
      <c r="BW15" s="289" t="n">
        <f aca="false">IF(AND(Projects!$G$14="Yes",Projects!$F$14="Yes",73&gt;=Projects!$C$14,73&lt;Projects!$C$14+Projects!$D$14),Projects!$B$14*(1-SUMPRODUCT((Curves!$B$2:$AO$2)*(COLUMN(Curves!$B$2:$AO$2)-COLUMN(Curves!$B$2)+1&lt;=73-Projects!$C$14+1))),0)</f>
        <v>0</v>
      </c>
      <c r="BX15" s="289" t="n">
        <f aca="false">IF(AND(Projects!$G$14="Yes",Projects!$F$14="Yes",74&gt;=Projects!$C$14,74&lt;Projects!$C$14+Projects!$D$14),Projects!$B$14*(1-SUMPRODUCT((Curves!$B$2:$AO$2)*(COLUMN(Curves!$B$2:$AO$2)-COLUMN(Curves!$B$2)+1&lt;=74-Projects!$C$14+1))),0)</f>
        <v>0</v>
      </c>
      <c r="BY15" s="289" t="n">
        <f aca="false">IF(AND(Projects!$G$14="Yes",Projects!$F$14="Yes",75&gt;=Projects!$C$14,75&lt;Projects!$C$14+Projects!$D$14),Projects!$B$14*(1-SUMPRODUCT((Curves!$B$2:$AO$2)*(COLUMN(Curves!$B$2:$AO$2)-COLUMN(Curves!$B$2)+1&lt;=75-Projects!$C$14+1))),0)</f>
        <v>0</v>
      </c>
      <c r="BZ15" s="289" t="n">
        <f aca="false">IF(AND(Projects!$G$14="Yes",Projects!$F$14="Yes",76&gt;=Projects!$C$14,76&lt;Projects!$C$14+Projects!$D$14),Projects!$B$14*(1-SUMPRODUCT((Curves!$B$2:$AO$2)*(COLUMN(Curves!$B$2:$AO$2)-COLUMN(Curves!$B$2)+1&lt;=76-Projects!$C$14+1))),0)</f>
        <v>0</v>
      </c>
      <c r="CA15" s="289" t="n">
        <f aca="false">IF(AND(Projects!$G$14="Yes",Projects!$F$14="Yes",77&gt;=Projects!$C$14,77&lt;Projects!$C$14+Projects!$D$14),Projects!$B$14*(1-SUMPRODUCT((Curves!$B$2:$AO$2)*(COLUMN(Curves!$B$2:$AO$2)-COLUMN(Curves!$B$2)+1&lt;=77-Projects!$C$14+1))),0)</f>
        <v>0</v>
      </c>
      <c r="CB15" s="289" t="n">
        <f aca="false">IF(AND(Projects!$G$14="Yes",Projects!$F$14="Yes",78&gt;=Projects!$C$14,78&lt;Projects!$C$14+Projects!$D$14),Projects!$B$14*(1-SUMPRODUCT((Curves!$B$2:$AO$2)*(COLUMN(Curves!$B$2:$AO$2)-COLUMN(Curves!$B$2)+1&lt;=78-Projects!$C$14+1))),0)</f>
        <v>0</v>
      </c>
      <c r="CC15" s="289" t="n">
        <f aca="false">IF(AND(Projects!$G$14="Yes",Projects!$F$14="Yes",79&gt;=Projects!$C$14,79&lt;Projects!$C$14+Projects!$D$14),Projects!$B$14*(1-SUMPRODUCT((Curves!$B$2:$AO$2)*(COLUMN(Curves!$B$2:$AO$2)-COLUMN(Curves!$B$2)+1&lt;=79-Projects!$C$14+1))),0)</f>
        <v>0</v>
      </c>
      <c r="CD15" s="289" t="n">
        <f aca="false">IF(AND(Projects!$G$14="Yes",Projects!$F$14="Yes",80&gt;=Projects!$C$14,80&lt;Projects!$C$14+Projects!$D$14),Projects!$B$14*(1-SUMPRODUCT((Curves!$B$2:$AO$2)*(COLUMN(Curves!$B$2:$AO$2)-COLUMN(Curves!$B$2)+1&lt;=80-Projects!$C$14+1))),0)</f>
        <v>0</v>
      </c>
      <c r="CE15" s="289" t="n">
        <f aca="false">IF(AND(Projects!$G$14="Yes",Projects!$F$14="Yes",81&gt;=Projects!$C$14,81&lt;Projects!$C$14+Projects!$D$14),Projects!$B$14*(1-SUMPRODUCT((Curves!$B$2:$AO$2)*(COLUMN(Curves!$B$2:$AO$2)-COLUMN(Curves!$B$2)+1&lt;=81-Projects!$C$14+1))),0)</f>
        <v>0</v>
      </c>
      <c r="CF15" s="289" t="n">
        <f aca="false">IF(AND(Projects!$G$14="Yes",Projects!$F$14="Yes",82&gt;=Projects!$C$14,82&lt;Projects!$C$14+Projects!$D$14),Projects!$B$14*(1-SUMPRODUCT((Curves!$B$2:$AO$2)*(COLUMN(Curves!$B$2:$AO$2)-COLUMN(Curves!$B$2)+1&lt;=82-Projects!$C$14+1))),0)</f>
        <v>0</v>
      </c>
      <c r="CG15" s="289" t="n">
        <f aca="false">IF(AND(Projects!$G$14="Yes",Projects!$F$14="Yes",83&gt;=Projects!$C$14,83&lt;Projects!$C$14+Projects!$D$14),Projects!$B$14*(1-SUMPRODUCT((Curves!$B$2:$AO$2)*(COLUMN(Curves!$B$2:$AO$2)-COLUMN(Curves!$B$2)+1&lt;=83-Projects!$C$14+1))),0)</f>
        <v>0</v>
      </c>
      <c r="CH15" s="289" t="n">
        <f aca="false">IF(AND(Projects!$G$14="Yes",Projects!$F$14="Yes",84&gt;=Projects!$C$14,84&lt;Projects!$C$14+Projects!$D$14),Projects!$B$14*(1-SUMPRODUCT((Curves!$B$2:$AO$2)*(COLUMN(Curves!$B$2:$AO$2)-COLUMN(Curves!$B$2)+1&lt;=84-Projects!$C$14+1))),0)</f>
        <v>0</v>
      </c>
      <c r="CI15" s="289" t="n">
        <f aca="false">IF(AND(Projects!$G$14="Yes",Projects!$F$14="Yes",85&gt;=Projects!$C$14,85&lt;Projects!$C$14+Projects!$D$14),Projects!$B$14*(1-SUMPRODUCT((Curves!$B$2:$AO$2)*(COLUMN(Curves!$B$2:$AO$2)-COLUMN(Curves!$B$2)+1&lt;=85-Projects!$C$14+1))),0)</f>
        <v>0</v>
      </c>
      <c r="CJ15" s="289" t="n">
        <f aca="false">IF(AND(Projects!$G$14="Yes",Projects!$F$14="Yes",86&gt;=Projects!$C$14,86&lt;Projects!$C$14+Projects!$D$14),Projects!$B$14*(1-SUMPRODUCT((Curves!$B$2:$AO$2)*(COLUMN(Curves!$B$2:$AO$2)-COLUMN(Curves!$B$2)+1&lt;=86-Projects!$C$14+1))),0)</f>
        <v>0</v>
      </c>
      <c r="CK15" s="289" t="n">
        <f aca="false">IF(AND(Projects!$G$14="Yes",Projects!$F$14="Yes",87&gt;=Projects!$C$14,87&lt;Projects!$C$14+Projects!$D$14),Projects!$B$14*(1-SUMPRODUCT((Curves!$B$2:$AO$2)*(COLUMN(Curves!$B$2:$AO$2)-COLUMN(Curves!$B$2)+1&lt;=87-Projects!$C$14+1))),0)</f>
        <v>0</v>
      </c>
      <c r="CL15" s="289" t="n">
        <f aca="false">IF(AND(Projects!$G$14="Yes",Projects!$F$14="Yes",88&gt;=Projects!$C$14,88&lt;Projects!$C$14+Projects!$D$14),Projects!$B$14*(1-SUMPRODUCT((Curves!$B$2:$AO$2)*(COLUMN(Curves!$B$2:$AO$2)-COLUMN(Curves!$B$2)+1&lt;=88-Projects!$C$14+1))),0)</f>
        <v>0</v>
      </c>
      <c r="CM15" s="289" t="n">
        <f aca="false">IF(AND(Projects!$G$14="Yes",Projects!$F$14="Yes",89&gt;=Projects!$C$14,89&lt;Projects!$C$14+Projects!$D$14),Projects!$B$14*(1-SUMPRODUCT((Curves!$B$2:$AO$2)*(COLUMN(Curves!$B$2:$AO$2)-COLUMN(Curves!$B$2)+1&lt;=89-Projects!$C$14+1))),0)</f>
        <v>0</v>
      </c>
      <c r="CN15" s="289" t="n">
        <f aca="false">IF(AND(Projects!$G$14="Yes",Projects!$F$14="Yes",90&gt;=Projects!$C$14,90&lt;Projects!$C$14+Projects!$D$14),Projects!$B$14*(1-SUMPRODUCT((Curves!$B$2:$AO$2)*(COLUMN(Curves!$B$2:$AO$2)-COLUMN(Curves!$B$2)+1&lt;=90-Projects!$C$14+1))),0)</f>
        <v>0</v>
      </c>
      <c r="CO15" s="289" t="n">
        <f aca="false">IF(AND(Projects!$G$14="Yes",Projects!$F$14="Yes",91&gt;=Projects!$C$14,91&lt;Projects!$C$14+Projects!$D$14),Projects!$B$14*(1-SUMPRODUCT((Curves!$B$2:$AO$2)*(COLUMN(Curves!$B$2:$AO$2)-COLUMN(Curves!$B$2)+1&lt;=91-Projects!$C$14+1))),0)</f>
        <v>0</v>
      </c>
      <c r="CP15" s="289" t="n">
        <f aca="false">IF(AND(Projects!$G$14="Yes",Projects!$F$14="Yes",92&gt;=Projects!$C$14,92&lt;Projects!$C$14+Projects!$D$14),Projects!$B$14*(1-SUMPRODUCT((Curves!$B$2:$AO$2)*(COLUMN(Curves!$B$2:$AO$2)-COLUMN(Curves!$B$2)+1&lt;=92-Projects!$C$14+1))),0)</f>
        <v>0</v>
      </c>
      <c r="CQ15" s="289"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176</v>
      </c>
      <c r="C16" s="307" t="n">
        <f aca="false">SUM(C8:C15)</f>
        <v>24716840.35</v>
      </c>
      <c r="D16" s="307" t="n">
        <f aca="false">SUM(D8:D15)</f>
        <v>22881539.17</v>
      </c>
      <c r="E16" s="307" t="n">
        <f aca="false">SUM(E8:E15)</f>
        <v>20879271.91</v>
      </c>
      <c r="F16" s="307" t="n">
        <f aca="false">SUM(F8:F15)</f>
        <v>18748519.38</v>
      </c>
      <c r="G16" s="307" t="n">
        <f aca="false">SUM(G8:G15)</f>
        <v>72424528.6691092</v>
      </c>
      <c r="H16" s="307" t="n">
        <f aca="false">SUM(H8:H15)</f>
        <v>82574509.2435969</v>
      </c>
      <c r="I16" s="307" t="n">
        <f aca="false">SUM(I8:I15)</f>
        <v>79199788.5696833</v>
      </c>
      <c r="J16" s="307" t="n">
        <f aca="false">SUM(J8:J15)</f>
        <v>76252151.8859288</v>
      </c>
      <c r="K16" s="307" t="n">
        <f aca="false">SUM(K8:K15)</f>
        <v>93841157.4299332</v>
      </c>
      <c r="L16" s="307" t="n">
        <f aca="false">SUM(L8:L15)</f>
        <v>89898626.9272109</v>
      </c>
      <c r="M16" s="307" t="n">
        <f aca="false">SUM(M8:M15)</f>
        <v>85937639.1724672</v>
      </c>
      <c r="N16" s="307" t="n">
        <f aca="false">SUM(N8:N15)</f>
        <v>81571690.8249268</v>
      </c>
      <c r="O16" s="307" t="n">
        <f aca="false">SUM(O8:O15)</f>
        <v>121727922.918202</v>
      </c>
      <c r="P16" s="307" t="n">
        <f aca="false">SUM(P8:P15)</f>
        <v>116359160.773936</v>
      </c>
      <c r="Q16" s="307" t="n">
        <f aca="false">SUM(Q8:Q15)</f>
        <v>110505183.81768</v>
      </c>
      <c r="R16" s="307" t="n">
        <f aca="false">SUM(R8:R15)</f>
        <v>103827337.409146</v>
      </c>
      <c r="S16" s="307" t="n">
        <f aca="false">SUM(S8:S15)</f>
        <v>97864629.2467563</v>
      </c>
      <c r="T16" s="307" t="n">
        <f aca="false">SUM(T8:T15)</f>
        <v>90586780.036997</v>
      </c>
      <c r="U16" s="307" t="n">
        <f aca="false">SUM(U8:U15)</f>
        <v>84468618.3098729</v>
      </c>
      <c r="V16" s="307" t="n">
        <f aca="false">SUM(V8:V15)</f>
        <v>76905288.679408</v>
      </c>
      <c r="W16" s="307" t="n">
        <f aca="false">SUM(W8:W15)</f>
        <v>70756461.80122</v>
      </c>
      <c r="X16" s="307" t="n">
        <f aca="false">SUM(X8:X15)</f>
        <v>63671060.2975435</v>
      </c>
      <c r="Y16" s="307" t="n">
        <f aca="false">SUM(Y8:Y15)</f>
        <v>57208591.0652635</v>
      </c>
      <c r="Z16" s="307" t="n">
        <f aca="false">SUM(Z8:Z15)</f>
        <v>47683777.55418</v>
      </c>
      <c r="AA16" s="307" t="n">
        <f aca="false">SUM(AA8:AA15)</f>
        <v>43788781.85796</v>
      </c>
      <c r="AB16" s="307" t="n">
        <f aca="false">SUM(AB8:AB15)</f>
        <v>39805156.423745</v>
      </c>
      <c r="AC16" s="307" t="n">
        <f aca="false">SUM(AC8:AC15)</f>
        <v>76697783.286628</v>
      </c>
      <c r="AD16" s="307" t="n">
        <f aca="false">SUM(AD8:AD15)</f>
        <v>72427246.794352</v>
      </c>
      <c r="AE16" s="307" t="n">
        <f aca="false">SUM(AE8:AE15)</f>
        <v>67022349.226358</v>
      </c>
      <c r="AF16" s="307" t="n">
        <f aca="false">SUM(AF8:AF15)</f>
        <v>61724974.909812</v>
      </c>
      <c r="AG16" s="307" t="n">
        <f aca="false">SUM(AG8:AG15)</f>
        <v>56424310.802542</v>
      </c>
      <c r="AH16" s="307" t="n">
        <f aca="false">SUM(AH8:AH15)</f>
        <v>52104602.333176</v>
      </c>
      <c r="AI16" s="307" t="n">
        <f aca="false">SUM(AI8:AI15)</f>
        <v>47970463.746912</v>
      </c>
      <c r="AJ16" s="307" t="n">
        <f aca="false">SUM(AJ8:AJ15)</f>
        <v>43711186.624518</v>
      </c>
      <c r="AK16" s="307" t="n">
        <f aca="false">SUM(AK8:AK15)</f>
        <v>39362973.61347</v>
      </c>
      <c r="AL16" s="307" t="n">
        <f aca="false">SUM(AL8:AL15)</f>
        <v>35942281.200826</v>
      </c>
      <c r="AM16" s="307" t="n">
        <f aca="false">SUM(AM8:AM15)</f>
        <v>32894612.367548</v>
      </c>
      <c r="AN16" s="307" t="n">
        <f aca="false">SUM(AN8:AN15)</f>
        <v>29903009.833158</v>
      </c>
      <c r="AO16" s="307" t="n">
        <f aca="false">SUM(AO8:AO15)</f>
        <v>26981928.712532</v>
      </c>
      <c r="AP16" s="307" t="n">
        <f aca="false">SUM(AP8:AP15)</f>
        <v>24145214.967326</v>
      </c>
      <c r="AQ16" s="307" t="n">
        <f aca="false">SUM(AQ8:AQ15)</f>
        <v>21405892.487426</v>
      </c>
      <c r="AR16" s="307" t="n">
        <f aca="false">SUM(AR8:AR15)</f>
        <v>18775979.790616</v>
      </c>
      <c r="AS16" s="307" t="n">
        <f aca="false">SUM(AS8:AS15)</f>
        <v>16893987.49148</v>
      </c>
      <c r="AT16" s="307" t="n">
        <f aca="false">SUM(AT8:AT15)</f>
        <v>15049033.294064</v>
      </c>
      <c r="AU16" s="307" t="n">
        <f aca="false">SUM(AU8:AU15)</f>
        <v>13258584.501624</v>
      </c>
      <c r="AV16" s="307" t="n">
        <f aca="false">SUM(AV8:AV15)</f>
        <v>11538273.165056</v>
      </c>
      <c r="AW16" s="307" t="n">
        <f aca="false">SUM(AW8:AW15)</f>
        <v>9901787.667552</v>
      </c>
      <c r="AX16" s="307" t="n">
        <f aca="false">SUM(AX8:AX15)</f>
        <v>8360541.887544</v>
      </c>
      <c r="AY16" s="307" t="n">
        <f aca="false">SUM(AY8:AY15)</f>
        <v>6923385.71628</v>
      </c>
      <c r="AZ16" s="307" t="n">
        <f aca="false">SUM(AZ8:AZ15)</f>
        <v>5596646.412456</v>
      </c>
      <c r="BA16" s="307" t="n">
        <f aca="false">SUM(BA8:BA15)</f>
        <v>4384004.53832</v>
      </c>
      <c r="BB16" s="307" t="n">
        <f aca="false">SUM(BB8:BB15)</f>
        <v>3286659.3782</v>
      </c>
      <c r="BC16" s="307" t="n">
        <f aca="false">SUM(BC8:BC15)</f>
        <v>2303535.711664</v>
      </c>
      <c r="BD16" s="307" t="n">
        <f aca="false">SUM(BD8:BD15)</f>
        <v>1431490.58668</v>
      </c>
      <c r="BE16" s="307" t="n">
        <f aca="false">SUM(BE8:BE15)</f>
        <v>665685.511304001</v>
      </c>
      <c r="BF16" s="307" t="n">
        <f aca="false">SUM(BF8:BF15)</f>
        <v>-165.418527995574</v>
      </c>
      <c r="BG16" s="307" t="n">
        <f aca="false">SUM(BG8:BG15)</f>
        <v>0</v>
      </c>
      <c r="BH16" s="307" t="n">
        <f aca="false">SUM(BH8:BH15)</f>
        <v>0</v>
      </c>
      <c r="BI16" s="307" t="n">
        <f aca="false">SUM(BI8:BI15)</f>
        <v>0</v>
      </c>
      <c r="BJ16" s="307" t="n">
        <f aca="false">SUM(BJ8:BJ15)</f>
        <v>0</v>
      </c>
      <c r="BK16" s="307" t="n">
        <f aca="false">SUM(BK8:BK15)</f>
        <v>0</v>
      </c>
      <c r="BL16" s="307" t="n">
        <f aca="false">SUM(BL8:BL15)</f>
        <v>0</v>
      </c>
      <c r="BM16" s="307" t="n">
        <f aca="false">SUM(BM8:BM15)</f>
        <v>0</v>
      </c>
      <c r="BN16" s="307" t="n">
        <f aca="false">SUM(BN8:BN15)</f>
        <v>0</v>
      </c>
      <c r="BO16" s="307" t="n">
        <f aca="false">SUM(BO8:BO15)</f>
        <v>0</v>
      </c>
      <c r="BP16" s="307" t="n">
        <f aca="false">SUM(BP8:BP15)</f>
        <v>0</v>
      </c>
      <c r="BQ16" s="307" t="n">
        <f aca="false">SUM(BQ8:BQ15)</f>
        <v>0</v>
      </c>
      <c r="BR16" s="307" t="n">
        <f aca="false">SUM(BR8:BR15)</f>
        <v>0</v>
      </c>
      <c r="BS16" s="307" t="n">
        <f aca="false">SUM(BS8:BS15)</f>
        <v>0</v>
      </c>
      <c r="BT16" s="307" t="n">
        <f aca="false">SUM(BT8:BT15)</f>
        <v>0</v>
      </c>
      <c r="BU16" s="307" t="n">
        <f aca="false">SUM(BU8:BU15)</f>
        <v>0</v>
      </c>
      <c r="BV16" s="307" t="n">
        <f aca="false">SUM(BV8:BV15)</f>
        <v>0</v>
      </c>
      <c r="BW16" s="307" t="n">
        <f aca="false">SUM(BW8:BW15)</f>
        <v>0</v>
      </c>
      <c r="BX16" s="307" t="n">
        <f aca="false">SUM(BX8:BX15)</f>
        <v>0</v>
      </c>
      <c r="BY16" s="307" t="n">
        <f aca="false">SUM(BY8:BY15)</f>
        <v>0</v>
      </c>
      <c r="BZ16" s="307" t="n">
        <f aca="false">SUM(BZ8:BZ15)</f>
        <v>0</v>
      </c>
      <c r="CA16" s="307" t="n">
        <f aca="false">SUM(CA8:CA15)</f>
        <v>0</v>
      </c>
      <c r="CB16" s="307" t="n">
        <f aca="false">SUM(CB8:CB15)</f>
        <v>0</v>
      </c>
      <c r="CC16" s="307" t="n">
        <f aca="false">SUM(CC8:CC15)</f>
        <v>0</v>
      </c>
      <c r="CD16" s="307" t="n">
        <f aca="false">SUM(CD8:CD15)</f>
        <v>0</v>
      </c>
      <c r="CE16" s="307" t="n">
        <f aca="false">SUM(CE8:CE15)</f>
        <v>0</v>
      </c>
      <c r="CF16" s="307" t="n">
        <f aca="false">SUM(CF8:CF15)</f>
        <v>0</v>
      </c>
      <c r="CG16" s="307" t="n">
        <f aca="false">SUM(CG8:CG15)</f>
        <v>0</v>
      </c>
      <c r="CH16" s="307" t="n">
        <f aca="false">SUM(CH8:CH15)</f>
        <v>0</v>
      </c>
      <c r="CI16" s="307" t="n">
        <f aca="false">SUM(CI8:CI15)</f>
        <v>0</v>
      </c>
      <c r="CJ16" s="307" t="n">
        <f aca="false">SUM(CJ8:CJ15)</f>
        <v>0</v>
      </c>
      <c r="CK16" s="307" t="n">
        <f aca="false">SUM(CK8:CK15)</f>
        <v>0</v>
      </c>
      <c r="CL16" s="307" t="n">
        <f aca="false">SUM(CL8:CL15)</f>
        <v>0</v>
      </c>
      <c r="CM16" s="307" t="n">
        <f aca="false">SUM(CM8:CM15)</f>
        <v>0</v>
      </c>
      <c r="CN16" s="307" t="n">
        <f aca="false">SUM(CN8:CN15)</f>
        <v>0</v>
      </c>
      <c r="CO16" s="307" t="n">
        <f aca="false">SUM(CO8:CO15)</f>
        <v>0</v>
      </c>
      <c r="CP16" s="307" t="n">
        <f aca="false">SUM(CP8:CP15)</f>
        <v>0</v>
      </c>
      <c r="CQ16" s="307" t="n">
        <f aca="false">SUM(CQ8:CQ15)</f>
        <v>0</v>
      </c>
    </row>
    <row r="18" customFormat="false" ht="15" hidden="false" customHeight="true" outlineLevel="0" collapsed="false">
      <c r="A18" s="23" t="s">
        <v>1151</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7" t="s">
        <v>1152</v>
      </c>
      <c r="C19" s="289" t="n">
        <f aca="false">IF(Projects!$G$7="Yes",Projects!$B$7*Assumptions!$B$47+Assumptions!$B$53*Assumptions!$B$48,0)</f>
        <v>577947.65</v>
      </c>
      <c r="D19" s="289" t="n">
        <f aca="false">C21</f>
        <v>577947.65</v>
      </c>
      <c r="E19" s="289" t="n">
        <f aca="false">D21</f>
        <v>577947.65</v>
      </c>
      <c r="F19" s="289" t="n">
        <f aca="false">E21</f>
        <v>577947.65</v>
      </c>
      <c r="G19" s="289" t="n">
        <f aca="false">F21</f>
        <v>577947.65</v>
      </c>
      <c r="H19" s="289" t="n">
        <f aca="false">G21</f>
        <v>577947.65</v>
      </c>
      <c r="I19" s="289" t="n">
        <f aca="false">H21</f>
        <v>577947.65</v>
      </c>
      <c r="J19" s="289" t="n">
        <f aca="false">I21</f>
        <v>577947.65</v>
      </c>
      <c r="K19" s="289" t="n">
        <f aca="false">J21</f>
        <v>577947.65</v>
      </c>
      <c r="L19" s="289" t="n">
        <f aca="false">K21</f>
        <v>577947.65</v>
      </c>
      <c r="M19" s="289" t="n">
        <f aca="false">L21</f>
        <v>577947.65</v>
      </c>
      <c r="N19" s="289" t="n">
        <f aca="false">M21</f>
        <v>577947.65</v>
      </c>
      <c r="O19" s="289" t="n">
        <f aca="false">N21</f>
        <v>577947.65</v>
      </c>
      <c r="P19" s="289" t="n">
        <f aca="false">O21</f>
        <v>577947.65</v>
      </c>
      <c r="Q19" s="289" t="n">
        <f aca="false">P21</f>
        <v>577947.65</v>
      </c>
      <c r="R19" s="289" t="n">
        <f aca="false">Q21</f>
        <v>577947.65</v>
      </c>
      <c r="S19" s="289" t="n">
        <f aca="false">R21</f>
        <v>577947.65</v>
      </c>
      <c r="T19" s="289" t="n">
        <f aca="false">S21</f>
        <v>577947.65</v>
      </c>
      <c r="U19" s="289" t="n">
        <f aca="false">T21</f>
        <v>577947.65</v>
      </c>
      <c r="V19" s="289" t="n">
        <f aca="false">U21</f>
        <v>577947.65</v>
      </c>
      <c r="W19" s="289" t="n">
        <f aca="false">V21</f>
        <v>577947.65</v>
      </c>
      <c r="X19" s="289" t="n">
        <f aca="false">W21</f>
        <v>577947.65</v>
      </c>
      <c r="Y19" s="289" t="n">
        <f aca="false">X21</f>
        <v>577947.65</v>
      </c>
      <c r="Z19" s="289" t="n">
        <f aca="false">Y21</f>
        <v>577947.65</v>
      </c>
      <c r="AA19" s="289" t="n">
        <f aca="false">Z21</f>
        <v>577947.65</v>
      </c>
      <c r="AB19" s="289" t="n">
        <f aca="false">AA21</f>
        <v>577947.65</v>
      </c>
      <c r="AC19" s="289" t="n">
        <f aca="false">AB21</f>
        <v>577947.65</v>
      </c>
      <c r="AD19" s="289" t="n">
        <f aca="false">AC21</f>
        <v>577947.65</v>
      </c>
      <c r="AE19" s="289" t="n">
        <f aca="false">AD21</f>
        <v>577947.65</v>
      </c>
      <c r="AF19" s="289" t="n">
        <f aca="false">AE21</f>
        <v>577947.65</v>
      </c>
      <c r="AG19" s="289" t="n">
        <f aca="false">AF21</f>
        <v>577947.65</v>
      </c>
      <c r="AH19" s="289" t="n">
        <f aca="false">AG21</f>
        <v>577947.65</v>
      </c>
      <c r="AI19" s="289" t="n">
        <f aca="false">AH21</f>
        <v>577947.65</v>
      </c>
      <c r="AJ19" s="289" t="n">
        <f aca="false">AI21</f>
        <v>577947.65</v>
      </c>
      <c r="AK19" s="289" t="n">
        <f aca="false">AJ21</f>
        <v>577947.65</v>
      </c>
      <c r="AL19" s="289" t="n">
        <f aca="false">AK21</f>
        <v>577947.65</v>
      </c>
      <c r="AM19" s="289" t="n">
        <f aca="false">AL21</f>
        <v>577947.65</v>
      </c>
      <c r="AN19" s="289" t="n">
        <f aca="false">AM21</f>
        <v>577947.65</v>
      </c>
      <c r="AO19" s="289" t="n">
        <f aca="false">AN21</f>
        <v>577947.65</v>
      </c>
      <c r="AP19" s="289" t="n">
        <f aca="false">AO21</f>
        <v>577947.65</v>
      </c>
      <c r="AQ19" s="289" t="n">
        <f aca="false">AP21</f>
        <v>577947.65</v>
      </c>
      <c r="AR19" s="289" t="n">
        <f aca="false">AQ21</f>
        <v>577947.65</v>
      </c>
      <c r="AS19" s="289" t="n">
        <f aca="false">AR21</f>
        <v>496264.65</v>
      </c>
      <c r="AT19" s="289" t="n">
        <f aca="false">AS21</f>
        <v>496264.65</v>
      </c>
      <c r="AU19" s="289" t="n">
        <f aca="false">AT21</f>
        <v>496264.65</v>
      </c>
      <c r="AV19" s="289" t="n">
        <f aca="false">AU21</f>
        <v>414582.65</v>
      </c>
      <c r="AW19" s="289" t="n">
        <f aca="false">AV21</f>
        <v>414582.65</v>
      </c>
      <c r="AX19" s="289" t="n">
        <f aca="false">AW21</f>
        <v>414582.65</v>
      </c>
      <c r="AY19" s="289" t="n">
        <f aca="false">AX21</f>
        <v>332900.65</v>
      </c>
      <c r="AZ19" s="289" t="n">
        <f aca="false">AY21</f>
        <v>332900.65</v>
      </c>
      <c r="BA19" s="289" t="n">
        <f aca="false">AZ21</f>
        <v>332900.65</v>
      </c>
      <c r="BB19" s="289" t="n">
        <f aca="false">BA21</f>
        <v>251218.65</v>
      </c>
      <c r="BC19" s="289" t="n">
        <f aca="false">BB21</f>
        <v>251218.65</v>
      </c>
      <c r="BD19" s="289" t="n">
        <f aca="false">BC21</f>
        <v>251218.65</v>
      </c>
      <c r="BE19" s="289" t="n">
        <f aca="false">BD21</f>
        <v>192040.65</v>
      </c>
      <c r="BF19" s="289" t="n">
        <f aca="false">BE21</f>
        <v>192040.65</v>
      </c>
      <c r="BG19" s="289" t="n">
        <f aca="false">BF21</f>
        <v>192040.65</v>
      </c>
      <c r="BH19" s="289" t="n">
        <f aca="false">BG21</f>
        <v>132864.65</v>
      </c>
      <c r="BI19" s="289" t="n">
        <f aca="false">BH21</f>
        <v>132864.65</v>
      </c>
      <c r="BJ19" s="289" t="n">
        <f aca="false">BI21</f>
        <v>132864.65</v>
      </c>
      <c r="BK19" s="289" t="n">
        <f aca="false">BJ21</f>
        <v>73688.65</v>
      </c>
      <c r="BL19" s="289" t="n">
        <f aca="false">BK21</f>
        <v>73688.65</v>
      </c>
      <c r="BM19" s="289" t="n">
        <f aca="false">BL21</f>
        <v>73688.65</v>
      </c>
      <c r="BN19" s="289" t="n">
        <f aca="false">BM21</f>
        <v>14512.65</v>
      </c>
      <c r="BO19" s="289" t="n">
        <f aca="false">BN21</f>
        <v>14512.65</v>
      </c>
      <c r="BP19" s="289" t="n">
        <f aca="false">BO21</f>
        <v>14512.65</v>
      </c>
      <c r="BQ19" s="289" t="n">
        <f aca="false">BP21</f>
        <v>0</v>
      </c>
      <c r="BR19" s="289" t="n">
        <f aca="false">BQ21</f>
        <v>0</v>
      </c>
      <c r="BS19" s="289" t="n">
        <f aca="false">BR21</f>
        <v>0</v>
      </c>
      <c r="BT19" s="289" t="n">
        <f aca="false">BS21</f>
        <v>0</v>
      </c>
      <c r="BU19" s="289" t="n">
        <f aca="false">BT21</f>
        <v>0</v>
      </c>
      <c r="BV19" s="289" t="n">
        <f aca="false">BU21</f>
        <v>0</v>
      </c>
      <c r="BW19" s="289" t="n">
        <f aca="false">BV21</f>
        <v>0</v>
      </c>
      <c r="BX19" s="289" t="n">
        <f aca="false">BW21</f>
        <v>0</v>
      </c>
      <c r="BY19" s="289" t="n">
        <f aca="false">BX21</f>
        <v>0</v>
      </c>
      <c r="BZ19" s="289" t="n">
        <f aca="false">BY21</f>
        <v>0</v>
      </c>
      <c r="CA19" s="289" t="n">
        <f aca="false">BZ21</f>
        <v>0</v>
      </c>
      <c r="CB19" s="289" t="n">
        <f aca="false">CA21</f>
        <v>0</v>
      </c>
      <c r="CC19" s="289" t="n">
        <f aca="false">CB21</f>
        <v>0</v>
      </c>
      <c r="CD19" s="289" t="n">
        <f aca="false">CC21</f>
        <v>0</v>
      </c>
      <c r="CE19" s="289" t="n">
        <f aca="false">CD21</f>
        <v>0</v>
      </c>
      <c r="CF19" s="289" t="n">
        <f aca="false">CE21</f>
        <v>0</v>
      </c>
      <c r="CG19" s="289" t="n">
        <f aca="false">CF21</f>
        <v>0</v>
      </c>
      <c r="CH19" s="289" t="n">
        <f aca="false">CG21</f>
        <v>0</v>
      </c>
      <c r="CI19" s="289" t="n">
        <f aca="false">CH21</f>
        <v>0</v>
      </c>
      <c r="CJ19" s="289" t="n">
        <f aca="false">CI21</f>
        <v>0</v>
      </c>
      <c r="CK19" s="289" t="n">
        <f aca="false">CJ21</f>
        <v>0</v>
      </c>
      <c r="CL19" s="289" t="n">
        <f aca="false">CK21</f>
        <v>0</v>
      </c>
      <c r="CM19" s="289" t="n">
        <f aca="false">CL21</f>
        <v>0</v>
      </c>
      <c r="CN19" s="289" t="n">
        <f aca="false">CM21</f>
        <v>0</v>
      </c>
      <c r="CO19" s="289" t="n">
        <f aca="false">CN21</f>
        <v>0</v>
      </c>
      <c r="CP19" s="289" t="n">
        <f aca="false">CO21</f>
        <v>0</v>
      </c>
      <c r="CQ19" s="289" t="n">
        <f aca="false">CP21</f>
        <v>0</v>
      </c>
    </row>
    <row r="20" customFormat="false" ht="15" hidden="false" customHeight="true" outlineLevel="0" collapsed="false">
      <c r="A20" s="308" t="s">
        <v>1153</v>
      </c>
      <c r="C20" s="309" t="n">
        <f aca="false">MIN(C19,Model!E254)</f>
        <v>0</v>
      </c>
      <c r="D20" s="309" t="n">
        <f aca="false">MIN(D19,Model!F254)</f>
        <v>0</v>
      </c>
      <c r="E20" s="309" t="n">
        <f aca="false">MIN(E19,Model!G254)</f>
        <v>0</v>
      </c>
      <c r="F20" s="309" t="n">
        <f aca="false">MIN(F19,Model!H254)</f>
        <v>0</v>
      </c>
      <c r="G20" s="309" t="n">
        <f aca="false">IF(ISBLANK(Actuals!J109),MIN(G19,Model!I254),-Actuals!J109)</f>
        <v>-0</v>
      </c>
      <c r="H20" s="309" t="n">
        <f aca="false">MIN(H19,Model!J254)</f>
        <v>0</v>
      </c>
      <c r="I20" s="309" t="n">
        <f aca="false">MIN(I19,Model!K254)</f>
        <v>0</v>
      </c>
      <c r="J20" s="309" t="n">
        <f aca="false">MIN(J19,Model!L254)</f>
        <v>0</v>
      </c>
      <c r="K20" s="309" t="n">
        <f aca="false">MIN(K19,Model!M254)</f>
        <v>0</v>
      </c>
      <c r="L20" s="309" t="n">
        <f aca="false">MIN(L19,Model!N254)</f>
        <v>0</v>
      </c>
      <c r="M20" s="309" t="n">
        <f aca="false">MIN(M19,Model!O254)</f>
        <v>0</v>
      </c>
      <c r="N20" s="309" t="n">
        <f aca="false">MIN(N19,Model!P254)</f>
        <v>0</v>
      </c>
      <c r="O20" s="309" t="n">
        <f aca="false">MIN(O19,Model!Q254)</f>
        <v>0</v>
      </c>
      <c r="P20" s="309" t="n">
        <f aca="false">MIN(P19,Model!R254)</f>
        <v>0</v>
      </c>
      <c r="Q20" s="309" t="n">
        <f aca="false">MIN(Q19,Model!S254)</f>
        <v>0</v>
      </c>
      <c r="R20" s="309" t="n">
        <f aca="false">MIN(R19,Model!T254)</f>
        <v>0</v>
      </c>
      <c r="S20" s="309" t="n">
        <f aca="false">MIN(S19,Model!U254)</f>
        <v>0</v>
      </c>
      <c r="T20" s="309" t="n">
        <f aca="false">MIN(T19,Model!V254)</f>
        <v>0</v>
      </c>
      <c r="U20" s="309" t="n">
        <f aca="false">MIN(U19,Model!W254)</f>
        <v>0</v>
      </c>
      <c r="V20" s="309" t="n">
        <f aca="false">MIN(V19,Model!X254)</f>
        <v>0</v>
      </c>
      <c r="W20" s="309" t="n">
        <f aca="false">MIN(W19,Model!Y254)</f>
        <v>0</v>
      </c>
      <c r="X20" s="309" t="n">
        <f aca="false">MIN(X19,Model!Z254)</f>
        <v>0</v>
      </c>
      <c r="Y20" s="309" t="n">
        <f aca="false">MIN(Y19,Model!AA254)</f>
        <v>0</v>
      </c>
      <c r="Z20" s="309" t="n">
        <f aca="false">MIN(Z19,Model!AB254)</f>
        <v>0</v>
      </c>
      <c r="AA20" s="309" t="n">
        <f aca="false">MIN(AA19,Model!AC254)</f>
        <v>0</v>
      </c>
      <c r="AB20" s="309" t="n">
        <f aca="false">MIN(AB19,Model!AD254)</f>
        <v>0</v>
      </c>
      <c r="AC20" s="309" t="n">
        <f aca="false">MIN(AC19,Model!AE254)</f>
        <v>0</v>
      </c>
      <c r="AD20" s="309" t="n">
        <f aca="false">MIN(AD19,Model!AF254)</f>
        <v>0</v>
      </c>
      <c r="AE20" s="309" t="n">
        <f aca="false">MIN(AE19,Model!AG254)</f>
        <v>0</v>
      </c>
      <c r="AF20" s="309" t="n">
        <f aca="false">MIN(AF19,Model!AH254)</f>
        <v>0</v>
      </c>
      <c r="AG20" s="309" t="n">
        <f aca="false">MIN(AG19,Model!AI254)</f>
        <v>0</v>
      </c>
      <c r="AH20" s="309" t="n">
        <f aca="false">MIN(AH19,Model!AJ254)</f>
        <v>0</v>
      </c>
      <c r="AI20" s="309" t="n">
        <f aca="false">MIN(AI19,Model!AK254)</f>
        <v>0</v>
      </c>
      <c r="AJ20" s="309" t="n">
        <f aca="false">MIN(AJ19,Model!AL254)</f>
        <v>0</v>
      </c>
      <c r="AK20" s="309" t="n">
        <f aca="false">MIN(AK19,Model!AM254)</f>
        <v>0</v>
      </c>
      <c r="AL20" s="309" t="n">
        <f aca="false">MIN(AL19,Model!AN254)</f>
        <v>0</v>
      </c>
      <c r="AM20" s="309" t="n">
        <f aca="false">MIN(AM19,Model!AO254)</f>
        <v>0</v>
      </c>
      <c r="AN20" s="309" t="n">
        <f aca="false">MIN(AN19,Model!AP254)</f>
        <v>0</v>
      </c>
      <c r="AO20" s="309" t="n">
        <f aca="false">MIN(AO19,Model!AQ254)</f>
        <v>0</v>
      </c>
      <c r="AP20" s="309" t="n">
        <f aca="false">MIN(AP19,Model!AR254)</f>
        <v>0</v>
      </c>
      <c r="AQ20" s="309" t="n">
        <f aca="false">MIN(AQ19,Model!AS254)</f>
        <v>0</v>
      </c>
      <c r="AR20" s="309" t="n">
        <f aca="false">MIN(AR19,Model!AT254)</f>
        <v>81683</v>
      </c>
      <c r="AS20" s="309" t="n">
        <f aca="false">MIN(AS19,Model!AU254)</f>
        <v>0</v>
      </c>
      <c r="AT20" s="309" t="n">
        <f aca="false">MIN(AT19,Model!AV254)</f>
        <v>0</v>
      </c>
      <c r="AU20" s="309" t="n">
        <f aca="false">MIN(AU19,Model!AW254)</f>
        <v>81682</v>
      </c>
      <c r="AV20" s="309" t="n">
        <f aca="false">MIN(AV19,Model!AX254)</f>
        <v>0</v>
      </c>
      <c r="AW20" s="309" t="n">
        <f aca="false">MIN(AW19,Model!AY254)</f>
        <v>0</v>
      </c>
      <c r="AX20" s="309" t="n">
        <f aca="false">MIN(AX19,Model!AZ254)</f>
        <v>81682</v>
      </c>
      <c r="AY20" s="309" t="n">
        <f aca="false">MIN(AY19,Model!BA254)</f>
        <v>0</v>
      </c>
      <c r="AZ20" s="309" t="n">
        <f aca="false">MIN(AZ19,Model!BB254)</f>
        <v>0</v>
      </c>
      <c r="BA20" s="309" t="n">
        <f aca="false">MIN(BA19,Model!BC254)</f>
        <v>81682</v>
      </c>
      <c r="BB20" s="309" t="n">
        <f aca="false">MIN(BB19,Model!BD254)</f>
        <v>0</v>
      </c>
      <c r="BC20" s="309" t="n">
        <f aca="false">MIN(BC19,Model!BE254)</f>
        <v>0</v>
      </c>
      <c r="BD20" s="309" t="n">
        <f aca="false">MIN(BD19,Model!BF254)</f>
        <v>59178</v>
      </c>
      <c r="BE20" s="309" t="n">
        <f aca="false">MIN(BE19,Model!BG254)</f>
        <v>0</v>
      </c>
      <c r="BF20" s="309" t="n">
        <f aca="false">MIN(BF19,Model!BH254)</f>
        <v>0</v>
      </c>
      <c r="BG20" s="309" t="n">
        <f aca="false">MIN(BG19,Model!BI254)</f>
        <v>59176</v>
      </c>
      <c r="BH20" s="309" t="n">
        <f aca="false">MIN(BH19,Model!BJ254)</f>
        <v>0</v>
      </c>
      <c r="BI20" s="309" t="n">
        <f aca="false">MIN(BI19,Model!BK254)</f>
        <v>0</v>
      </c>
      <c r="BJ20" s="309" t="n">
        <f aca="false">MIN(BJ19,Model!BL254)</f>
        <v>59176</v>
      </c>
      <c r="BK20" s="309" t="n">
        <f aca="false">MIN(BK19,Model!BM254)</f>
        <v>0</v>
      </c>
      <c r="BL20" s="309" t="n">
        <f aca="false">MIN(BL19,Model!BN254)</f>
        <v>0</v>
      </c>
      <c r="BM20" s="309" t="n">
        <f aca="false">MIN(BM19,Model!BO254)</f>
        <v>59176</v>
      </c>
      <c r="BN20" s="309" t="n">
        <f aca="false">MIN(BN19,Model!BP254)</f>
        <v>0</v>
      </c>
      <c r="BO20" s="309" t="n">
        <f aca="false">MIN(BO19,Model!BQ254)</f>
        <v>0</v>
      </c>
      <c r="BP20" s="309" t="n">
        <f aca="false">MIN(BP19,Model!BR254)</f>
        <v>14512.65</v>
      </c>
      <c r="BQ20" s="309" t="n">
        <f aca="false">MIN(BQ19,Model!BS254)</f>
        <v>0</v>
      </c>
      <c r="BR20" s="309" t="n">
        <f aca="false">MIN(BR19,Model!BT254)</f>
        <v>0</v>
      </c>
      <c r="BS20" s="309" t="n">
        <f aca="false">MIN(BS19,Model!BU254)</f>
        <v>0</v>
      </c>
      <c r="BT20" s="309" t="n">
        <f aca="false">MIN(BT19,Model!BV254)</f>
        <v>0</v>
      </c>
      <c r="BU20" s="309" t="n">
        <f aca="false">MIN(BU19,Model!BW254)</f>
        <v>0</v>
      </c>
      <c r="BV20" s="309" t="n">
        <f aca="false">MIN(BV19,Model!BX254)</f>
        <v>0</v>
      </c>
      <c r="BW20" s="309" t="n">
        <f aca="false">MIN(BW19,Model!BY254)</f>
        <v>0</v>
      </c>
      <c r="BX20" s="309" t="n">
        <f aca="false">MIN(BX19,Model!BZ254)</f>
        <v>0</v>
      </c>
      <c r="BY20" s="309" t="n">
        <f aca="false">MIN(BY19,Model!CA254)</f>
        <v>0</v>
      </c>
      <c r="BZ20" s="309" t="n">
        <f aca="false">MIN(BZ19,Model!CB254)</f>
        <v>0</v>
      </c>
      <c r="CA20" s="309" t="n">
        <f aca="false">MIN(CA19,Model!CC254)</f>
        <v>0</v>
      </c>
      <c r="CB20" s="309" t="n">
        <f aca="false">MIN(CB19,Model!CD254)</f>
        <v>0</v>
      </c>
      <c r="CC20" s="309" t="n">
        <f aca="false">MIN(CC19,Model!CE254)</f>
        <v>0</v>
      </c>
      <c r="CD20" s="309" t="n">
        <f aca="false">MIN(CD19,Model!CF254)</f>
        <v>0</v>
      </c>
      <c r="CE20" s="309" t="n">
        <f aca="false">MIN(CE19,Model!CG254)</f>
        <v>0</v>
      </c>
      <c r="CF20" s="309" t="n">
        <f aca="false">MIN(CF19,Model!CH254)</f>
        <v>0</v>
      </c>
      <c r="CG20" s="309" t="n">
        <f aca="false">MIN(CG19,Model!CI254)</f>
        <v>0</v>
      </c>
      <c r="CH20" s="309" t="n">
        <f aca="false">MIN(CH19,Model!CJ254)</f>
        <v>0</v>
      </c>
      <c r="CI20" s="309" t="n">
        <f aca="false">MIN(CI19,Model!CK254)</f>
        <v>0</v>
      </c>
      <c r="CJ20" s="309" t="n">
        <f aca="false">MIN(CJ19,Model!CL254)</f>
        <v>0</v>
      </c>
      <c r="CK20" s="309" t="n">
        <f aca="false">MIN(CK19,Model!CM254)</f>
        <v>0</v>
      </c>
      <c r="CL20" s="309" t="n">
        <f aca="false">MIN(CL19,Model!CN254)</f>
        <v>0</v>
      </c>
      <c r="CM20" s="309" t="n">
        <f aca="false">MIN(CM19,Model!CO254)</f>
        <v>0</v>
      </c>
      <c r="CN20" s="309" t="n">
        <f aca="false">MIN(CN19,Model!CP254)</f>
        <v>0</v>
      </c>
      <c r="CO20" s="309" t="n">
        <f aca="false">MIN(CO19,Model!CQ254)</f>
        <v>0</v>
      </c>
      <c r="CP20" s="309" t="n">
        <f aca="false">MIN(CP19,Model!CR254)</f>
        <v>0</v>
      </c>
      <c r="CQ20" s="309" t="n">
        <f aca="false">MIN(CQ19,Model!CS254)</f>
        <v>0</v>
      </c>
    </row>
    <row r="21" customFormat="false" ht="15" hidden="false" customHeight="true" outlineLevel="0" collapsed="false">
      <c r="A21" s="94" t="s">
        <v>1154</v>
      </c>
      <c r="C21" s="307" t="n">
        <f aca="false">MAX(0,C19-C20)</f>
        <v>577947.65</v>
      </c>
      <c r="D21" s="307" t="n">
        <f aca="false">MAX(0,D19-D20)</f>
        <v>577947.65</v>
      </c>
      <c r="E21" s="307" t="n">
        <f aca="false">MAX(0,E19-E20)</f>
        <v>577947.65</v>
      </c>
      <c r="F21" s="307" t="n">
        <f aca="false">MAX(0,F19-F20)</f>
        <v>577947.65</v>
      </c>
      <c r="G21" s="307" t="n">
        <f aca="false">MAX(0,G19-G20)</f>
        <v>577947.65</v>
      </c>
      <c r="H21" s="307" t="n">
        <f aca="false">MAX(0,H19-H20)</f>
        <v>577947.65</v>
      </c>
      <c r="I21" s="307" t="n">
        <f aca="false">MAX(0,I19-I20)</f>
        <v>577947.65</v>
      </c>
      <c r="J21" s="307" t="n">
        <f aca="false">MAX(0,J19-J20)</f>
        <v>577947.65</v>
      </c>
      <c r="K21" s="307" t="n">
        <f aca="false">MAX(0,K19-K20)</f>
        <v>577947.65</v>
      </c>
      <c r="L21" s="307" t="n">
        <f aca="false">MAX(0,L19-L20)</f>
        <v>577947.65</v>
      </c>
      <c r="M21" s="307" t="n">
        <f aca="false">MAX(0,M19-M20)</f>
        <v>577947.65</v>
      </c>
      <c r="N21" s="307" t="n">
        <f aca="false">MAX(0,N19-N20)</f>
        <v>577947.65</v>
      </c>
      <c r="O21" s="307" t="n">
        <f aca="false">MAX(0,O19-O20)</f>
        <v>577947.65</v>
      </c>
      <c r="P21" s="307" t="n">
        <f aca="false">MAX(0,P19-P20)</f>
        <v>577947.65</v>
      </c>
      <c r="Q21" s="307" t="n">
        <f aca="false">MAX(0,Q19-Q20)</f>
        <v>577947.65</v>
      </c>
      <c r="R21" s="307" t="n">
        <f aca="false">MAX(0,R19-R20)</f>
        <v>577947.65</v>
      </c>
      <c r="S21" s="307" t="n">
        <f aca="false">MAX(0,S19-S20)</f>
        <v>577947.65</v>
      </c>
      <c r="T21" s="307" t="n">
        <f aca="false">MAX(0,T19-T20)</f>
        <v>577947.65</v>
      </c>
      <c r="U21" s="307" t="n">
        <f aca="false">MAX(0,U19-U20)</f>
        <v>577947.65</v>
      </c>
      <c r="V21" s="307" t="n">
        <f aca="false">MAX(0,V19-V20)</f>
        <v>577947.65</v>
      </c>
      <c r="W21" s="307" t="n">
        <f aca="false">MAX(0,W19-W20)</f>
        <v>577947.65</v>
      </c>
      <c r="X21" s="307" t="n">
        <f aca="false">MAX(0,X19-X20)</f>
        <v>577947.65</v>
      </c>
      <c r="Y21" s="307" t="n">
        <f aca="false">MAX(0,Y19-Y20)</f>
        <v>577947.65</v>
      </c>
      <c r="Z21" s="307" t="n">
        <f aca="false">MAX(0,Z19-Z20)</f>
        <v>577947.65</v>
      </c>
      <c r="AA21" s="307" t="n">
        <f aca="false">MAX(0,AA19-AA20)</f>
        <v>577947.65</v>
      </c>
      <c r="AB21" s="307" t="n">
        <f aca="false">MAX(0,AB19-AB20)</f>
        <v>577947.65</v>
      </c>
      <c r="AC21" s="307" t="n">
        <f aca="false">MAX(0,AC19-AC20)</f>
        <v>577947.65</v>
      </c>
      <c r="AD21" s="307" t="n">
        <f aca="false">MAX(0,AD19-AD20)</f>
        <v>577947.65</v>
      </c>
      <c r="AE21" s="307" t="n">
        <f aca="false">MAX(0,AE19-AE20)</f>
        <v>577947.65</v>
      </c>
      <c r="AF21" s="307" t="n">
        <f aca="false">MAX(0,AF19-AF20)</f>
        <v>577947.65</v>
      </c>
      <c r="AG21" s="307" t="n">
        <f aca="false">MAX(0,AG19-AG20)</f>
        <v>577947.65</v>
      </c>
      <c r="AH21" s="307" t="n">
        <f aca="false">MAX(0,AH19-AH20)</f>
        <v>577947.65</v>
      </c>
      <c r="AI21" s="307" t="n">
        <f aca="false">MAX(0,AI19-AI20)</f>
        <v>577947.65</v>
      </c>
      <c r="AJ21" s="307" t="n">
        <f aca="false">MAX(0,AJ19-AJ20)</f>
        <v>577947.65</v>
      </c>
      <c r="AK21" s="307" t="n">
        <f aca="false">MAX(0,AK19-AK20)</f>
        <v>577947.65</v>
      </c>
      <c r="AL21" s="307" t="n">
        <f aca="false">MAX(0,AL19-AL20)</f>
        <v>577947.65</v>
      </c>
      <c r="AM21" s="307" t="n">
        <f aca="false">MAX(0,AM19-AM20)</f>
        <v>577947.65</v>
      </c>
      <c r="AN21" s="307" t="n">
        <f aca="false">MAX(0,AN19-AN20)</f>
        <v>577947.65</v>
      </c>
      <c r="AO21" s="307" t="n">
        <f aca="false">MAX(0,AO19-AO20)</f>
        <v>577947.65</v>
      </c>
      <c r="AP21" s="307" t="n">
        <f aca="false">MAX(0,AP19-AP20)</f>
        <v>577947.65</v>
      </c>
      <c r="AQ21" s="307" t="n">
        <f aca="false">MAX(0,AQ19-AQ20)</f>
        <v>577947.65</v>
      </c>
      <c r="AR21" s="307" t="n">
        <f aca="false">MAX(0,AR19-AR20)</f>
        <v>496264.65</v>
      </c>
      <c r="AS21" s="307" t="n">
        <f aca="false">MAX(0,AS19-AS20)</f>
        <v>496264.65</v>
      </c>
      <c r="AT21" s="307" t="n">
        <f aca="false">MAX(0,AT19-AT20)</f>
        <v>496264.65</v>
      </c>
      <c r="AU21" s="307" t="n">
        <f aca="false">MAX(0,AU19-AU20)</f>
        <v>414582.65</v>
      </c>
      <c r="AV21" s="307" t="n">
        <f aca="false">MAX(0,AV19-AV20)</f>
        <v>414582.65</v>
      </c>
      <c r="AW21" s="307" t="n">
        <f aca="false">MAX(0,AW19-AW20)</f>
        <v>414582.65</v>
      </c>
      <c r="AX21" s="307" t="n">
        <f aca="false">MAX(0,AX19-AX20)</f>
        <v>332900.65</v>
      </c>
      <c r="AY21" s="307" t="n">
        <f aca="false">MAX(0,AY19-AY20)</f>
        <v>332900.65</v>
      </c>
      <c r="AZ21" s="307" t="n">
        <f aca="false">MAX(0,AZ19-AZ20)</f>
        <v>332900.65</v>
      </c>
      <c r="BA21" s="307" t="n">
        <f aca="false">MAX(0,BA19-BA20)</f>
        <v>251218.65</v>
      </c>
      <c r="BB21" s="307" t="n">
        <f aca="false">MAX(0,BB19-BB20)</f>
        <v>251218.65</v>
      </c>
      <c r="BC21" s="307" t="n">
        <f aca="false">MAX(0,BC19-BC20)</f>
        <v>251218.65</v>
      </c>
      <c r="BD21" s="307" t="n">
        <f aca="false">MAX(0,BD19-BD20)</f>
        <v>192040.65</v>
      </c>
      <c r="BE21" s="307" t="n">
        <f aca="false">MAX(0,BE19-BE20)</f>
        <v>192040.65</v>
      </c>
      <c r="BF21" s="307" t="n">
        <f aca="false">MAX(0,BF19-BF20)</f>
        <v>192040.65</v>
      </c>
      <c r="BG21" s="307" t="n">
        <f aca="false">MAX(0,BG19-BG20)</f>
        <v>132864.65</v>
      </c>
      <c r="BH21" s="307" t="n">
        <f aca="false">MAX(0,BH19-BH20)</f>
        <v>132864.65</v>
      </c>
      <c r="BI21" s="307" t="n">
        <f aca="false">MAX(0,BI19-BI20)</f>
        <v>132864.65</v>
      </c>
      <c r="BJ21" s="307" t="n">
        <f aca="false">MAX(0,BJ19-BJ20)</f>
        <v>73688.65</v>
      </c>
      <c r="BK21" s="307" t="n">
        <f aca="false">MAX(0,BK19-BK20)</f>
        <v>73688.65</v>
      </c>
      <c r="BL21" s="307" t="n">
        <f aca="false">MAX(0,BL19-BL20)</f>
        <v>73688.65</v>
      </c>
      <c r="BM21" s="307" t="n">
        <f aca="false">MAX(0,BM19-BM20)</f>
        <v>14512.65</v>
      </c>
      <c r="BN21" s="307" t="n">
        <f aca="false">MAX(0,BN19-BN20)</f>
        <v>14512.65</v>
      </c>
      <c r="BO21" s="307" t="n">
        <f aca="false">MAX(0,BO19-BO20)</f>
        <v>14512.65</v>
      </c>
      <c r="BP21" s="307" t="n">
        <f aca="false">MAX(0,BP19-BP20)</f>
        <v>0</v>
      </c>
      <c r="BQ21" s="307" t="n">
        <f aca="false">MAX(0,BQ19-BQ20)</f>
        <v>0</v>
      </c>
      <c r="BR21" s="307" t="n">
        <f aca="false">MAX(0,BR19-BR20)</f>
        <v>0</v>
      </c>
      <c r="BS21" s="307" t="n">
        <f aca="false">MAX(0,BS19-BS20)</f>
        <v>0</v>
      </c>
      <c r="BT21" s="307" t="n">
        <f aca="false">MAX(0,BT19-BT20)</f>
        <v>0</v>
      </c>
      <c r="BU21" s="307" t="n">
        <f aca="false">MAX(0,BU19-BU20)</f>
        <v>0</v>
      </c>
      <c r="BV21" s="307" t="n">
        <f aca="false">MAX(0,BV19-BV20)</f>
        <v>0</v>
      </c>
      <c r="BW21" s="307" t="n">
        <f aca="false">MAX(0,BW19-BW20)</f>
        <v>0</v>
      </c>
      <c r="BX21" s="307" t="n">
        <f aca="false">MAX(0,BX19-BX20)</f>
        <v>0</v>
      </c>
      <c r="BY21" s="307" t="n">
        <f aca="false">MAX(0,BY19-BY20)</f>
        <v>0</v>
      </c>
      <c r="BZ21" s="307" t="n">
        <f aca="false">MAX(0,BZ19-BZ20)</f>
        <v>0</v>
      </c>
      <c r="CA21" s="307" t="n">
        <f aca="false">MAX(0,CA19-CA20)</f>
        <v>0</v>
      </c>
      <c r="CB21" s="307" t="n">
        <f aca="false">MAX(0,CB19-CB20)</f>
        <v>0</v>
      </c>
      <c r="CC21" s="307" t="n">
        <f aca="false">MAX(0,CC19-CC20)</f>
        <v>0</v>
      </c>
      <c r="CD21" s="307" t="n">
        <f aca="false">MAX(0,CD19-CD20)</f>
        <v>0</v>
      </c>
      <c r="CE21" s="307" t="n">
        <f aca="false">MAX(0,CE19-CE20)</f>
        <v>0</v>
      </c>
      <c r="CF21" s="307" t="n">
        <f aca="false">MAX(0,CF19-CF20)</f>
        <v>0</v>
      </c>
      <c r="CG21" s="307" t="n">
        <f aca="false">MAX(0,CG19-CG20)</f>
        <v>0</v>
      </c>
      <c r="CH21" s="307" t="n">
        <f aca="false">MAX(0,CH19-CH20)</f>
        <v>0</v>
      </c>
      <c r="CI21" s="307" t="n">
        <f aca="false">MAX(0,CI19-CI20)</f>
        <v>0</v>
      </c>
      <c r="CJ21" s="307" t="n">
        <f aca="false">MAX(0,CJ19-CJ20)</f>
        <v>0</v>
      </c>
      <c r="CK21" s="307" t="n">
        <f aca="false">MAX(0,CK19-CK20)</f>
        <v>0</v>
      </c>
      <c r="CL21" s="307" t="n">
        <f aca="false">MAX(0,CL19-CL20)</f>
        <v>0</v>
      </c>
      <c r="CM21" s="307" t="n">
        <f aca="false">MAX(0,CM19-CM20)</f>
        <v>0</v>
      </c>
      <c r="CN21" s="307" t="n">
        <f aca="false">MAX(0,CN19-CN20)</f>
        <v>0</v>
      </c>
      <c r="CO21" s="307" t="n">
        <f aca="false">MAX(0,CO19-CO20)</f>
        <v>0</v>
      </c>
      <c r="CP21" s="307" t="n">
        <f aca="false">MAX(0,CP19-CP20)</f>
        <v>0</v>
      </c>
      <c r="CQ21" s="307" t="n">
        <f aca="false">MAX(0,CQ19-CQ20)</f>
        <v>0</v>
      </c>
    </row>
    <row r="22" customFormat="false" ht="15" hidden="false" customHeight="true" outlineLevel="0" collapsed="false">
      <c r="A22" s="177" t="s">
        <v>1155</v>
      </c>
      <c r="C22" s="289" t="n">
        <f aca="false">IF(Projects!$G$13="Yes",Projects!$B$13*Assumptions!$B$47+Assumptions!$B$54*Assumptions!$B$48,0)</f>
        <v>602667.7</v>
      </c>
      <c r="D22" s="289" t="n">
        <f aca="false">C24</f>
        <v>602667.7</v>
      </c>
      <c r="E22" s="289" t="n">
        <f aca="false">D24</f>
        <v>602667.7</v>
      </c>
      <c r="F22" s="289" t="n">
        <f aca="false">E24</f>
        <v>602667.7</v>
      </c>
      <c r="G22" s="289" t="n">
        <f aca="false">F24</f>
        <v>602667.7</v>
      </c>
      <c r="H22" s="289" t="n">
        <f aca="false">G24</f>
        <v>602667.7</v>
      </c>
      <c r="I22" s="289" t="n">
        <f aca="false">H24</f>
        <v>602667.7</v>
      </c>
      <c r="J22" s="289" t="n">
        <f aca="false">I24</f>
        <v>602667.7</v>
      </c>
      <c r="K22" s="289" t="n">
        <f aca="false">J24</f>
        <v>602667.7</v>
      </c>
      <c r="L22" s="289" t="n">
        <f aca="false">K24</f>
        <v>602667.7</v>
      </c>
      <c r="M22" s="289" t="n">
        <f aca="false">L24</f>
        <v>602667.7</v>
      </c>
      <c r="N22" s="289" t="n">
        <f aca="false">M24</f>
        <v>602667.7</v>
      </c>
      <c r="O22" s="289" t="n">
        <f aca="false">N24</f>
        <v>602667.7</v>
      </c>
      <c r="P22" s="289" t="n">
        <f aca="false">O24</f>
        <v>602667.7</v>
      </c>
      <c r="Q22" s="289" t="n">
        <f aca="false">P24</f>
        <v>602667.7</v>
      </c>
      <c r="R22" s="289" t="n">
        <f aca="false">Q24</f>
        <v>602667.7</v>
      </c>
      <c r="S22" s="289" t="n">
        <f aca="false">R24</f>
        <v>602667.7</v>
      </c>
      <c r="T22" s="289" t="n">
        <f aca="false">S24</f>
        <v>602667.7</v>
      </c>
      <c r="U22" s="289" t="n">
        <f aca="false">T24</f>
        <v>602667.7</v>
      </c>
      <c r="V22" s="289" t="n">
        <f aca="false">U24</f>
        <v>602667.7</v>
      </c>
      <c r="W22" s="289" t="n">
        <f aca="false">V24</f>
        <v>602667.7</v>
      </c>
      <c r="X22" s="289" t="n">
        <f aca="false">W24</f>
        <v>602667.7</v>
      </c>
      <c r="Y22" s="289" t="n">
        <f aca="false">X24</f>
        <v>602667.7</v>
      </c>
      <c r="Z22" s="289" t="n">
        <f aca="false">Y24</f>
        <v>602667.7</v>
      </c>
      <c r="AA22" s="289" t="n">
        <f aca="false">Z24</f>
        <v>602667.7</v>
      </c>
      <c r="AB22" s="289" t="n">
        <f aca="false">AA24</f>
        <v>602667.7</v>
      </c>
      <c r="AC22" s="289" t="n">
        <f aca="false">AB24</f>
        <v>602667.7</v>
      </c>
      <c r="AD22" s="289" t="n">
        <f aca="false">AC24</f>
        <v>602667.7</v>
      </c>
      <c r="AE22" s="289" t="n">
        <f aca="false">AD24</f>
        <v>602667.7</v>
      </c>
      <c r="AF22" s="289" t="n">
        <f aca="false">AE24</f>
        <v>602667.7</v>
      </c>
      <c r="AG22" s="289" t="n">
        <f aca="false">AF24</f>
        <v>602667.7</v>
      </c>
      <c r="AH22" s="289" t="n">
        <f aca="false">AG24</f>
        <v>602667.7</v>
      </c>
      <c r="AI22" s="289" t="n">
        <f aca="false">AH24</f>
        <v>602667.7</v>
      </c>
      <c r="AJ22" s="289" t="n">
        <f aca="false">AI24</f>
        <v>602667.7</v>
      </c>
      <c r="AK22" s="289" t="n">
        <f aca="false">AJ24</f>
        <v>602667.7</v>
      </c>
      <c r="AL22" s="289" t="n">
        <f aca="false">AK24</f>
        <v>602667.7</v>
      </c>
      <c r="AM22" s="289" t="n">
        <f aca="false">AL24</f>
        <v>602667.7</v>
      </c>
      <c r="AN22" s="289" t="n">
        <f aca="false">AM24</f>
        <v>602667.7</v>
      </c>
      <c r="AO22" s="289" t="n">
        <f aca="false">AN24</f>
        <v>602667.7</v>
      </c>
      <c r="AP22" s="289" t="n">
        <f aca="false">AO24</f>
        <v>602667.7</v>
      </c>
      <c r="AQ22" s="289" t="n">
        <f aca="false">AP24</f>
        <v>602667.7</v>
      </c>
      <c r="AR22" s="289" t="n">
        <f aca="false">AQ24</f>
        <v>602667.7</v>
      </c>
      <c r="AS22" s="289" t="n">
        <f aca="false">AR24</f>
        <v>602667.7</v>
      </c>
      <c r="AT22" s="289" t="n">
        <f aca="false">AS24</f>
        <v>602667.7</v>
      </c>
      <c r="AU22" s="289" t="n">
        <f aca="false">AT24</f>
        <v>602667.7</v>
      </c>
      <c r="AV22" s="289" t="n">
        <f aca="false">AU24</f>
        <v>602667.7</v>
      </c>
      <c r="AW22" s="289" t="n">
        <f aca="false">AV24</f>
        <v>602667.7</v>
      </c>
      <c r="AX22" s="289" t="n">
        <f aca="false">AW24</f>
        <v>602667.7</v>
      </c>
      <c r="AY22" s="289" t="n">
        <f aca="false">AX24</f>
        <v>602667.7</v>
      </c>
      <c r="AZ22" s="289" t="n">
        <f aca="false">AY24</f>
        <v>602667.7</v>
      </c>
      <c r="BA22" s="289" t="n">
        <f aca="false">AZ24</f>
        <v>602667.7</v>
      </c>
      <c r="BB22" s="289" t="n">
        <f aca="false">BA24</f>
        <v>0</v>
      </c>
      <c r="BC22" s="289" t="n">
        <f aca="false">BB24</f>
        <v>0</v>
      </c>
      <c r="BD22" s="289" t="n">
        <f aca="false">BC24</f>
        <v>0</v>
      </c>
      <c r="BE22" s="289" t="n">
        <f aca="false">BD24</f>
        <v>0</v>
      </c>
      <c r="BF22" s="289" t="n">
        <f aca="false">BE24</f>
        <v>0</v>
      </c>
      <c r="BG22" s="289" t="n">
        <f aca="false">BF24</f>
        <v>0</v>
      </c>
      <c r="BH22" s="289" t="n">
        <f aca="false">BG24</f>
        <v>0</v>
      </c>
      <c r="BI22" s="289" t="n">
        <f aca="false">BH24</f>
        <v>0</v>
      </c>
      <c r="BJ22" s="289" t="n">
        <f aca="false">BI24</f>
        <v>0</v>
      </c>
      <c r="BK22" s="289" t="n">
        <f aca="false">BJ24</f>
        <v>0</v>
      </c>
      <c r="BL22" s="289" t="n">
        <f aca="false">BK24</f>
        <v>0</v>
      </c>
      <c r="BM22" s="289" t="n">
        <f aca="false">BL24</f>
        <v>0</v>
      </c>
      <c r="BN22" s="289" t="n">
        <f aca="false">BM24</f>
        <v>0</v>
      </c>
      <c r="BO22" s="289" t="n">
        <f aca="false">BN24</f>
        <v>0</v>
      </c>
      <c r="BP22" s="289" t="n">
        <f aca="false">BO24</f>
        <v>0</v>
      </c>
      <c r="BQ22" s="289" t="n">
        <f aca="false">BP24</f>
        <v>0</v>
      </c>
      <c r="BR22" s="289" t="n">
        <f aca="false">BQ24</f>
        <v>0</v>
      </c>
      <c r="BS22" s="289" t="n">
        <f aca="false">BR24</f>
        <v>0</v>
      </c>
      <c r="BT22" s="289" t="n">
        <f aca="false">BS24</f>
        <v>0</v>
      </c>
      <c r="BU22" s="289" t="n">
        <f aca="false">BT24</f>
        <v>0</v>
      </c>
      <c r="BV22" s="289" t="n">
        <f aca="false">BU24</f>
        <v>0</v>
      </c>
      <c r="BW22" s="289" t="n">
        <f aca="false">BV24</f>
        <v>0</v>
      </c>
      <c r="BX22" s="289" t="n">
        <f aca="false">BW24</f>
        <v>0</v>
      </c>
      <c r="BY22" s="289" t="n">
        <f aca="false">BX24</f>
        <v>0</v>
      </c>
      <c r="BZ22" s="289" t="n">
        <f aca="false">BY24</f>
        <v>0</v>
      </c>
      <c r="CA22" s="289" t="n">
        <f aca="false">BZ24</f>
        <v>0</v>
      </c>
      <c r="CB22" s="289" t="n">
        <f aca="false">CA24</f>
        <v>0</v>
      </c>
      <c r="CC22" s="289" t="n">
        <f aca="false">CB24</f>
        <v>0</v>
      </c>
      <c r="CD22" s="289" t="n">
        <f aca="false">CC24</f>
        <v>0</v>
      </c>
      <c r="CE22" s="289" t="n">
        <f aca="false">CD24</f>
        <v>0</v>
      </c>
      <c r="CF22" s="289" t="n">
        <f aca="false">CE24</f>
        <v>0</v>
      </c>
      <c r="CG22" s="289" t="n">
        <f aca="false">CF24</f>
        <v>0</v>
      </c>
      <c r="CH22" s="289" t="n">
        <f aca="false">CG24</f>
        <v>0</v>
      </c>
      <c r="CI22" s="289" t="n">
        <f aca="false">CH24</f>
        <v>0</v>
      </c>
      <c r="CJ22" s="289" t="n">
        <f aca="false">CI24</f>
        <v>0</v>
      </c>
      <c r="CK22" s="289" t="n">
        <f aca="false">CJ24</f>
        <v>0</v>
      </c>
      <c r="CL22" s="289" t="n">
        <f aca="false">CK24</f>
        <v>0</v>
      </c>
      <c r="CM22" s="289" t="n">
        <f aca="false">CL24</f>
        <v>0</v>
      </c>
      <c r="CN22" s="289" t="n">
        <f aca="false">CM24</f>
        <v>0</v>
      </c>
      <c r="CO22" s="289" t="n">
        <f aca="false">CN24</f>
        <v>0</v>
      </c>
      <c r="CP22" s="289" t="n">
        <f aca="false">CO24</f>
        <v>0</v>
      </c>
      <c r="CQ22" s="289" t="n">
        <f aca="false">CP24</f>
        <v>0</v>
      </c>
    </row>
    <row r="23" customFormat="false" ht="15" hidden="false" customHeight="true" outlineLevel="0" collapsed="false">
      <c r="A23" s="308" t="s">
        <v>1156</v>
      </c>
      <c r="C23" s="309" t="n">
        <f aca="false">MIN(C22,Model!E255)</f>
        <v>0</v>
      </c>
      <c r="D23" s="309" t="n">
        <f aca="false">MIN(D22,Model!F255)</f>
        <v>0</v>
      </c>
      <c r="E23" s="309" t="n">
        <f aca="false">MIN(E22,Model!G255)</f>
        <v>0</v>
      </c>
      <c r="F23" s="309" t="n">
        <f aca="false">MIN(F22,Model!H255)</f>
        <v>0</v>
      </c>
      <c r="G23" s="309" t="n">
        <f aca="false">MIN(G22,Model!I255)</f>
        <v>0</v>
      </c>
      <c r="H23" s="309" t="n">
        <f aca="false">MIN(H22,Model!J255)</f>
        <v>0</v>
      </c>
      <c r="I23" s="309" t="n">
        <f aca="false">MIN(I22,Model!K255)</f>
        <v>0</v>
      </c>
      <c r="J23" s="309" t="n">
        <f aca="false">MIN(J22,Model!L255)</f>
        <v>0</v>
      </c>
      <c r="K23" s="309" t="n">
        <f aca="false">MIN(K22,Model!M255)</f>
        <v>0</v>
      </c>
      <c r="L23" s="309" t="n">
        <f aca="false">MIN(L22,Model!N255)</f>
        <v>0</v>
      </c>
      <c r="M23" s="309" t="n">
        <f aca="false">MIN(M22,Model!O255)</f>
        <v>0</v>
      </c>
      <c r="N23" s="309" t="n">
        <f aca="false">MIN(N22,Model!P255)</f>
        <v>0</v>
      </c>
      <c r="O23" s="309" t="n">
        <f aca="false">MIN(O22,Model!Q255)</f>
        <v>0</v>
      </c>
      <c r="P23" s="309" t="n">
        <f aca="false">MIN(P22,Model!R255)</f>
        <v>0</v>
      </c>
      <c r="Q23" s="309" t="n">
        <f aca="false">MIN(Q22,Model!S255)</f>
        <v>0</v>
      </c>
      <c r="R23" s="309" t="n">
        <f aca="false">MIN(R22,Model!T255)</f>
        <v>0</v>
      </c>
      <c r="S23" s="309" t="n">
        <f aca="false">MIN(S22,Model!U255)</f>
        <v>0</v>
      </c>
      <c r="T23" s="309" t="n">
        <f aca="false">MIN(T22,Model!V255)</f>
        <v>0</v>
      </c>
      <c r="U23" s="309" t="n">
        <f aca="false">MIN(U22,Model!W255)</f>
        <v>0</v>
      </c>
      <c r="V23" s="309" t="n">
        <f aca="false">MIN(V22,Model!X255)</f>
        <v>0</v>
      </c>
      <c r="W23" s="309" t="n">
        <f aca="false">MIN(W22,Model!Y255)</f>
        <v>0</v>
      </c>
      <c r="X23" s="309" t="n">
        <f aca="false">MIN(X22,Model!Z255)</f>
        <v>0</v>
      </c>
      <c r="Y23" s="309" t="n">
        <f aca="false">MIN(Y22,Model!AA255)</f>
        <v>0</v>
      </c>
      <c r="Z23" s="309" t="n">
        <f aca="false">MIN(Z22,Model!AB255)</f>
        <v>0</v>
      </c>
      <c r="AA23" s="309" t="n">
        <f aca="false">MIN(AA22,Model!AC255)</f>
        <v>0</v>
      </c>
      <c r="AB23" s="309" t="n">
        <f aca="false">MIN(AB22,Model!AD255)</f>
        <v>0</v>
      </c>
      <c r="AC23" s="309" t="n">
        <f aca="false">MIN(AC22,Model!AE255)</f>
        <v>0</v>
      </c>
      <c r="AD23" s="309" t="n">
        <f aca="false">MIN(AD22,Model!AF255)</f>
        <v>0</v>
      </c>
      <c r="AE23" s="309" t="n">
        <f aca="false">MIN(AE22,Model!AG255)</f>
        <v>0</v>
      </c>
      <c r="AF23" s="309" t="n">
        <f aca="false">MIN(AF22,Model!AH255)</f>
        <v>0</v>
      </c>
      <c r="AG23" s="309" t="n">
        <f aca="false">MIN(AG22,Model!AI255)</f>
        <v>0</v>
      </c>
      <c r="AH23" s="309" t="n">
        <f aca="false">MIN(AH22,Model!AJ255)</f>
        <v>0</v>
      </c>
      <c r="AI23" s="309" t="n">
        <f aca="false">MIN(AI22,Model!AK255)</f>
        <v>0</v>
      </c>
      <c r="AJ23" s="309" t="n">
        <f aca="false">MIN(AJ22,Model!AL255)</f>
        <v>0</v>
      </c>
      <c r="AK23" s="309" t="n">
        <f aca="false">MIN(AK22,Model!AM255)</f>
        <v>0</v>
      </c>
      <c r="AL23" s="309" t="n">
        <f aca="false">MIN(AL22,Model!AN255)</f>
        <v>0</v>
      </c>
      <c r="AM23" s="309" t="n">
        <f aca="false">MIN(AM22,Model!AO255)</f>
        <v>0</v>
      </c>
      <c r="AN23" s="309" t="n">
        <f aca="false">MIN(AN22,Model!AP255)</f>
        <v>0</v>
      </c>
      <c r="AO23" s="309" t="n">
        <f aca="false">MIN(AO22,Model!AQ255)</f>
        <v>0</v>
      </c>
      <c r="AP23" s="309" t="n">
        <f aca="false">MIN(AP22,Model!AR255)</f>
        <v>0</v>
      </c>
      <c r="AQ23" s="309" t="n">
        <f aca="false">MIN(AQ22,Model!AS255)</f>
        <v>0</v>
      </c>
      <c r="AR23" s="309" t="n">
        <f aca="false">MIN(AR22,Model!AT255)</f>
        <v>0</v>
      </c>
      <c r="AS23" s="309" t="n">
        <f aca="false">MIN(AS22,Model!AU255)</f>
        <v>0</v>
      </c>
      <c r="AT23" s="309" t="n">
        <f aca="false">MIN(AT22,Model!AV255)</f>
        <v>0</v>
      </c>
      <c r="AU23" s="309" t="n">
        <f aca="false">MIN(AU22,Model!AW255)</f>
        <v>0</v>
      </c>
      <c r="AV23" s="309" t="n">
        <f aca="false">MIN(AV22,Model!AX255)</f>
        <v>0</v>
      </c>
      <c r="AW23" s="309" t="n">
        <f aca="false">MIN(AW22,Model!AY255)</f>
        <v>0</v>
      </c>
      <c r="AX23" s="309" t="n">
        <f aca="false">MIN(AX22,Model!AZ255)</f>
        <v>0</v>
      </c>
      <c r="AY23" s="309" t="n">
        <f aca="false">MIN(AY22,Model!BA255)</f>
        <v>0</v>
      </c>
      <c r="AZ23" s="309" t="n">
        <f aca="false">MIN(AZ22,Model!BB255)</f>
        <v>0</v>
      </c>
      <c r="BA23" s="309" t="n">
        <f aca="false">MIN(BA22,Model!BC255)</f>
        <v>602667.7</v>
      </c>
      <c r="BB23" s="309" t="n">
        <f aca="false">MIN(BB22,Model!BD255)</f>
        <v>0</v>
      </c>
      <c r="BC23" s="309" t="n">
        <f aca="false">MIN(BC22,Model!BE255)</f>
        <v>0</v>
      </c>
      <c r="BD23" s="309" t="n">
        <f aca="false">MIN(BD22,Model!BF255)</f>
        <v>0</v>
      </c>
      <c r="BE23" s="309" t="n">
        <f aca="false">MIN(BE22,Model!BG255)</f>
        <v>0</v>
      </c>
      <c r="BF23" s="309" t="n">
        <f aca="false">MIN(BF22,Model!BH255)</f>
        <v>0</v>
      </c>
      <c r="BG23" s="309" t="n">
        <f aca="false">MIN(BG22,Model!BI255)</f>
        <v>0</v>
      </c>
      <c r="BH23" s="309" t="n">
        <f aca="false">MIN(BH22,Model!BJ255)</f>
        <v>0</v>
      </c>
      <c r="BI23" s="309" t="n">
        <f aca="false">MIN(BI22,Model!BK255)</f>
        <v>0</v>
      </c>
      <c r="BJ23" s="309" t="n">
        <f aca="false">MIN(BJ22,Model!BL255)</f>
        <v>0</v>
      </c>
      <c r="BK23" s="309" t="n">
        <f aca="false">MIN(BK22,Model!BM255)</f>
        <v>0</v>
      </c>
      <c r="BL23" s="309" t="n">
        <f aca="false">MIN(BL22,Model!BN255)</f>
        <v>0</v>
      </c>
      <c r="BM23" s="309" t="n">
        <f aca="false">MIN(BM22,Model!BO255)</f>
        <v>0</v>
      </c>
      <c r="BN23" s="309" t="n">
        <f aca="false">MIN(BN22,Model!BP255)</f>
        <v>0</v>
      </c>
      <c r="BO23" s="309" t="n">
        <f aca="false">MIN(BO22,Model!BQ255)</f>
        <v>0</v>
      </c>
      <c r="BP23" s="309" t="n">
        <f aca="false">MIN(BP22,Model!BR255)</f>
        <v>0</v>
      </c>
      <c r="BQ23" s="309" t="n">
        <f aca="false">MIN(BQ22,Model!BS255)</f>
        <v>0</v>
      </c>
      <c r="BR23" s="309" t="n">
        <f aca="false">MIN(BR22,Model!BT255)</f>
        <v>0</v>
      </c>
      <c r="BS23" s="309" t="n">
        <f aca="false">MIN(BS22,Model!BU255)</f>
        <v>0</v>
      </c>
      <c r="BT23" s="309" t="n">
        <f aca="false">MIN(BT22,Model!BV255)</f>
        <v>0</v>
      </c>
      <c r="BU23" s="309" t="n">
        <f aca="false">MIN(BU22,Model!BW255)</f>
        <v>0</v>
      </c>
      <c r="BV23" s="309" t="n">
        <f aca="false">MIN(BV22,Model!BX255)</f>
        <v>0</v>
      </c>
      <c r="BW23" s="309" t="n">
        <f aca="false">MIN(BW22,Model!BY255)</f>
        <v>0</v>
      </c>
      <c r="BX23" s="309" t="n">
        <f aca="false">MIN(BX22,Model!BZ255)</f>
        <v>0</v>
      </c>
      <c r="BY23" s="309" t="n">
        <f aca="false">MIN(BY22,Model!CA255)</f>
        <v>0</v>
      </c>
      <c r="BZ23" s="309" t="n">
        <f aca="false">MIN(BZ22,Model!CB255)</f>
        <v>0</v>
      </c>
      <c r="CA23" s="309" t="n">
        <f aca="false">MIN(CA22,Model!CC255)</f>
        <v>0</v>
      </c>
      <c r="CB23" s="309" t="n">
        <f aca="false">MIN(CB22,Model!CD255)</f>
        <v>0</v>
      </c>
      <c r="CC23" s="309" t="n">
        <f aca="false">MIN(CC22,Model!CE255)</f>
        <v>0</v>
      </c>
      <c r="CD23" s="309" t="n">
        <f aca="false">MIN(CD22,Model!CF255)</f>
        <v>0</v>
      </c>
      <c r="CE23" s="309" t="n">
        <f aca="false">MIN(CE22,Model!CG255)</f>
        <v>0</v>
      </c>
      <c r="CF23" s="309" t="n">
        <f aca="false">MIN(CF22,Model!CH255)</f>
        <v>0</v>
      </c>
      <c r="CG23" s="309" t="n">
        <f aca="false">MIN(CG22,Model!CI255)</f>
        <v>0</v>
      </c>
      <c r="CH23" s="309" t="n">
        <f aca="false">MIN(CH22,Model!CJ255)</f>
        <v>0</v>
      </c>
      <c r="CI23" s="309" t="n">
        <f aca="false">MIN(CI22,Model!CK255)</f>
        <v>0</v>
      </c>
      <c r="CJ23" s="309" t="n">
        <f aca="false">MIN(CJ22,Model!CL255)</f>
        <v>0</v>
      </c>
      <c r="CK23" s="309" t="n">
        <f aca="false">MIN(CK22,Model!CM255)</f>
        <v>0</v>
      </c>
      <c r="CL23" s="309" t="n">
        <f aca="false">MIN(CL22,Model!CN255)</f>
        <v>0</v>
      </c>
      <c r="CM23" s="309" t="n">
        <f aca="false">MIN(CM22,Model!CO255)</f>
        <v>0</v>
      </c>
      <c r="CN23" s="309" t="n">
        <f aca="false">MIN(CN22,Model!CP255)</f>
        <v>0</v>
      </c>
      <c r="CO23" s="309" t="n">
        <f aca="false">MIN(CO22,Model!CQ255)</f>
        <v>0</v>
      </c>
      <c r="CP23" s="309" t="n">
        <f aca="false">MIN(CP22,Model!CR255)</f>
        <v>0</v>
      </c>
      <c r="CQ23" s="309" t="n">
        <f aca="false">MIN(CQ22,Model!CS255)</f>
        <v>0</v>
      </c>
    </row>
    <row r="24" customFormat="false" ht="15" hidden="false" customHeight="true" outlineLevel="0" collapsed="false">
      <c r="A24" s="94" t="s">
        <v>1157</v>
      </c>
      <c r="C24" s="307" t="n">
        <f aca="false">MAX(0,C22-C23)</f>
        <v>602667.7</v>
      </c>
      <c r="D24" s="307" t="n">
        <f aca="false">MAX(0,D22-D23)</f>
        <v>602667.7</v>
      </c>
      <c r="E24" s="307" t="n">
        <f aca="false">MAX(0,E22-E23)</f>
        <v>602667.7</v>
      </c>
      <c r="F24" s="307" t="n">
        <f aca="false">MAX(0,F22-F23)</f>
        <v>602667.7</v>
      </c>
      <c r="G24" s="307" t="n">
        <f aca="false">MAX(0,G22-G23)</f>
        <v>602667.7</v>
      </c>
      <c r="H24" s="307" t="n">
        <f aca="false">MAX(0,H22-H23)</f>
        <v>602667.7</v>
      </c>
      <c r="I24" s="307" t="n">
        <f aca="false">MAX(0,I22-I23)</f>
        <v>602667.7</v>
      </c>
      <c r="J24" s="307" t="n">
        <f aca="false">MAX(0,J22-J23)</f>
        <v>602667.7</v>
      </c>
      <c r="K24" s="307" t="n">
        <f aca="false">MAX(0,K22-K23)</f>
        <v>602667.7</v>
      </c>
      <c r="L24" s="307" t="n">
        <f aca="false">MAX(0,L22-L23)</f>
        <v>602667.7</v>
      </c>
      <c r="M24" s="307" t="n">
        <f aca="false">MAX(0,M22-M23)</f>
        <v>602667.7</v>
      </c>
      <c r="N24" s="307" t="n">
        <f aca="false">MAX(0,N22-N23)</f>
        <v>602667.7</v>
      </c>
      <c r="O24" s="307" t="n">
        <f aca="false">MAX(0,O22-O23)</f>
        <v>602667.7</v>
      </c>
      <c r="P24" s="307" t="n">
        <f aca="false">MAX(0,P22-P23)</f>
        <v>602667.7</v>
      </c>
      <c r="Q24" s="307" t="n">
        <f aca="false">MAX(0,Q22-Q23)</f>
        <v>602667.7</v>
      </c>
      <c r="R24" s="307" t="n">
        <f aca="false">MAX(0,R22-R23)</f>
        <v>602667.7</v>
      </c>
      <c r="S24" s="307" t="n">
        <f aca="false">MAX(0,S22-S23)</f>
        <v>602667.7</v>
      </c>
      <c r="T24" s="307" t="n">
        <f aca="false">MAX(0,T22-T23)</f>
        <v>602667.7</v>
      </c>
      <c r="U24" s="307" t="n">
        <f aca="false">MAX(0,U22-U23)</f>
        <v>602667.7</v>
      </c>
      <c r="V24" s="307" t="n">
        <f aca="false">MAX(0,V22-V23)</f>
        <v>602667.7</v>
      </c>
      <c r="W24" s="307" t="n">
        <f aca="false">MAX(0,W22-W23)</f>
        <v>602667.7</v>
      </c>
      <c r="X24" s="307" t="n">
        <f aca="false">MAX(0,X22-X23)</f>
        <v>602667.7</v>
      </c>
      <c r="Y24" s="307" t="n">
        <f aca="false">MAX(0,Y22-Y23)</f>
        <v>602667.7</v>
      </c>
      <c r="Z24" s="307" t="n">
        <f aca="false">MAX(0,Z22-Z23)</f>
        <v>602667.7</v>
      </c>
      <c r="AA24" s="307" t="n">
        <f aca="false">MAX(0,AA22-AA23)</f>
        <v>602667.7</v>
      </c>
      <c r="AB24" s="307" t="n">
        <f aca="false">MAX(0,AB22-AB23)</f>
        <v>602667.7</v>
      </c>
      <c r="AC24" s="307" t="n">
        <f aca="false">MAX(0,AC22-AC23)</f>
        <v>602667.7</v>
      </c>
      <c r="AD24" s="307" t="n">
        <f aca="false">MAX(0,AD22-AD23)</f>
        <v>602667.7</v>
      </c>
      <c r="AE24" s="307" t="n">
        <f aca="false">MAX(0,AE22-AE23)</f>
        <v>602667.7</v>
      </c>
      <c r="AF24" s="307" t="n">
        <f aca="false">MAX(0,AF22-AF23)</f>
        <v>602667.7</v>
      </c>
      <c r="AG24" s="307" t="n">
        <f aca="false">MAX(0,AG22-AG23)</f>
        <v>602667.7</v>
      </c>
      <c r="AH24" s="307" t="n">
        <f aca="false">MAX(0,AH22-AH23)</f>
        <v>602667.7</v>
      </c>
      <c r="AI24" s="307" t="n">
        <f aca="false">MAX(0,AI22-AI23)</f>
        <v>602667.7</v>
      </c>
      <c r="AJ24" s="307" t="n">
        <f aca="false">MAX(0,AJ22-AJ23)</f>
        <v>602667.7</v>
      </c>
      <c r="AK24" s="307" t="n">
        <f aca="false">MAX(0,AK22-AK23)</f>
        <v>602667.7</v>
      </c>
      <c r="AL24" s="307" t="n">
        <f aca="false">MAX(0,AL22-AL23)</f>
        <v>602667.7</v>
      </c>
      <c r="AM24" s="307" t="n">
        <f aca="false">MAX(0,AM22-AM23)</f>
        <v>602667.7</v>
      </c>
      <c r="AN24" s="307" t="n">
        <f aca="false">MAX(0,AN22-AN23)</f>
        <v>602667.7</v>
      </c>
      <c r="AO24" s="307" t="n">
        <f aca="false">MAX(0,AO22-AO23)</f>
        <v>602667.7</v>
      </c>
      <c r="AP24" s="307" t="n">
        <f aca="false">MAX(0,AP22-AP23)</f>
        <v>602667.7</v>
      </c>
      <c r="AQ24" s="307" t="n">
        <f aca="false">MAX(0,AQ22-AQ23)</f>
        <v>602667.7</v>
      </c>
      <c r="AR24" s="307" t="n">
        <f aca="false">MAX(0,AR22-AR23)</f>
        <v>602667.7</v>
      </c>
      <c r="AS24" s="307" t="n">
        <f aca="false">MAX(0,AS22-AS23)</f>
        <v>602667.7</v>
      </c>
      <c r="AT24" s="307" t="n">
        <f aca="false">MAX(0,AT22-AT23)</f>
        <v>602667.7</v>
      </c>
      <c r="AU24" s="307" t="n">
        <f aca="false">MAX(0,AU22-AU23)</f>
        <v>602667.7</v>
      </c>
      <c r="AV24" s="307" t="n">
        <f aca="false">MAX(0,AV22-AV23)</f>
        <v>602667.7</v>
      </c>
      <c r="AW24" s="307" t="n">
        <f aca="false">MAX(0,AW22-AW23)</f>
        <v>602667.7</v>
      </c>
      <c r="AX24" s="307" t="n">
        <f aca="false">MAX(0,AX22-AX23)</f>
        <v>602667.7</v>
      </c>
      <c r="AY24" s="307" t="n">
        <f aca="false">MAX(0,AY22-AY23)</f>
        <v>602667.7</v>
      </c>
      <c r="AZ24" s="307" t="n">
        <f aca="false">MAX(0,AZ22-AZ23)</f>
        <v>602667.7</v>
      </c>
      <c r="BA24" s="307" t="n">
        <f aca="false">MAX(0,BA22-BA23)</f>
        <v>0</v>
      </c>
      <c r="BB24" s="307" t="n">
        <f aca="false">MAX(0,BB22-BB23)</f>
        <v>0</v>
      </c>
      <c r="BC24" s="307" t="n">
        <f aca="false">MAX(0,BC22-BC23)</f>
        <v>0</v>
      </c>
      <c r="BD24" s="307" t="n">
        <f aca="false">MAX(0,BD22-BD23)</f>
        <v>0</v>
      </c>
      <c r="BE24" s="307" t="n">
        <f aca="false">MAX(0,BE22-BE23)</f>
        <v>0</v>
      </c>
      <c r="BF24" s="307" t="n">
        <f aca="false">MAX(0,BF22-BF23)</f>
        <v>0</v>
      </c>
      <c r="BG24" s="307" t="n">
        <f aca="false">MAX(0,BG22-BG23)</f>
        <v>0</v>
      </c>
      <c r="BH24" s="307" t="n">
        <f aca="false">MAX(0,BH22-BH23)</f>
        <v>0</v>
      </c>
      <c r="BI24" s="307" t="n">
        <f aca="false">MAX(0,BI22-BI23)</f>
        <v>0</v>
      </c>
      <c r="BJ24" s="307" t="n">
        <f aca="false">MAX(0,BJ22-BJ23)</f>
        <v>0</v>
      </c>
      <c r="BK24" s="307" t="n">
        <f aca="false">MAX(0,BK22-BK23)</f>
        <v>0</v>
      </c>
      <c r="BL24" s="307" t="n">
        <f aca="false">MAX(0,BL22-BL23)</f>
        <v>0</v>
      </c>
      <c r="BM24" s="307" t="n">
        <f aca="false">MAX(0,BM22-BM23)</f>
        <v>0</v>
      </c>
      <c r="BN24" s="307" t="n">
        <f aca="false">MAX(0,BN22-BN23)</f>
        <v>0</v>
      </c>
      <c r="BO24" s="307" t="n">
        <f aca="false">MAX(0,BO22-BO23)</f>
        <v>0</v>
      </c>
      <c r="BP24" s="307" t="n">
        <f aca="false">MAX(0,BP22-BP23)</f>
        <v>0</v>
      </c>
      <c r="BQ24" s="307" t="n">
        <f aca="false">MAX(0,BQ22-BQ23)</f>
        <v>0</v>
      </c>
      <c r="BR24" s="307" t="n">
        <f aca="false">MAX(0,BR22-BR23)</f>
        <v>0</v>
      </c>
      <c r="BS24" s="307" t="n">
        <f aca="false">MAX(0,BS22-BS23)</f>
        <v>0</v>
      </c>
      <c r="BT24" s="307" t="n">
        <f aca="false">MAX(0,BT22-BT23)</f>
        <v>0</v>
      </c>
      <c r="BU24" s="307" t="n">
        <f aca="false">MAX(0,BU22-BU23)</f>
        <v>0</v>
      </c>
      <c r="BV24" s="307" t="n">
        <f aca="false">MAX(0,BV22-BV23)</f>
        <v>0</v>
      </c>
      <c r="BW24" s="307" t="n">
        <f aca="false">MAX(0,BW22-BW23)</f>
        <v>0</v>
      </c>
      <c r="BX24" s="307" t="n">
        <f aca="false">MAX(0,BX22-BX23)</f>
        <v>0</v>
      </c>
      <c r="BY24" s="307" t="n">
        <f aca="false">MAX(0,BY22-BY23)</f>
        <v>0</v>
      </c>
      <c r="BZ24" s="307" t="n">
        <f aca="false">MAX(0,BZ22-BZ23)</f>
        <v>0</v>
      </c>
      <c r="CA24" s="307" t="n">
        <f aca="false">MAX(0,CA22-CA23)</f>
        <v>0</v>
      </c>
      <c r="CB24" s="307" t="n">
        <f aca="false">MAX(0,CB22-CB23)</f>
        <v>0</v>
      </c>
      <c r="CC24" s="307" t="n">
        <f aca="false">MAX(0,CC22-CC23)</f>
        <v>0</v>
      </c>
      <c r="CD24" s="307" t="n">
        <f aca="false">MAX(0,CD22-CD23)</f>
        <v>0</v>
      </c>
      <c r="CE24" s="307" t="n">
        <f aca="false">MAX(0,CE22-CE23)</f>
        <v>0</v>
      </c>
      <c r="CF24" s="307" t="n">
        <f aca="false">MAX(0,CF22-CF23)</f>
        <v>0</v>
      </c>
      <c r="CG24" s="307" t="n">
        <f aca="false">MAX(0,CG22-CG23)</f>
        <v>0</v>
      </c>
      <c r="CH24" s="307" t="n">
        <f aca="false">MAX(0,CH22-CH23)</f>
        <v>0</v>
      </c>
      <c r="CI24" s="307" t="n">
        <f aca="false">MAX(0,CI22-CI23)</f>
        <v>0</v>
      </c>
      <c r="CJ24" s="307" t="n">
        <f aca="false">MAX(0,CJ22-CJ23)</f>
        <v>0</v>
      </c>
      <c r="CK24" s="307" t="n">
        <f aca="false">MAX(0,CK22-CK23)</f>
        <v>0</v>
      </c>
      <c r="CL24" s="307" t="n">
        <f aca="false">MAX(0,CL22-CL23)</f>
        <v>0</v>
      </c>
      <c r="CM24" s="307" t="n">
        <f aca="false">MAX(0,CM22-CM23)</f>
        <v>0</v>
      </c>
      <c r="CN24" s="307" t="n">
        <f aca="false">MAX(0,CN22-CN23)</f>
        <v>0</v>
      </c>
      <c r="CO24" s="307" t="n">
        <f aca="false">MAX(0,CO22-CO23)</f>
        <v>0</v>
      </c>
      <c r="CP24" s="307" t="n">
        <f aca="false">MAX(0,CP22-CP23)</f>
        <v>0</v>
      </c>
      <c r="CQ24" s="307" t="n">
        <f aca="false">MAX(0,CQ22-CQ23)</f>
        <v>0</v>
      </c>
    </row>
    <row r="25" customFormat="false" ht="15" hidden="false" customHeight="true" outlineLevel="0" collapsed="false">
      <c r="A25" s="1" t="s">
        <v>1158</v>
      </c>
      <c r="B25" s="1" t="s">
        <v>1159</v>
      </c>
      <c r="C25" s="310"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1160</v>
      </c>
      <c r="C26" s="310"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1161</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94" t="s">
        <v>1162</v>
      </c>
      <c r="B30" s="294"/>
      <c r="C30" s="294"/>
      <c r="D30" s="294"/>
      <c r="E30" s="294"/>
      <c r="F30" s="294"/>
      <c r="G30" s="294"/>
      <c r="H30" s="294"/>
      <c r="I30" s="294"/>
    </row>
    <row r="31" customFormat="false" ht="15" hidden="false" customHeight="true" outlineLevel="0" collapsed="false">
      <c r="A31" s="311" t="s">
        <v>1163</v>
      </c>
    </row>
    <row r="32" customFormat="false" ht="15" hidden="false" customHeight="true" outlineLevel="0" collapsed="false">
      <c r="A32" s="312" t="s">
        <v>12</v>
      </c>
      <c r="B32" s="220" t="n">
        <f aca="false">LOOKUP(2,1/(Model!E254:CG254&gt;0),Model!E254:CG254)</f>
        <v>76499</v>
      </c>
    </row>
    <row r="33" customFormat="false" ht="15" hidden="false" customHeight="true" outlineLevel="0" collapsed="false">
      <c r="A33" s="312" t="s">
        <v>19</v>
      </c>
      <c r="B33" s="220" t="n">
        <f aca="false">LOOKUP(2,1/(Model!E256:CG256&gt;0),Model!E256:CG256)</f>
        <v>73155</v>
      </c>
    </row>
    <row r="34" customFormat="false" ht="15" hidden="false" customHeight="true" outlineLevel="0" collapsed="false">
      <c r="A34" s="312" t="s">
        <v>18</v>
      </c>
      <c r="B34" s="220" t="n">
        <f aca="false">LOOKUP(2,1/(Model!E255:CG255&gt;0),Model!E255:CG255)</f>
        <v>81362</v>
      </c>
    </row>
    <row r="36" customFormat="false" ht="15" hidden="false" customHeight="true" outlineLevel="0" collapsed="false">
      <c r="A36" s="311" t="s">
        <v>1164</v>
      </c>
    </row>
    <row r="37" customFormat="false" ht="15" hidden="false" customHeight="true" outlineLevel="0" collapsed="false">
      <c r="A37" s="312" t="s">
        <v>12</v>
      </c>
      <c r="B37" s="90" t="n">
        <f aca="false">SUMPRODUCT((Model!E254:CG254&gt;0)*1)</f>
        <v>15</v>
      </c>
    </row>
    <row r="38" customFormat="false" ht="15" hidden="false" customHeight="true" outlineLevel="0" collapsed="false">
      <c r="A38" s="312" t="s">
        <v>19</v>
      </c>
      <c r="B38" s="90" t="n">
        <f aca="false">SUMPRODUCT((Model!E256:CG256&gt;0)*1)</f>
        <v>3</v>
      </c>
    </row>
    <row r="39" customFormat="false" ht="15" hidden="false" customHeight="true" outlineLevel="0" collapsed="false">
      <c r="A39" s="312" t="s">
        <v>18</v>
      </c>
      <c r="B39" s="90" t="n">
        <f aca="false">SUMPRODUCT((Model!E255:CG255&gt;0)*1)</f>
        <v>11</v>
      </c>
    </row>
    <row r="41" customFormat="false" ht="15" hidden="false" customHeight="true" outlineLevel="0" collapsed="false">
      <c r="A41" s="311" t="s">
        <v>1165</v>
      </c>
    </row>
    <row r="42" customFormat="false" ht="15" hidden="false" customHeight="true" outlineLevel="0" collapsed="false">
      <c r="A42" s="312" t="s">
        <v>12</v>
      </c>
      <c r="B42" s="90" t="n">
        <f aca="false">40-B37</f>
        <v>25</v>
      </c>
    </row>
    <row r="43" customFormat="false" ht="15" hidden="false" customHeight="true" outlineLevel="0" collapsed="false">
      <c r="A43" s="312" t="s">
        <v>19</v>
      </c>
      <c r="B43" s="90" t="n">
        <f aca="false">40-B38</f>
        <v>37</v>
      </c>
    </row>
    <row r="44" customFormat="false" ht="15" hidden="false" customHeight="true" outlineLevel="0" collapsed="false">
      <c r="A44" s="312" t="s">
        <v>18</v>
      </c>
      <c r="B44" s="90" t="n">
        <f aca="false">40-B39</f>
        <v>29</v>
      </c>
    </row>
    <row r="46" customFormat="false" ht="15" hidden="false" customHeight="true" outlineLevel="0" collapsed="false">
      <c r="A46" s="311" t="s">
        <v>1166</v>
      </c>
    </row>
    <row r="47" customFormat="false" ht="15" hidden="false" customHeight="true" outlineLevel="0" collapsed="false">
      <c r="A47" s="312" t="s">
        <v>12</v>
      </c>
      <c r="B47" s="220" t="n">
        <f aca="false">B32*B42</f>
        <v>1912475</v>
      </c>
    </row>
    <row r="48" customFormat="false" ht="15" hidden="false" customHeight="true" outlineLevel="0" collapsed="false">
      <c r="A48" s="312" t="s">
        <v>19</v>
      </c>
      <c r="B48" s="220" t="n">
        <f aca="false">B33*B43</f>
        <v>2706735</v>
      </c>
    </row>
    <row r="49" customFormat="false" ht="15" hidden="false" customHeight="true" outlineLevel="0" collapsed="false">
      <c r="A49" s="312" t="s">
        <v>18</v>
      </c>
      <c r="B49" s="220" t="n">
        <f aca="false">B34*B44</f>
        <v>2359498</v>
      </c>
    </row>
    <row r="51" customFormat="false" ht="15" hidden="false" customHeight="true" outlineLevel="0" collapsed="false">
      <c r="A51" s="294" t="s">
        <v>1167</v>
      </c>
      <c r="B51" s="294"/>
      <c r="C51" s="294"/>
      <c r="D51" s="294"/>
      <c r="E51" s="294"/>
      <c r="F51" s="294"/>
      <c r="G51" s="294"/>
    </row>
    <row r="52" customFormat="false" ht="15" hidden="false" customHeight="true" outlineLevel="0" collapsed="false">
      <c r="A52" s="311" t="s">
        <v>1168</v>
      </c>
      <c r="B52" s="311" t="s">
        <v>1169</v>
      </c>
      <c r="C52" s="311" t="s">
        <v>1170</v>
      </c>
      <c r="D52" s="311" t="s">
        <v>1171</v>
      </c>
      <c r="E52" s="311" t="s">
        <v>1172</v>
      </c>
      <c r="F52" s="311" t="s">
        <v>1173</v>
      </c>
      <c r="G52" s="311" t="s">
        <v>1174</v>
      </c>
    </row>
    <row r="53" customFormat="false" ht="15" hidden="false" customHeight="true" outlineLevel="0" collapsed="false">
      <c r="A53" s="90" t="n">
        <v>1</v>
      </c>
      <c r="B53" s="220" t="n">
        <f aca="false">$B$33</f>
        <v>73155</v>
      </c>
      <c r="C53" s="220" t="n">
        <f aca="false">CH27</f>
        <v>270925.32</v>
      </c>
      <c r="D53" s="220" t="n">
        <f aca="false">MIN(C53,B53)</f>
        <v>73155</v>
      </c>
      <c r="E53" s="220" t="n">
        <f aca="false">Model!CJ334</f>
        <v>570021.547005172</v>
      </c>
      <c r="F53" s="220" t="n">
        <f aca="false">E53*Assumptions!$B$59</f>
        <v>21375.8080126939</v>
      </c>
      <c r="G53" s="220" t="n">
        <f aca="false">MIN(E53+F53,MAX(0,B53-D53))</f>
        <v>0</v>
      </c>
    </row>
    <row r="54" customFormat="false" ht="15" hidden="false" customHeight="true" outlineLevel="0" collapsed="false">
      <c r="A54" s="90" t="n">
        <v>2</v>
      </c>
      <c r="B54" s="220" t="n">
        <f aca="false">$B$33</f>
        <v>73155</v>
      </c>
      <c r="C54" s="220" t="n">
        <f aca="false">MAX(0,C53-D53)</f>
        <v>197770.32</v>
      </c>
      <c r="D54" s="220" t="n">
        <f aca="false">MIN(C54,B54)</f>
        <v>73155</v>
      </c>
      <c r="E54" s="220" t="n">
        <f aca="false">MAX(0,E53+F53-G53)</f>
        <v>591397.355017866</v>
      </c>
      <c r="F54" s="220" t="n">
        <f aca="false">E54*Assumptions!$B$59</f>
        <v>22177.40081317</v>
      </c>
      <c r="G54" s="220" t="n">
        <f aca="false">MIN(E54+F54,MAX(0,B54-D54))</f>
        <v>0</v>
      </c>
    </row>
    <row r="55" customFormat="false" ht="15" hidden="false" customHeight="true" outlineLevel="0" collapsed="false">
      <c r="A55" s="90" t="n">
        <v>3</v>
      </c>
      <c r="B55" s="220" t="n">
        <f aca="false">$B$33</f>
        <v>73155</v>
      </c>
      <c r="C55" s="220" t="n">
        <f aca="false">MAX(0,C54-D54)</f>
        <v>124615.32</v>
      </c>
      <c r="D55" s="220" t="n">
        <f aca="false">MIN(C55,B55)</f>
        <v>73155</v>
      </c>
      <c r="E55" s="220" t="n">
        <f aca="false">MAX(0,E54+F54-G54)</f>
        <v>613574.755831036</v>
      </c>
      <c r="F55" s="220" t="n">
        <f aca="false">E55*Assumptions!$B$59</f>
        <v>23009.0533436638</v>
      </c>
      <c r="G55" s="220" t="n">
        <f aca="false">MIN(E55+F55,MAX(0,B55-D55))</f>
        <v>0</v>
      </c>
    </row>
    <row r="56" customFormat="false" ht="15" hidden="false" customHeight="true" outlineLevel="0" collapsed="false">
      <c r="A56" s="90" t="n">
        <v>4</v>
      </c>
      <c r="B56" s="220" t="n">
        <f aca="false">$B$33</f>
        <v>73155</v>
      </c>
      <c r="C56" s="220" t="n">
        <f aca="false">MAX(0,C55-D55)</f>
        <v>51460.3200000001</v>
      </c>
      <c r="D56" s="220" t="n">
        <f aca="false">MIN(C56,B56)</f>
        <v>51460.3200000001</v>
      </c>
      <c r="E56" s="220" t="n">
        <f aca="false">MAX(0,E55+F55-G55)</f>
        <v>636583.8091747</v>
      </c>
      <c r="F56" s="220" t="n">
        <f aca="false">E56*Assumptions!$B$59</f>
        <v>23871.8928440512</v>
      </c>
      <c r="G56" s="220" t="n">
        <f aca="false">MIN(E56+F56,MAX(0,B56-D56))</f>
        <v>21694.6799999999</v>
      </c>
    </row>
    <row r="57" customFormat="false" ht="15" hidden="false" customHeight="true" outlineLevel="0" collapsed="false">
      <c r="A57" s="90" t="n">
        <v>5</v>
      </c>
      <c r="B57" s="220" t="n">
        <f aca="false">$B$33</f>
        <v>73155</v>
      </c>
      <c r="C57" s="220" t="n">
        <f aca="false">MAX(0,C56-D56)</f>
        <v>0</v>
      </c>
      <c r="D57" s="220" t="n">
        <f aca="false">MIN(C57,B57)</f>
        <v>0</v>
      </c>
      <c r="E57" s="220" t="n">
        <f aca="false">MAX(0,E56+F56-G56)</f>
        <v>638761.022018751</v>
      </c>
      <c r="F57" s="220" t="n">
        <f aca="false">E57*Assumptions!$B$59</f>
        <v>23953.5383257032</v>
      </c>
      <c r="G57" s="220" t="n">
        <f aca="false">MIN(E57+F57,MAX(0,B57-D57))</f>
        <v>73155</v>
      </c>
    </row>
    <row r="58" customFormat="false" ht="15" hidden="false" customHeight="true" outlineLevel="0" collapsed="false">
      <c r="A58" s="90" t="n">
        <v>6</v>
      </c>
      <c r="B58" s="220" t="n">
        <f aca="false">$B$33</f>
        <v>73155</v>
      </c>
      <c r="C58" s="220" t="n">
        <f aca="false">MAX(0,C57-D57)</f>
        <v>0</v>
      </c>
      <c r="D58" s="220" t="n">
        <f aca="false">MIN(C58,B58)</f>
        <v>0</v>
      </c>
      <c r="E58" s="220" t="n">
        <f aca="false">MAX(0,E57+F57-G57)</f>
        <v>589559.560344454</v>
      </c>
      <c r="F58" s="220" t="n">
        <f aca="false">E58*Assumptions!$B$59</f>
        <v>22108.483512917</v>
      </c>
      <c r="G58" s="220" t="n">
        <f aca="false">MIN(E58+F58,MAX(0,B58-D58))</f>
        <v>73155</v>
      </c>
    </row>
    <row r="59" customFormat="false" ht="15" hidden="false" customHeight="true" outlineLevel="0" collapsed="false">
      <c r="A59" s="90" t="n">
        <v>7</v>
      </c>
      <c r="B59" s="220" t="n">
        <f aca="false">$B$33</f>
        <v>73155</v>
      </c>
      <c r="C59" s="220" t="n">
        <f aca="false">MAX(0,C58-D58)</f>
        <v>0</v>
      </c>
      <c r="D59" s="220" t="n">
        <f aca="false">MIN(C59,B59)</f>
        <v>0</v>
      </c>
      <c r="E59" s="220" t="n">
        <f aca="false">MAX(0,E58+F58-G58)</f>
        <v>538513.043857371</v>
      </c>
      <c r="F59" s="220" t="n">
        <f aca="false">E59*Assumptions!$B$59</f>
        <v>20194.2391446514</v>
      </c>
      <c r="G59" s="220" t="n">
        <f aca="false">MIN(E59+F59,MAX(0,B59-D59))</f>
        <v>73155</v>
      </c>
    </row>
    <row r="60" customFormat="false" ht="15" hidden="false" customHeight="true" outlineLevel="0" collapsed="false">
      <c r="A60" s="90" t="n">
        <v>8</v>
      </c>
      <c r="B60" s="220" t="n">
        <f aca="false">$B$33</f>
        <v>73155</v>
      </c>
      <c r="C60" s="220" t="n">
        <f aca="false">MAX(0,C59-D59)</f>
        <v>0</v>
      </c>
      <c r="D60" s="220" t="n">
        <f aca="false">MIN(C60,B60)</f>
        <v>0</v>
      </c>
      <c r="E60" s="220" t="n">
        <f aca="false">MAX(0,E59+F59-G59)</f>
        <v>485552.283002023</v>
      </c>
      <c r="F60" s="220" t="n">
        <f aca="false">E60*Assumptions!$B$59</f>
        <v>18208.2106125758</v>
      </c>
      <c r="G60" s="220" t="n">
        <f aca="false">MIN(E60+F60,MAX(0,B60-D60))</f>
        <v>73155</v>
      </c>
    </row>
    <row r="61" customFormat="false" ht="15" hidden="false" customHeight="true" outlineLevel="0" collapsed="false">
      <c r="A61" s="90" t="n">
        <v>9</v>
      </c>
      <c r="B61" s="220" t="n">
        <f aca="false">$B$33</f>
        <v>73155</v>
      </c>
      <c r="C61" s="220" t="n">
        <f aca="false">MAX(0,C60-D60)</f>
        <v>0</v>
      </c>
      <c r="D61" s="220" t="n">
        <f aca="false">MIN(C61,B61)</f>
        <v>0</v>
      </c>
      <c r="E61" s="220" t="n">
        <f aca="false">MAX(0,E60+F60-G60)</f>
        <v>430605.493614598</v>
      </c>
      <c r="F61" s="220" t="n">
        <f aca="false">E61*Assumptions!$B$59</f>
        <v>16147.7060105474</v>
      </c>
      <c r="G61" s="220" t="n">
        <f aca="false">MIN(E61+F61,MAX(0,B61-D61))</f>
        <v>73155</v>
      </c>
    </row>
    <row r="62" customFormat="false" ht="15" hidden="false" customHeight="true" outlineLevel="0" collapsed="false">
      <c r="A62" s="90" t="n">
        <v>10</v>
      </c>
      <c r="B62" s="220" t="n">
        <f aca="false">$B$33</f>
        <v>73155</v>
      </c>
      <c r="C62" s="220" t="n">
        <f aca="false">MAX(0,C61-D61)</f>
        <v>0</v>
      </c>
      <c r="D62" s="220" t="n">
        <f aca="false">MIN(C62,B62)</f>
        <v>0</v>
      </c>
      <c r="E62" s="220" t="n">
        <f aca="false">MAX(0,E61+F61-G61)</f>
        <v>373598.199625146</v>
      </c>
      <c r="F62" s="220" t="n">
        <f aca="false">E62*Assumptions!$B$59</f>
        <v>14009.932485943</v>
      </c>
      <c r="G62" s="220" t="n">
        <f aca="false">MIN(E62+F62,MAX(0,B62-D62))</f>
        <v>73155</v>
      </c>
    </row>
    <row r="63" customFormat="false" ht="15" hidden="false" customHeight="true" outlineLevel="0" collapsed="false">
      <c r="A63" s="90" t="n">
        <v>11</v>
      </c>
      <c r="B63" s="220" t="n">
        <f aca="false">$B$33</f>
        <v>73155</v>
      </c>
      <c r="C63" s="220" t="n">
        <f aca="false">MAX(0,C62-D62)</f>
        <v>0</v>
      </c>
      <c r="D63" s="220" t="n">
        <f aca="false">MIN(C63,B63)</f>
        <v>0</v>
      </c>
      <c r="E63" s="220" t="n">
        <f aca="false">MAX(0,E62+F62-G62)</f>
        <v>314453.132111089</v>
      </c>
      <c r="F63" s="220" t="n">
        <f aca="false">E63*Assumptions!$B$59</f>
        <v>11791.9924541658</v>
      </c>
      <c r="G63" s="220" t="n">
        <f aca="false">MIN(E63+F63,MAX(0,B63-D63))</f>
        <v>73155</v>
      </c>
    </row>
    <row r="64" customFormat="false" ht="15" hidden="false" customHeight="true" outlineLevel="0" collapsed="false">
      <c r="A64" s="90" t="n">
        <v>12</v>
      </c>
      <c r="B64" s="220" t="n">
        <f aca="false">$B$33</f>
        <v>73155</v>
      </c>
      <c r="C64" s="220" t="n">
        <f aca="false">MAX(0,C63-D63)</f>
        <v>0</v>
      </c>
      <c r="D64" s="220" t="n">
        <f aca="false">MIN(C64,B64)</f>
        <v>0</v>
      </c>
      <c r="E64" s="220" t="n">
        <f aca="false">MAX(0,E63+F63-G63)</f>
        <v>253090.124565255</v>
      </c>
      <c r="F64" s="220" t="n">
        <f aca="false">E64*Assumptions!$B$59</f>
        <v>9490.87967119705</v>
      </c>
      <c r="G64" s="220" t="n">
        <f aca="false">MIN(E64+F64,MAX(0,B64-D64))</f>
        <v>73155</v>
      </c>
    </row>
    <row r="65" customFormat="false" ht="15" hidden="false" customHeight="true" outlineLevel="0" collapsed="false">
      <c r="A65" s="90" t="n">
        <v>13</v>
      </c>
      <c r="B65" s="220" t="n">
        <f aca="false">$B$33</f>
        <v>73155</v>
      </c>
      <c r="C65" s="220" t="n">
        <f aca="false">MAX(0,C64-D64)</f>
        <v>0</v>
      </c>
      <c r="D65" s="220" t="n">
        <f aca="false">MIN(C65,B65)</f>
        <v>0</v>
      </c>
      <c r="E65" s="220" t="n">
        <f aca="false">MAX(0,E64+F64-G64)</f>
        <v>189426.004236452</v>
      </c>
      <c r="F65" s="220" t="n">
        <f aca="false">E65*Assumptions!$B$59</f>
        <v>7103.47515886694</v>
      </c>
      <c r="G65" s="220" t="n">
        <f aca="false">MIN(E65+F65,MAX(0,B65-D65))</f>
        <v>73155</v>
      </c>
    </row>
    <row r="66" customFormat="false" ht="15" hidden="false" customHeight="true" outlineLevel="0" collapsed="false">
      <c r="A66" s="90" t="n">
        <v>14</v>
      </c>
      <c r="B66" s="220" t="n">
        <f aca="false">$B$33</f>
        <v>73155</v>
      </c>
      <c r="C66" s="220" t="n">
        <f aca="false">MAX(0,C65-D65)</f>
        <v>0</v>
      </c>
      <c r="D66" s="220" t="n">
        <f aca="false">MIN(C66,B66)</f>
        <v>0</v>
      </c>
      <c r="E66" s="220" t="n">
        <f aca="false">MAX(0,E65+F65-G65)</f>
        <v>123374.479395319</v>
      </c>
      <c r="F66" s="220" t="n">
        <f aca="false">E66*Assumptions!$B$59</f>
        <v>4626.54297732445</v>
      </c>
      <c r="G66" s="220" t="n">
        <f aca="false">MIN(E66+F66,MAX(0,B66-D66))</f>
        <v>73155</v>
      </c>
    </row>
    <row r="67" customFormat="false" ht="15" hidden="false" customHeight="true" outlineLevel="0" collapsed="false">
      <c r="A67" s="90" t="n">
        <v>15</v>
      </c>
      <c r="B67" s="220" t="n">
        <f aca="false">$B$33</f>
        <v>73155</v>
      </c>
      <c r="C67" s="220" t="n">
        <f aca="false">MAX(0,C66-D66)</f>
        <v>0</v>
      </c>
      <c r="D67" s="220" t="n">
        <f aca="false">MIN(C67,B67)</f>
        <v>0</v>
      </c>
      <c r="E67" s="220" t="n">
        <f aca="false">MAX(0,E66+F66-G66)</f>
        <v>54846.0223726431</v>
      </c>
      <c r="F67" s="220" t="n">
        <f aca="false">E67*Assumptions!$B$59</f>
        <v>2056.72583897412</v>
      </c>
      <c r="G67" s="220" t="n">
        <f aca="false">MIN(E67+F67,MAX(0,B67-D67))</f>
        <v>56902.7482116172</v>
      </c>
    </row>
    <row r="68" customFormat="false" ht="15" hidden="false" customHeight="true" outlineLevel="0" collapsed="false">
      <c r="A68" s="90" t="n">
        <v>16</v>
      </c>
      <c r="B68" s="220" t="n">
        <f aca="false">$B$33</f>
        <v>73155</v>
      </c>
      <c r="C68" s="220" t="n">
        <f aca="false">MAX(0,C67-D67)</f>
        <v>0</v>
      </c>
      <c r="D68" s="220" t="n">
        <f aca="false">MIN(C68,B68)</f>
        <v>0</v>
      </c>
      <c r="E68" s="220" t="n">
        <f aca="false">MAX(0,E67+F67-G67)</f>
        <v>0</v>
      </c>
      <c r="F68" s="220" t="n">
        <f aca="false">E68*Assumptions!$B$59</f>
        <v>0</v>
      </c>
      <c r="G68" s="220" t="n">
        <f aca="false">MIN(E68+F68,MAX(0,B68-D68))</f>
        <v>0</v>
      </c>
    </row>
    <row r="69" customFormat="false" ht="15" hidden="false" customHeight="true" outlineLevel="0" collapsed="false">
      <c r="A69" s="90" t="n">
        <v>17</v>
      </c>
      <c r="B69" s="220" t="n">
        <f aca="false">$B$33</f>
        <v>73155</v>
      </c>
      <c r="C69" s="220" t="n">
        <f aca="false">MAX(0,C68-D68)</f>
        <v>0</v>
      </c>
      <c r="D69" s="220" t="n">
        <f aca="false">MIN(C69,B69)</f>
        <v>0</v>
      </c>
      <c r="E69" s="220" t="n">
        <f aca="false">MAX(0,E68+F68-G68)</f>
        <v>0</v>
      </c>
      <c r="F69" s="220" t="n">
        <f aca="false">E69*Assumptions!$B$59</f>
        <v>0</v>
      </c>
      <c r="G69" s="220" t="n">
        <f aca="false">MIN(E69+F69,MAX(0,B69-D69))</f>
        <v>0</v>
      </c>
    </row>
    <row r="70" customFormat="false" ht="15" hidden="false" customHeight="true" outlineLevel="0" collapsed="false">
      <c r="A70" s="90" t="n">
        <v>18</v>
      </c>
      <c r="B70" s="220" t="n">
        <f aca="false">$B$33</f>
        <v>73155</v>
      </c>
      <c r="C70" s="220" t="n">
        <f aca="false">MAX(0,C69-D69)</f>
        <v>0</v>
      </c>
      <c r="D70" s="220" t="n">
        <f aca="false">MIN(C70,B70)</f>
        <v>0</v>
      </c>
      <c r="E70" s="220" t="n">
        <f aca="false">MAX(0,E69+F69-G69)</f>
        <v>0</v>
      </c>
      <c r="F70" s="220" t="n">
        <f aca="false">E70*Assumptions!$B$59</f>
        <v>0</v>
      </c>
      <c r="G70" s="220" t="n">
        <f aca="false">MIN(E70+F70,MAX(0,B70-D70))</f>
        <v>0</v>
      </c>
    </row>
    <row r="71" customFormat="false" ht="15" hidden="false" customHeight="true" outlineLevel="0" collapsed="false">
      <c r="A71" s="90" t="n">
        <v>19</v>
      </c>
      <c r="B71" s="220" t="n">
        <f aca="false">$B$33</f>
        <v>73155</v>
      </c>
      <c r="C71" s="220" t="n">
        <f aca="false">MAX(0,C70-D70)</f>
        <v>0</v>
      </c>
      <c r="D71" s="220" t="n">
        <f aca="false">MIN(C71,B71)</f>
        <v>0</v>
      </c>
      <c r="E71" s="220" t="n">
        <f aca="false">MAX(0,E70+F70-G70)</f>
        <v>0</v>
      </c>
      <c r="F71" s="220" t="n">
        <f aca="false">E71*Assumptions!$B$59</f>
        <v>0</v>
      </c>
      <c r="G71" s="220" t="n">
        <f aca="false">MIN(E71+F71,MAX(0,B71-D71))</f>
        <v>0</v>
      </c>
    </row>
    <row r="72" customFormat="false" ht="15" hidden="false" customHeight="true" outlineLevel="0" collapsed="false">
      <c r="A72" s="90" t="n">
        <v>20</v>
      </c>
      <c r="B72" s="220" t="n">
        <f aca="false">$B$33</f>
        <v>73155</v>
      </c>
      <c r="C72" s="220" t="n">
        <f aca="false">MAX(0,C71-D71)</f>
        <v>0</v>
      </c>
      <c r="D72" s="220" t="n">
        <f aca="false">MIN(C72,B72)</f>
        <v>0</v>
      </c>
      <c r="E72" s="220" t="n">
        <f aca="false">MAX(0,E71+F71-G71)</f>
        <v>0</v>
      </c>
      <c r="F72" s="220" t="n">
        <f aca="false">E72*Assumptions!$B$59</f>
        <v>0</v>
      </c>
      <c r="G72" s="220" t="n">
        <f aca="false">MIN(E72+F72,MAX(0,B72-D72))</f>
        <v>0</v>
      </c>
    </row>
    <row r="73" customFormat="false" ht="15" hidden="false" customHeight="true" outlineLevel="0" collapsed="false">
      <c r="A73" s="90" t="n">
        <v>21</v>
      </c>
      <c r="B73" s="220" t="n">
        <f aca="false">$B$33</f>
        <v>73155</v>
      </c>
      <c r="C73" s="220" t="n">
        <f aca="false">MAX(0,C72-D72)</f>
        <v>0</v>
      </c>
      <c r="D73" s="220" t="n">
        <f aca="false">MIN(C73,B73)</f>
        <v>0</v>
      </c>
      <c r="E73" s="220" t="n">
        <f aca="false">MAX(0,E72+F72-G72)</f>
        <v>0</v>
      </c>
      <c r="F73" s="220" t="n">
        <f aca="false">E73*Assumptions!$B$59</f>
        <v>0</v>
      </c>
      <c r="G73" s="220" t="n">
        <f aca="false">MIN(E73+F73,MAX(0,B73-D73))</f>
        <v>0</v>
      </c>
    </row>
    <row r="74" customFormat="false" ht="15" hidden="false" customHeight="true" outlineLevel="0" collapsed="false">
      <c r="A74" s="90" t="n">
        <v>22</v>
      </c>
      <c r="B74" s="220" t="n">
        <f aca="false">$B$33</f>
        <v>73155</v>
      </c>
      <c r="C74" s="220" t="n">
        <f aca="false">MAX(0,C73-D73)</f>
        <v>0</v>
      </c>
      <c r="D74" s="220" t="n">
        <f aca="false">MIN(C74,B74)</f>
        <v>0</v>
      </c>
      <c r="E74" s="220" t="n">
        <f aca="false">MAX(0,E73+F73-G73)</f>
        <v>0</v>
      </c>
      <c r="F74" s="220" t="n">
        <f aca="false">E74*Assumptions!$B$59</f>
        <v>0</v>
      </c>
      <c r="G74" s="220" t="n">
        <f aca="false">MIN(E74+F74,MAX(0,B74-D74))</f>
        <v>0</v>
      </c>
    </row>
    <row r="75" customFormat="false" ht="15" hidden="false" customHeight="true" outlineLevel="0" collapsed="false">
      <c r="A75" s="90" t="n">
        <v>23</v>
      </c>
      <c r="B75" s="220" t="n">
        <f aca="false">$B$33</f>
        <v>73155</v>
      </c>
      <c r="C75" s="220" t="n">
        <f aca="false">MAX(0,C74-D74)</f>
        <v>0</v>
      </c>
      <c r="D75" s="220" t="n">
        <f aca="false">MIN(C75,B75)</f>
        <v>0</v>
      </c>
      <c r="E75" s="220" t="n">
        <f aca="false">MAX(0,E74+F74-G74)</f>
        <v>0</v>
      </c>
      <c r="F75" s="220" t="n">
        <f aca="false">E75*Assumptions!$B$59</f>
        <v>0</v>
      </c>
      <c r="G75" s="220" t="n">
        <f aca="false">MIN(E75+F75,MAX(0,B75-D75))</f>
        <v>0</v>
      </c>
    </row>
    <row r="76" customFormat="false" ht="15" hidden="false" customHeight="true" outlineLevel="0" collapsed="false">
      <c r="A76" s="90" t="n">
        <v>24</v>
      </c>
      <c r="B76" s="220" t="n">
        <f aca="false">$B$33</f>
        <v>73155</v>
      </c>
      <c r="C76" s="220" t="n">
        <f aca="false">MAX(0,C75-D75)</f>
        <v>0</v>
      </c>
      <c r="D76" s="220" t="n">
        <f aca="false">MIN(C76,B76)</f>
        <v>0</v>
      </c>
      <c r="E76" s="220" t="n">
        <f aca="false">MAX(0,E75+F75-G75)</f>
        <v>0</v>
      </c>
      <c r="F76" s="220" t="n">
        <f aca="false">E76*Assumptions!$B$59</f>
        <v>0</v>
      </c>
      <c r="G76" s="220" t="n">
        <f aca="false">MIN(E76+F76,MAX(0,B76-D76))</f>
        <v>0</v>
      </c>
    </row>
    <row r="77" customFormat="false" ht="15" hidden="false" customHeight="true" outlineLevel="0" collapsed="false">
      <c r="A77" s="90" t="n">
        <v>25</v>
      </c>
      <c r="B77" s="220" t="n">
        <f aca="false">$B$33</f>
        <v>73155</v>
      </c>
      <c r="C77" s="220" t="n">
        <f aca="false">MAX(0,C76-D76)</f>
        <v>0</v>
      </c>
      <c r="D77" s="220" t="n">
        <f aca="false">MIN(C77,B77)</f>
        <v>0</v>
      </c>
      <c r="E77" s="220" t="n">
        <f aca="false">MAX(0,E76+F76-G76)</f>
        <v>0</v>
      </c>
      <c r="F77" s="220" t="n">
        <f aca="false">E77*Assumptions!$B$59</f>
        <v>0</v>
      </c>
      <c r="G77" s="220" t="n">
        <f aca="false">MIN(E77+F77,MAX(0,B77-D77))</f>
        <v>0</v>
      </c>
    </row>
    <row r="78" customFormat="false" ht="15" hidden="false" customHeight="true" outlineLevel="0" collapsed="false">
      <c r="A78" s="90" t="n">
        <v>26</v>
      </c>
      <c r="B78" s="220" t="n">
        <f aca="false">$B$33</f>
        <v>73155</v>
      </c>
      <c r="C78" s="220" t="n">
        <f aca="false">MAX(0,C77-D77)</f>
        <v>0</v>
      </c>
      <c r="D78" s="220" t="n">
        <f aca="false">MIN(C78,B78)</f>
        <v>0</v>
      </c>
      <c r="E78" s="220" t="n">
        <f aca="false">MAX(0,E77+F77-G77)</f>
        <v>0</v>
      </c>
      <c r="F78" s="220" t="n">
        <f aca="false">E78*Assumptions!$B$59</f>
        <v>0</v>
      </c>
      <c r="G78" s="220" t="n">
        <f aca="false">MIN(E78+F78,MAX(0,B78-D78))</f>
        <v>0</v>
      </c>
    </row>
    <row r="79" customFormat="false" ht="15" hidden="false" customHeight="true" outlineLevel="0" collapsed="false">
      <c r="A79" s="90" t="n">
        <v>27</v>
      </c>
      <c r="B79" s="220" t="n">
        <f aca="false">$B$33</f>
        <v>73155</v>
      </c>
      <c r="C79" s="220" t="n">
        <f aca="false">MAX(0,C78-D78)</f>
        <v>0</v>
      </c>
      <c r="D79" s="220" t="n">
        <f aca="false">MIN(C79,B79)</f>
        <v>0</v>
      </c>
      <c r="E79" s="220" t="n">
        <f aca="false">MAX(0,E78+F78-G78)</f>
        <v>0</v>
      </c>
      <c r="F79" s="220" t="n">
        <f aca="false">E79*Assumptions!$B$59</f>
        <v>0</v>
      </c>
      <c r="G79" s="220" t="n">
        <f aca="false">MIN(E79+F79,MAX(0,B79-D79))</f>
        <v>0</v>
      </c>
    </row>
    <row r="80" customFormat="false" ht="15" hidden="false" customHeight="true" outlineLevel="0" collapsed="false">
      <c r="A80" s="90" t="n">
        <v>28</v>
      </c>
      <c r="B80" s="220" t="n">
        <f aca="false">$B$33</f>
        <v>73155</v>
      </c>
      <c r="C80" s="220" t="n">
        <f aca="false">MAX(0,C79-D79)</f>
        <v>0</v>
      </c>
      <c r="D80" s="220" t="n">
        <f aca="false">MIN(C80,B80)</f>
        <v>0</v>
      </c>
      <c r="E80" s="220" t="n">
        <f aca="false">MAX(0,E79+F79-G79)</f>
        <v>0</v>
      </c>
      <c r="F80" s="220" t="n">
        <f aca="false">E80*Assumptions!$B$59</f>
        <v>0</v>
      </c>
      <c r="G80" s="220" t="n">
        <f aca="false">MIN(E80+F80,MAX(0,B80-D80))</f>
        <v>0</v>
      </c>
    </row>
    <row r="81" customFormat="false" ht="15" hidden="false" customHeight="true" outlineLevel="0" collapsed="false">
      <c r="A81" s="90" t="n">
        <v>29</v>
      </c>
      <c r="B81" s="220" t="n">
        <f aca="false">$B$33</f>
        <v>73155</v>
      </c>
      <c r="C81" s="220" t="n">
        <f aca="false">MAX(0,C80-D80)</f>
        <v>0</v>
      </c>
      <c r="D81" s="220" t="n">
        <f aca="false">MIN(C81,B81)</f>
        <v>0</v>
      </c>
      <c r="E81" s="220" t="n">
        <f aca="false">MAX(0,E80+F80-G80)</f>
        <v>0</v>
      </c>
      <c r="F81" s="220" t="n">
        <f aca="false">E81*Assumptions!$B$59</f>
        <v>0</v>
      </c>
      <c r="G81" s="220" t="n">
        <f aca="false">MIN(E81+F81,MAX(0,B81-D81))</f>
        <v>0</v>
      </c>
    </row>
    <row r="82" customFormat="false" ht="15" hidden="false" customHeight="true" outlineLevel="0" collapsed="false">
      <c r="A82" s="90" t="n">
        <v>30</v>
      </c>
      <c r="B82" s="220" t="n">
        <f aca="false">$B$33</f>
        <v>73155</v>
      </c>
      <c r="C82" s="220" t="n">
        <f aca="false">MAX(0,C81-D81)</f>
        <v>0</v>
      </c>
      <c r="D82" s="220" t="n">
        <f aca="false">MIN(C82,B82)</f>
        <v>0</v>
      </c>
      <c r="E82" s="220" t="n">
        <f aca="false">MAX(0,E81+F81-G81)</f>
        <v>0</v>
      </c>
      <c r="F82" s="220" t="n">
        <f aca="false">E82*Assumptions!$B$59</f>
        <v>0</v>
      </c>
      <c r="G82" s="220" t="n">
        <f aca="false">MIN(E82+F82,MAX(0,B82-D82))</f>
        <v>0</v>
      </c>
    </row>
    <row r="83" customFormat="false" ht="15" hidden="false" customHeight="true" outlineLevel="0" collapsed="false">
      <c r="A83" s="90" t="n">
        <v>31</v>
      </c>
      <c r="B83" s="220" t="n">
        <f aca="false">$B$33</f>
        <v>73155</v>
      </c>
      <c r="C83" s="220" t="n">
        <f aca="false">MAX(0,C82-D82)</f>
        <v>0</v>
      </c>
      <c r="D83" s="220" t="n">
        <f aca="false">MIN(C83,B83)</f>
        <v>0</v>
      </c>
      <c r="E83" s="220" t="n">
        <f aca="false">MAX(0,E82+F82-G82)</f>
        <v>0</v>
      </c>
      <c r="F83" s="220" t="n">
        <f aca="false">E83*Assumptions!$B$59</f>
        <v>0</v>
      </c>
      <c r="G83" s="220" t="n">
        <f aca="false">MIN(E83+F83,MAX(0,B83-D83))</f>
        <v>0</v>
      </c>
    </row>
    <row r="84" customFormat="false" ht="15" hidden="false" customHeight="true" outlineLevel="0" collapsed="false">
      <c r="A84" s="90" t="n">
        <v>32</v>
      </c>
      <c r="B84" s="220" t="n">
        <f aca="false">$B$33</f>
        <v>73155</v>
      </c>
      <c r="C84" s="220" t="n">
        <f aca="false">MAX(0,C83-D83)</f>
        <v>0</v>
      </c>
      <c r="D84" s="220" t="n">
        <f aca="false">MIN(C84,B84)</f>
        <v>0</v>
      </c>
      <c r="E84" s="220" t="n">
        <f aca="false">MAX(0,E83+F83-G83)</f>
        <v>0</v>
      </c>
      <c r="F84" s="220" t="n">
        <f aca="false">E84*Assumptions!$B$59</f>
        <v>0</v>
      </c>
      <c r="G84" s="220" t="n">
        <f aca="false">MIN(E84+F84,MAX(0,B84-D84))</f>
        <v>0</v>
      </c>
    </row>
    <row r="85" customFormat="false" ht="15" hidden="false" customHeight="true" outlineLevel="0" collapsed="false">
      <c r="A85" s="90" t="n">
        <v>33</v>
      </c>
      <c r="B85" s="220" t="n">
        <f aca="false">$B$33</f>
        <v>73155</v>
      </c>
      <c r="C85" s="220" t="n">
        <f aca="false">MAX(0,C84-D84)</f>
        <v>0</v>
      </c>
      <c r="D85" s="220" t="n">
        <f aca="false">MIN(C85,B85)</f>
        <v>0</v>
      </c>
      <c r="E85" s="220" t="n">
        <f aca="false">MAX(0,E84+F84-G84)</f>
        <v>0</v>
      </c>
      <c r="F85" s="220" t="n">
        <f aca="false">E85*Assumptions!$B$59</f>
        <v>0</v>
      </c>
      <c r="G85" s="220" t="n">
        <f aca="false">MIN(E85+F85,MAX(0,B85-D85))</f>
        <v>0</v>
      </c>
    </row>
    <row r="86" customFormat="false" ht="15" hidden="false" customHeight="true" outlineLevel="0" collapsed="false">
      <c r="A86" s="90" t="n">
        <v>34</v>
      </c>
      <c r="B86" s="220" t="n">
        <f aca="false">$B$33</f>
        <v>73155</v>
      </c>
      <c r="C86" s="220" t="n">
        <f aca="false">MAX(0,C85-D85)</f>
        <v>0</v>
      </c>
      <c r="D86" s="220" t="n">
        <f aca="false">MIN(C86,B86)</f>
        <v>0</v>
      </c>
      <c r="E86" s="220" t="n">
        <f aca="false">MAX(0,E85+F85-G85)</f>
        <v>0</v>
      </c>
      <c r="F86" s="220" t="n">
        <f aca="false">E86*Assumptions!$B$59</f>
        <v>0</v>
      </c>
      <c r="G86" s="220" t="n">
        <f aca="false">MIN(E86+F86,MAX(0,B86-D86))</f>
        <v>0</v>
      </c>
    </row>
    <row r="87" customFormat="false" ht="15" hidden="false" customHeight="true" outlineLevel="0" collapsed="false">
      <c r="A87" s="90" t="n">
        <v>35</v>
      </c>
      <c r="B87" s="220" t="n">
        <f aca="false">$B$33</f>
        <v>73155</v>
      </c>
      <c r="C87" s="220" t="n">
        <f aca="false">MAX(0,C86-D86)</f>
        <v>0</v>
      </c>
      <c r="D87" s="220" t="n">
        <f aca="false">MIN(C87,B87)</f>
        <v>0</v>
      </c>
      <c r="E87" s="220" t="n">
        <f aca="false">MAX(0,E86+F86-G86)</f>
        <v>0</v>
      </c>
      <c r="F87" s="220" t="n">
        <f aca="false">E87*Assumptions!$B$59</f>
        <v>0</v>
      </c>
      <c r="G87" s="220" t="n">
        <f aca="false">MIN(E87+F87,MAX(0,B87-D87))</f>
        <v>0</v>
      </c>
    </row>
    <row r="88" customFormat="false" ht="15" hidden="false" customHeight="true" outlineLevel="0" collapsed="false">
      <c r="A88" s="90" t="n">
        <v>36</v>
      </c>
      <c r="B88" s="220" t="n">
        <f aca="false">$B$33</f>
        <v>73155</v>
      </c>
      <c r="C88" s="220" t="n">
        <f aca="false">MAX(0,C87-D87)</f>
        <v>0</v>
      </c>
      <c r="D88" s="220" t="n">
        <f aca="false">MIN(C88,B88)</f>
        <v>0</v>
      </c>
      <c r="E88" s="220" t="n">
        <f aca="false">MAX(0,E87+F87-G87)</f>
        <v>0</v>
      </c>
      <c r="F88" s="220" t="n">
        <f aca="false">E88*Assumptions!$B$59</f>
        <v>0</v>
      </c>
      <c r="G88" s="220" t="n">
        <f aca="false">MIN(E88+F88,MAX(0,B88-D88))</f>
        <v>0</v>
      </c>
    </row>
    <row r="89" customFormat="false" ht="15" hidden="false" customHeight="true" outlineLevel="0" collapsed="false">
      <c r="A89" s="90" t="n">
        <v>37</v>
      </c>
      <c r="B89" s="220" t="n">
        <f aca="false">$B$33</f>
        <v>73155</v>
      </c>
      <c r="C89" s="220" t="n">
        <f aca="false">MAX(0,C88-D88)</f>
        <v>0</v>
      </c>
      <c r="D89" s="220" t="n">
        <f aca="false">MIN(C89,B89)</f>
        <v>0</v>
      </c>
      <c r="E89" s="220" t="n">
        <f aca="false">MAX(0,E88+F88-G88)</f>
        <v>0</v>
      </c>
      <c r="F89" s="220" t="n">
        <f aca="false">E89*Assumptions!$B$59</f>
        <v>0</v>
      </c>
      <c r="G89" s="220" t="n">
        <f aca="false">MIN(E89+F89,MAX(0,B89-D89))</f>
        <v>0</v>
      </c>
    </row>
    <row r="90" customFormat="false" ht="15" hidden="false" customHeight="true" outlineLevel="0" collapsed="false">
      <c r="A90" s="90" t="n">
        <v>38</v>
      </c>
      <c r="B90" s="220" t="n">
        <f aca="false">$B$33</f>
        <v>73155</v>
      </c>
      <c r="C90" s="220" t="n">
        <f aca="false">MAX(0,C89-D89)</f>
        <v>0</v>
      </c>
      <c r="D90" s="220" t="n">
        <f aca="false">MIN(C90,B90)</f>
        <v>0</v>
      </c>
      <c r="E90" s="220" t="n">
        <f aca="false">MAX(0,E89+F89-G89)</f>
        <v>0</v>
      </c>
      <c r="F90" s="220" t="n">
        <f aca="false">E90*Assumptions!$B$59</f>
        <v>0</v>
      </c>
      <c r="G90" s="220" t="n">
        <f aca="false">MIN(E90+F90,MAX(0,B90-D90))</f>
        <v>0</v>
      </c>
    </row>
    <row r="91" customFormat="false" ht="15" hidden="false" customHeight="true" outlineLevel="0" collapsed="false">
      <c r="A91" s="90" t="n">
        <v>39</v>
      </c>
      <c r="B91" s="220" t="n">
        <f aca="false">$B$33</f>
        <v>73155</v>
      </c>
      <c r="C91" s="220" t="n">
        <f aca="false">MAX(0,C90-D90)</f>
        <v>0</v>
      </c>
      <c r="D91" s="220" t="n">
        <f aca="false">MIN(C91,B91)</f>
        <v>0</v>
      </c>
      <c r="E91" s="220" t="n">
        <f aca="false">MAX(0,E90+F90-G90)</f>
        <v>0</v>
      </c>
      <c r="F91" s="220" t="n">
        <f aca="false">E91*Assumptions!$B$59</f>
        <v>0</v>
      </c>
      <c r="G91" s="220" t="n">
        <f aca="false">MIN(E91+F91,MAX(0,B91-D91))</f>
        <v>0</v>
      </c>
    </row>
    <row r="92" customFormat="false" ht="15" hidden="false" customHeight="true" outlineLevel="0" collapsed="false">
      <c r="A92" s="90" t="n">
        <v>40</v>
      </c>
      <c r="B92" s="220" t="n">
        <f aca="false">$B$33</f>
        <v>73155</v>
      </c>
      <c r="C92" s="220" t="n">
        <f aca="false">MAX(0,C91-D91)</f>
        <v>0</v>
      </c>
      <c r="D92" s="220" t="n">
        <f aca="false">MIN(C92,B92)</f>
        <v>0</v>
      </c>
      <c r="E92" s="220" t="n">
        <f aca="false">MAX(0,E91+F91-G91)</f>
        <v>0</v>
      </c>
      <c r="F92" s="220" t="n">
        <f aca="false">E92*Assumptions!$B$59</f>
        <v>0</v>
      </c>
      <c r="G92" s="220" t="n">
        <f aca="false">MIN(E92+F92,MAX(0,B92-D92))</f>
        <v>0</v>
      </c>
    </row>
    <row r="93" customFormat="false" ht="15" hidden="false" customHeight="true" outlineLevel="0" collapsed="false">
      <c r="A93" s="311" t="s">
        <v>1175</v>
      </c>
      <c r="D93" s="313" t="n">
        <f aca="false">SUM(D53:D92)</f>
        <v>270925.32</v>
      </c>
      <c r="F93" s="313" t="n">
        <f aca="false">SUM(F53:F92)</f>
        <v>240125.881206445</v>
      </c>
      <c r="G93" s="313" t="n">
        <f aca="false">SUM(G53:G92)</f>
        <v>810147.428211617</v>
      </c>
    </row>
    <row r="94" customFormat="false" ht="15" hidden="false" customHeight="true" outlineLevel="0" collapsed="false">
      <c r="A94" s="1" t="s">
        <v>1176</v>
      </c>
    </row>
    <row r="95" customFormat="false" ht="15" hidden="false" customHeight="true" outlineLevel="0" collapsed="false">
      <c r="A95" s="1" t="s">
        <v>1177</v>
      </c>
    </row>
    <row r="96" customFormat="false" ht="15" hidden="false" customHeight="true" outlineLevel="0" collapsed="false">
      <c r="A96" s="72" t="s">
        <v>1178</v>
      </c>
      <c r="B96" s="314" t="n">
        <f aca="false">SUM(Actuals!C112:N112)</f>
        <v>-1672913.98</v>
      </c>
      <c r="C96" s="315"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D96" s="315"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E96" s="315" t="n">
        <f aca="false">IF(AND(Projects!$G$17="Yes",0&gt;=Projects!$C$17,0&lt;Projects!$C$17+Projects!$D$17),Projects!$B$17*INDEX(Curves!$B$4:$AR$4,1,0-Projects!$C$17+1),0)+IF(AND(Projects!$G$18="Yes",0&gt;=Projects!$C$18,0&lt;Projects!$C$18+Projects!$D$18),Projects!$B$18*INDEX(Curves!$B$4:$AR$4,1,0-Projects!$C$18+1),0)+IF(AND(Projects!$G$19="Yes",0&gt;=Projects!$C$19,0&lt;Projects!$C$19+Projects!$D$19),Projects!$B$19*INDEX(Curves!$B$4:$AR$4,1,0-Projects!$C$19+1),0)+IF(AND(Projects!$G$20="Yes",0&gt;=Projects!$C$20,0&lt;Projects!$C$20+Projects!$D$20),Projects!$B$20*INDEX(Curves!$B$4:$AR$4,1,0-Projects!$C$20+1),0)+IF(AND(Projects!$G$21="Yes",0&gt;=Projects!$C$21,0&lt;Projects!$C$21+Projects!$D$21),Projects!$B$21*INDEX(Curves!$B$4:$AR$4,1,0-Projects!$C$21+1),0)+IF(AND(Projects!$G$22="Yes",0&gt;=Projects!$C$22,0&lt;Projects!$C$22+Projects!$D$22),Projects!$B$22*INDEX(Curves!$B$4:$AR$4,1,0-Projects!$C$22+1),0)+IF(AND(Projects!$G$23="Yes",0&gt;=Projects!$C$23,0&lt;Projects!$C$23+Projects!$D$23),Projects!$B$23*INDEX(Curves!$B$4:$AR$4,1,0-Projects!$C$23+1),0)+IF(AND(Projects!$G$24="Yes",0&gt;=Projects!$C$24,0&lt;Projects!$C$24+Projects!$D$24),Projects!$B$24*INDEX(Curves!$B$4:$AR$4,1,0-Projects!$C$24+1),0)+IF(AND(Projects!$G$25="Yes",0&gt;=Projects!$C$25,0&lt;Projects!$C$25+Projects!$D$25),Projects!$B$25*INDEX(Curves!$B$4:$AR$4,1,0-Projects!$C$25+1),0)+IF(AND(Projects!$G$26="Yes",0&gt;=Projects!$C$26,0&lt;Projects!$C$26+Projects!$D$26),Projects!$B$26*INDEX(Curves!$B$4:$AR$4,1,0-Projects!$C$26+1),0)+IF(AND(Projects!$G$27="Yes",0&gt;=Projects!$C$27,0&lt;Projects!$C$27+Projects!$D$27),Projects!$B$27*INDEX(Curves!$B$4:$AR$4,1,0-Projects!$C$27+1),0)+IF(AND(Projects!$G$28="Yes",0&gt;=Projects!$C$28,0&lt;Projects!$C$28+Projects!$D$28),Projects!$B$28*INDEX(Curves!$B$4:$AR$4,1,0-Projects!$C$28+1),0)+IF(AND(Projects!$G$29="Yes",0&gt;=Projects!$C$29,0&lt;Projects!$C$29+Projects!$D$29),Projects!$B$29*INDEX(Curves!$B$4:$AR$4,1,0-Projects!$C$29+1),0)+IF(AND(Projects!$G$30="Yes",0&gt;=Projects!$C$30,0&lt;Projects!$C$30+Projects!$D$30),Projects!$B$30*INDEX(Curves!$B$4:$AR$4,1,0-Projects!$C$30+1),0)+IF(AND(Projects!$G$31="Yes",0&gt;=Projects!$C$31,0&lt;Projects!$C$31+Projects!$D$31),Projects!$B$31*INDEX(Curves!$B$4:$AR$4,1,0-Projects!$C$31+1),0)+IF(AND(Projects!$G$32="Yes",0&gt;=Projects!$C$32,0&lt;Projects!$C$32+Projects!$D$32),Projects!$B$32*INDEX(Curves!$B$4:$AR$4,1,0-Projects!$C$32+1),0)+IF(AND(Projects!$G$33="Yes",0&gt;=Projects!$C$33,0&lt;Projects!$C$33+Projects!$D$33),Projects!$B$33*INDEX(Curves!$B$4:$AR$4,1,0-Projects!$C$33+1),0)+IF(AND(Projects!$G$34="Yes",0&gt;=Projects!$C$34,0&lt;Projects!$C$34+Projects!$D$34),Projects!$B$34*INDEX(Curves!$B$4:$AR$4,1,0-Projects!$C$34+1),0)+IF(AND(Projects!$G$35="Yes",0&gt;=Projects!$C$35,0&lt;Projects!$C$35+Projects!$D$35),Projects!$B$35*INDEX(Curves!$B$4:$AR$4,1,0-Projects!$C$35+1),0)+IF(AND(Projects!$G$36="Yes",0&gt;=Projects!$C$36,0&lt;Projects!$C$36+Projects!$D$36),Projects!$B$36*INDEX(Curves!$B$4:$AR$4,1,0-Projects!$C$36+1),0)+IF(AND(Projects!$G$37="Yes",0&gt;=Projects!$C$37,0&lt;Projects!$C$37+Projects!$D$37),Projects!$B$37*INDEX(Curves!$B$4:$AR$4,1,0-Projects!$C$37+1),0)+IF(AND(Projects!$G$38="Yes",0&gt;=Projects!$C$38,0&lt;Projects!$C$38+Projects!$D$38),Projects!$B$38*INDEX(Curves!$B$4:$AR$4,1,0-Projects!$C$38+1),0)+IF(AND(Projects!$G$39="Yes",0&gt;=Projects!$C$39,0&lt;Projects!$C$39+Projects!$D$39),Projects!$B$39*INDEX(Curves!$B$4:$AR$4,1,0-Projects!$C$39+1),0)+IF(AND(Projects!$G$40="Yes",0&gt;=Projects!$C$40,0&lt;Projects!$C$40+Projects!$D$40),Projects!$B$40*INDEX(Curves!$B$4:$AR$4,1,0-Projects!$C$40+1),0)+IF(AND(Projects!$G$41="Yes",0&gt;=Projects!$C$41,0&lt;Projects!$C$41+Projects!$D$41),Projects!$B$41*INDEX(Curves!$B$4:$AR$4,1,0-Projects!$C$41+1),0)+IF(AND(Projects!$G$42="Yes",0&gt;=Projects!$C$42,0&lt;Projects!$C$42+Projects!$D$42),Projects!$B$42*INDEX(Curves!$B$4:$AR$4,1,0-Projects!$C$42+1),0)+IF(AND(Projects!$G$43="Yes",0&gt;=Projects!$C$43,0&lt;Projects!$C$43+Projects!$D$43),Projects!$B$43*INDEX(Curves!$B$4:$AR$4,1,0-Projects!$C$43+1),0)+IF(AND(Projects!$G$44="Yes",0&gt;=Projects!$C$44,0&lt;Projects!$C$44+Projects!$D$44),Projects!$B$44*INDEX(Curves!$B$4:$AR$4,1,0-Projects!$C$44+1),0)+IF(AND(Projects!$G$45="Yes",0&gt;=Projects!$C$45,0&lt;Projects!$C$45+Projects!$D$45),Projects!$B$45*INDEX(Curves!$B$4:$AR$4,1,0-Projects!$C$45+1),0)+IF(AND(Projects!$G$46="Yes",0&gt;=Projects!$C$46,0&lt;Projects!$C$46+Projects!$D$46),Projects!$B$46*INDEX(Curves!$B$4:$AR$4,1,0-Projects!$C$46+1),0)</f>
        <v>0</v>
      </c>
      <c r="F96" s="315"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G96" s="315"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H96" s="315" t="n">
        <f aca="false">IF(AND(Projects!$G$17="Yes",3&gt;=Projects!$C$17,3&lt;Projects!$C$17+Projects!$D$17),Projects!$B$17*INDEX(Curves!$B$4:$AR$4,1,3-Projects!$C$17+1),0)+IF(AND(Projects!$G$18="Yes",3&gt;=Projects!$C$18,3&lt;Projects!$C$18+Projects!$D$18),Projects!$B$18*INDEX(Curves!$B$4:$AR$4,1,3-Projects!$C$18+1),0)+IF(AND(Projects!$G$19="Yes",3&gt;=Projects!$C$19,3&lt;Projects!$C$19+Projects!$D$19),Projects!$B$19*INDEX(Curves!$B$4:$AR$4,1,3-Projects!$C$19+1),0)+IF(AND(Projects!$G$20="Yes",3&gt;=Projects!$C$20,3&lt;Projects!$C$20+Projects!$D$20),Projects!$B$20*INDEX(Curves!$B$4:$AR$4,1,3-Projects!$C$20+1),0)+IF(AND(Projects!$G$21="Yes",3&gt;=Projects!$C$21,3&lt;Projects!$C$21+Projects!$D$21),Projects!$B$21*INDEX(Curves!$B$4:$AR$4,1,3-Projects!$C$21+1),0)+IF(AND(Projects!$G$22="Yes",3&gt;=Projects!$C$22,3&lt;Projects!$C$22+Projects!$D$22),Projects!$B$22*INDEX(Curves!$B$4:$AR$4,1,3-Projects!$C$22+1),0)+IF(AND(Projects!$G$23="Yes",3&gt;=Projects!$C$23,3&lt;Projects!$C$23+Projects!$D$23),Projects!$B$23*INDEX(Curves!$B$4:$AR$4,1,3-Projects!$C$23+1),0)+IF(AND(Projects!$G$24="Yes",3&gt;=Projects!$C$24,3&lt;Projects!$C$24+Projects!$D$24),Projects!$B$24*INDEX(Curves!$B$4:$AR$4,1,3-Projects!$C$24+1),0)+IF(AND(Projects!$G$25="Yes",3&gt;=Projects!$C$25,3&lt;Projects!$C$25+Projects!$D$25),Projects!$B$25*INDEX(Curves!$B$4:$AR$4,1,3-Projects!$C$25+1),0)+IF(AND(Projects!$G$26="Yes",3&gt;=Projects!$C$26,3&lt;Projects!$C$26+Projects!$D$26),Projects!$B$26*INDEX(Curves!$B$4:$AR$4,1,3-Projects!$C$26+1),0)+IF(AND(Projects!$G$27="Yes",3&gt;=Projects!$C$27,3&lt;Projects!$C$27+Projects!$D$27),Projects!$B$27*INDEX(Curves!$B$4:$AR$4,1,3-Projects!$C$27+1),0)+IF(AND(Projects!$G$28="Yes",3&gt;=Projects!$C$28,3&lt;Projects!$C$28+Projects!$D$28),Projects!$B$28*INDEX(Curves!$B$4:$AR$4,1,3-Projects!$C$28+1),0)+IF(AND(Projects!$G$29="Yes",3&gt;=Projects!$C$29,3&lt;Projects!$C$29+Projects!$D$29),Projects!$B$29*INDEX(Curves!$B$4:$AR$4,1,3-Projects!$C$29+1),0)+IF(AND(Projects!$G$30="Yes",3&gt;=Projects!$C$30,3&lt;Projects!$C$30+Projects!$D$30),Projects!$B$30*INDEX(Curves!$B$4:$AR$4,1,3-Projects!$C$30+1),0)+IF(AND(Projects!$G$31="Yes",3&gt;=Projects!$C$31,3&lt;Projects!$C$31+Projects!$D$31),Projects!$B$31*INDEX(Curves!$B$4:$AR$4,1,3-Projects!$C$31+1),0)+IF(AND(Projects!$G$32="Yes",3&gt;=Projects!$C$32,3&lt;Projects!$C$32+Projects!$D$32),Projects!$B$32*INDEX(Curves!$B$4:$AR$4,1,3-Projects!$C$32+1),0)+IF(AND(Projects!$G$33="Yes",3&gt;=Projects!$C$33,3&lt;Projects!$C$33+Projects!$D$33),Projects!$B$33*INDEX(Curves!$B$4:$AR$4,1,3-Projects!$C$33+1),0)+IF(AND(Projects!$G$34="Yes",3&gt;=Projects!$C$34,3&lt;Projects!$C$34+Projects!$D$34),Projects!$B$34*INDEX(Curves!$B$4:$AR$4,1,3-Projects!$C$34+1),0)+IF(AND(Projects!$G$35="Yes",3&gt;=Projects!$C$35,3&lt;Projects!$C$35+Projects!$D$35),Projects!$B$35*INDEX(Curves!$B$4:$AR$4,1,3-Projects!$C$35+1),0)+IF(AND(Projects!$G$36="Yes",3&gt;=Projects!$C$36,3&lt;Projects!$C$36+Projects!$D$36),Projects!$B$36*INDEX(Curves!$B$4:$AR$4,1,3-Projects!$C$36+1),0)+IF(AND(Projects!$G$37="Yes",3&gt;=Projects!$C$37,3&lt;Projects!$C$37+Projects!$D$37),Projects!$B$37*INDEX(Curves!$B$4:$AR$4,1,3-Projects!$C$37+1),0)+IF(AND(Projects!$G$38="Yes",3&gt;=Projects!$C$38,3&lt;Projects!$C$38+Projects!$D$38),Projects!$B$38*INDEX(Curves!$B$4:$AR$4,1,3-Projects!$C$38+1),0)+IF(AND(Projects!$G$39="Yes",3&gt;=Projects!$C$39,3&lt;Projects!$C$39+Projects!$D$39),Projects!$B$39*INDEX(Curves!$B$4:$AR$4,1,3-Projects!$C$39+1),0)+IF(AND(Projects!$G$40="Yes",3&gt;=Projects!$C$40,3&lt;Projects!$C$40+Projects!$D$40),Projects!$B$40*INDEX(Curves!$B$4:$AR$4,1,3-Projects!$C$40+1),0)+IF(AND(Projects!$G$41="Yes",3&gt;=Projects!$C$41,3&lt;Projects!$C$41+Projects!$D$41),Projects!$B$41*INDEX(Curves!$B$4:$AR$4,1,3-Projects!$C$41+1),0)+IF(AND(Projects!$G$42="Yes",3&gt;=Projects!$C$42,3&lt;Projects!$C$42+Projects!$D$42),Projects!$B$42*INDEX(Curves!$B$4:$AR$4,1,3-Projects!$C$42+1),0)+IF(AND(Projects!$G$43="Yes",3&gt;=Projects!$C$43,3&lt;Projects!$C$43+Projects!$D$43),Projects!$B$43*INDEX(Curves!$B$4:$AR$4,1,3-Projects!$C$43+1),0)+IF(AND(Projects!$G$44="Yes",3&gt;=Projects!$C$44,3&lt;Projects!$C$44+Projects!$D$44),Projects!$B$44*INDEX(Curves!$B$4:$AR$4,1,3-Projects!$C$44+1),0)+IF(AND(Projects!$G$45="Yes",3&gt;=Projects!$C$45,3&lt;Projects!$C$45+Projects!$D$45),Projects!$B$45*INDEX(Curves!$B$4:$AR$4,1,3-Projects!$C$45+1),0)+IF(AND(Projects!$G$46="Yes",3&gt;=Projects!$C$46,3&lt;Projects!$C$46+Projects!$D$46),Projects!$B$46*INDEX(Curves!$B$4:$AR$4,1,3-Projects!$C$46+1),0)</f>
        <v>0</v>
      </c>
      <c r="I96" s="315" t="n">
        <f aca="false">IF(AND(Projects!$G$17="Yes",4&gt;=Projects!$C$17,4&lt;Projects!$C$17+Projects!$D$17),Projects!$B$17*INDEX(Curves!$B$4:$AR$4,1,4-Projects!$C$17+1),0)+IF(AND(Projects!$G$18="Yes",4&gt;=Projects!$C$18,4&lt;Projects!$C$18+Projects!$D$18),Projects!$B$18*INDEX(Curves!$B$4:$AR$4,1,4-Projects!$C$18+1),0)+IF(AND(Projects!$G$19="Yes",4&gt;=Projects!$C$19,4&lt;Projects!$C$19+Projects!$D$19),Projects!$B$19*INDEX(Curves!$B$4:$AR$4,1,4-Projects!$C$19+1),0)+IF(AND(Projects!$G$20="Yes",4&gt;=Projects!$C$20,4&lt;Projects!$C$20+Projects!$D$20),Projects!$B$20*INDEX(Curves!$B$4:$AR$4,1,4-Projects!$C$20+1),0)+IF(AND(Projects!$G$21="Yes",4&gt;=Projects!$C$21,4&lt;Projects!$C$21+Projects!$D$21),Projects!$B$21*INDEX(Curves!$B$4:$AR$4,1,4-Projects!$C$21+1),0)+IF(AND(Projects!$G$22="Yes",4&gt;=Projects!$C$22,4&lt;Projects!$C$22+Projects!$D$22),Projects!$B$22*INDEX(Curves!$B$4:$AR$4,1,4-Projects!$C$22+1),0)+IF(AND(Projects!$G$23="Yes",4&gt;=Projects!$C$23,4&lt;Projects!$C$23+Projects!$D$23),Projects!$B$23*INDEX(Curves!$B$4:$AR$4,1,4-Projects!$C$23+1),0)+IF(AND(Projects!$G$24="Yes",4&gt;=Projects!$C$24,4&lt;Projects!$C$24+Projects!$D$24),Projects!$B$24*INDEX(Curves!$B$4:$AR$4,1,4-Projects!$C$24+1),0)+IF(AND(Projects!$G$25="Yes",4&gt;=Projects!$C$25,4&lt;Projects!$C$25+Projects!$D$25),Projects!$B$25*INDEX(Curves!$B$4:$AR$4,1,4-Projects!$C$25+1),0)+IF(AND(Projects!$G$26="Yes",4&gt;=Projects!$C$26,4&lt;Projects!$C$26+Projects!$D$26),Projects!$B$26*INDEX(Curves!$B$4:$AR$4,1,4-Projects!$C$26+1),0)+IF(AND(Projects!$G$27="Yes",4&gt;=Projects!$C$27,4&lt;Projects!$C$27+Projects!$D$27),Projects!$B$27*INDEX(Curves!$B$4:$AR$4,1,4-Projects!$C$27+1),0)+IF(AND(Projects!$G$28="Yes",4&gt;=Projects!$C$28,4&lt;Projects!$C$28+Projects!$D$28),Projects!$B$28*INDEX(Curves!$B$4:$AR$4,1,4-Projects!$C$28+1),0)+IF(AND(Projects!$G$29="Yes",4&gt;=Projects!$C$29,4&lt;Projects!$C$29+Projects!$D$29),Projects!$B$29*INDEX(Curves!$B$4:$AR$4,1,4-Projects!$C$29+1),0)+IF(AND(Projects!$G$30="Yes",4&gt;=Projects!$C$30,4&lt;Projects!$C$30+Projects!$D$30),Projects!$B$30*INDEX(Curves!$B$4:$AR$4,1,4-Projects!$C$30+1),0)+IF(AND(Projects!$G$31="Yes",4&gt;=Projects!$C$31,4&lt;Projects!$C$31+Projects!$D$31),Projects!$B$31*INDEX(Curves!$B$4:$AR$4,1,4-Projects!$C$31+1),0)+IF(AND(Projects!$G$32="Yes",4&gt;=Projects!$C$32,4&lt;Projects!$C$32+Projects!$D$32),Projects!$B$32*INDEX(Curves!$B$4:$AR$4,1,4-Projects!$C$32+1),0)+IF(AND(Projects!$G$33="Yes",4&gt;=Projects!$C$33,4&lt;Projects!$C$33+Projects!$D$33),Projects!$B$33*INDEX(Curves!$B$4:$AR$4,1,4-Projects!$C$33+1),0)+IF(AND(Projects!$G$34="Yes",4&gt;=Projects!$C$34,4&lt;Projects!$C$34+Projects!$D$34),Projects!$B$34*INDEX(Curves!$B$4:$AR$4,1,4-Projects!$C$34+1),0)+IF(AND(Projects!$G$35="Yes",4&gt;=Projects!$C$35,4&lt;Projects!$C$35+Projects!$D$35),Projects!$B$35*INDEX(Curves!$B$4:$AR$4,1,4-Projects!$C$35+1),0)+IF(AND(Projects!$G$36="Yes",4&gt;=Projects!$C$36,4&lt;Projects!$C$36+Projects!$D$36),Projects!$B$36*INDEX(Curves!$B$4:$AR$4,1,4-Projects!$C$36+1),0)+IF(AND(Projects!$G$37="Yes",4&gt;=Projects!$C$37,4&lt;Projects!$C$37+Projects!$D$37),Projects!$B$37*INDEX(Curves!$B$4:$AR$4,1,4-Projects!$C$37+1),0)+IF(AND(Projects!$G$38="Yes",4&gt;=Projects!$C$38,4&lt;Projects!$C$38+Projects!$D$38),Projects!$B$38*INDEX(Curves!$B$4:$AR$4,1,4-Projects!$C$38+1),0)+IF(AND(Projects!$G$39="Yes",4&gt;=Projects!$C$39,4&lt;Projects!$C$39+Projects!$D$39),Projects!$B$39*INDEX(Curves!$B$4:$AR$4,1,4-Projects!$C$39+1),0)+IF(AND(Projects!$G$40="Yes",4&gt;=Projects!$C$40,4&lt;Projects!$C$40+Projects!$D$40),Projects!$B$40*INDEX(Curves!$B$4:$AR$4,1,4-Projects!$C$40+1),0)+IF(AND(Projects!$G$41="Yes",4&gt;=Projects!$C$41,4&lt;Projects!$C$41+Projects!$D$41),Projects!$B$41*INDEX(Curves!$B$4:$AR$4,1,4-Projects!$C$41+1),0)+IF(AND(Projects!$G$42="Yes",4&gt;=Projects!$C$42,4&lt;Projects!$C$42+Projects!$D$42),Projects!$B$42*INDEX(Curves!$B$4:$AR$4,1,4-Projects!$C$42+1),0)+IF(AND(Projects!$G$43="Yes",4&gt;=Projects!$C$43,4&lt;Projects!$C$43+Projects!$D$43),Projects!$B$43*INDEX(Curves!$B$4:$AR$4,1,4-Projects!$C$43+1),0)+IF(AND(Projects!$G$44="Yes",4&gt;=Projects!$C$44,4&lt;Projects!$C$44+Projects!$D$44),Projects!$B$44*INDEX(Curves!$B$4:$AR$4,1,4-Projects!$C$44+1),0)+IF(AND(Projects!$G$45="Yes",4&gt;=Projects!$C$45,4&lt;Projects!$C$45+Projects!$D$45),Projects!$B$45*INDEX(Curves!$B$4:$AR$4,1,4-Projects!$C$45+1),0)+IF(AND(Projects!$G$46="Yes",4&gt;=Projects!$C$46,4&lt;Projects!$C$46+Projects!$D$46),Projects!$B$46*INDEX(Curves!$B$4:$AR$4,1,4-Projects!$C$46+1),0)</f>
        <v>0</v>
      </c>
      <c r="J96" s="315" t="n">
        <f aca="false">IF(AND(Projects!$G$17="Yes",5&gt;=Projects!$C$17,5&lt;Projects!$C$17+Projects!$D$17),Projects!$B$17*INDEX(Curves!$B$4:$AR$4,1,5-Projects!$C$17+1),0)+IF(AND(Projects!$G$18="Yes",5&gt;=Projects!$C$18,5&lt;Projects!$C$18+Projects!$D$18),Projects!$B$18*INDEX(Curves!$B$4:$AR$4,1,5-Projects!$C$18+1),0)+IF(AND(Projects!$G$19="Yes",5&gt;=Projects!$C$19,5&lt;Projects!$C$19+Projects!$D$19),Projects!$B$19*INDEX(Curves!$B$4:$AR$4,1,5-Projects!$C$19+1),0)+IF(AND(Projects!$G$20="Yes",5&gt;=Projects!$C$20,5&lt;Projects!$C$20+Projects!$D$20),Projects!$B$20*INDEX(Curves!$B$4:$AR$4,1,5-Projects!$C$20+1),0)+IF(AND(Projects!$G$21="Yes",5&gt;=Projects!$C$21,5&lt;Projects!$C$21+Projects!$D$21),Projects!$B$21*INDEX(Curves!$B$4:$AR$4,1,5-Projects!$C$21+1),0)+IF(AND(Projects!$G$22="Yes",5&gt;=Projects!$C$22,5&lt;Projects!$C$22+Projects!$D$22),Projects!$B$22*INDEX(Curves!$B$4:$AR$4,1,5-Projects!$C$22+1),0)+IF(AND(Projects!$G$23="Yes",5&gt;=Projects!$C$23,5&lt;Projects!$C$23+Projects!$D$23),Projects!$B$23*INDEX(Curves!$B$4:$AR$4,1,5-Projects!$C$23+1),0)+IF(AND(Projects!$G$24="Yes",5&gt;=Projects!$C$24,5&lt;Projects!$C$24+Projects!$D$24),Projects!$B$24*INDEX(Curves!$B$4:$AR$4,1,5-Projects!$C$24+1),0)+IF(AND(Projects!$G$25="Yes",5&gt;=Projects!$C$25,5&lt;Projects!$C$25+Projects!$D$25),Projects!$B$25*INDEX(Curves!$B$4:$AR$4,1,5-Projects!$C$25+1),0)+IF(AND(Projects!$G$26="Yes",5&gt;=Projects!$C$26,5&lt;Projects!$C$26+Projects!$D$26),Projects!$B$26*INDEX(Curves!$B$4:$AR$4,1,5-Projects!$C$26+1),0)+IF(AND(Projects!$G$27="Yes",5&gt;=Projects!$C$27,5&lt;Projects!$C$27+Projects!$D$27),Projects!$B$27*INDEX(Curves!$B$4:$AR$4,1,5-Projects!$C$27+1),0)+IF(AND(Projects!$G$28="Yes",5&gt;=Projects!$C$28,5&lt;Projects!$C$28+Projects!$D$28),Projects!$B$28*INDEX(Curves!$B$4:$AR$4,1,5-Projects!$C$28+1),0)+IF(AND(Projects!$G$29="Yes",5&gt;=Projects!$C$29,5&lt;Projects!$C$29+Projects!$D$29),Projects!$B$29*INDEX(Curves!$B$4:$AR$4,1,5-Projects!$C$29+1),0)+IF(AND(Projects!$G$30="Yes",5&gt;=Projects!$C$30,5&lt;Projects!$C$30+Projects!$D$30),Projects!$B$30*INDEX(Curves!$B$4:$AR$4,1,5-Projects!$C$30+1),0)+IF(AND(Projects!$G$31="Yes",5&gt;=Projects!$C$31,5&lt;Projects!$C$31+Projects!$D$31),Projects!$B$31*INDEX(Curves!$B$4:$AR$4,1,5-Projects!$C$31+1),0)+IF(AND(Projects!$G$32="Yes",5&gt;=Projects!$C$32,5&lt;Projects!$C$32+Projects!$D$32),Projects!$B$32*INDEX(Curves!$B$4:$AR$4,1,5-Projects!$C$32+1),0)+IF(AND(Projects!$G$33="Yes",5&gt;=Projects!$C$33,5&lt;Projects!$C$33+Projects!$D$33),Projects!$B$33*INDEX(Curves!$B$4:$AR$4,1,5-Projects!$C$33+1),0)+IF(AND(Projects!$G$34="Yes",5&gt;=Projects!$C$34,5&lt;Projects!$C$34+Projects!$D$34),Projects!$B$34*INDEX(Curves!$B$4:$AR$4,1,5-Projects!$C$34+1),0)+IF(AND(Projects!$G$35="Yes",5&gt;=Projects!$C$35,5&lt;Projects!$C$35+Projects!$D$35),Projects!$B$35*INDEX(Curves!$B$4:$AR$4,1,5-Projects!$C$35+1),0)+IF(AND(Projects!$G$36="Yes",5&gt;=Projects!$C$36,5&lt;Projects!$C$36+Projects!$D$36),Projects!$B$36*INDEX(Curves!$B$4:$AR$4,1,5-Projects!$C$36+1),0)+IF(AND(Projects!$G$37="Yes",5&gt;=Projects!$C$37,5&lt;Projects!$C$37+Projects!$D$37),Projects!$B$37*INDEX(Curves!$B$4:$AR$4,1,5-Projects!$C$37+1),0)+IF(AND(Projects!$G$38="Yes",5&gt;=Projects!$C$38,5&lt;Projects!$C$38+Projects!$D$38),Projects!$B$38*INDEX(Curves!$B$4:$AR$4,1,5-Projects!$C$38+1),0)+IF(AND(Projects!$G$39="Yes",5&gt;=Projects!$C$39,5&lt;Projects!$C$39+Projects!$D$39),Projects!$B$39*INDEX(Curves!$B$4:$AR$4,1,5-Projects!$C$39+1),0)+IF(AND(Projects!$G$40="Yes",5&gt;=Projects!$C$40,5&lt;Projects!$C$40+Projects!$D$40),Projects!$B$40*INDEX(Curves!$B$4:$AR$4,1,5-Projects!$C$40+1),0)+IF(AND(Projects!$G$41="Yes",5&gt;=Projects!$C$41,5&lt;Projects!$C$41+Projects!$D$41),Projects!$B$41*INDEX(Curves!$B$4:$AR$4,1,5-Projects!$C$41+1),0)+IF(AND(Projects!$G$42="Yes",5&gt;=Projects!$C$42,5&lt;Projects!$C$42+Projects!$D$42),Projects!$B$42*INDEX(Curves!$B$4:$AR$4,1,5-Projects!$C$42+1),0)+IF(AND(Projects!$G$43="Yes",5&gt;=Projects!$C$43,5&lt;Projects!$C$43+Projects!$D$43),Projects!$B$43*INDEX(Curves!$B$4:$AR$4,1,5-Projects!$C$43+1),0)+IF(AND(Projects!$G$44="Yes",5&gt;=Projects!$C$44,5&lt;Projects!$C$44+Projects!$D$44),Projects!$B$44*INDEX(Curves!$B$4:$AR$4,1,5-Projects!$C$44+1),0)+IF(AND(Projects!$G$45="Yes",5&gt;=Projects!$C$45,5&lt;Projects!$C$45+Projects!$D$45),Projects!$B$45*INDEX(Curves!$B$4:$AR$4,1,5-Projects!$C$45+1),0)+IF(AND(Projects!$G$46="Yes",5&gt;=Projects!$C$46,5&lt;Projects!$C$46+Projects!$D$46),Projects!$B$46*INDEX(Curves!$B$4:$AR$4,1,5-Projects!$C$46+1),0)</f>
        <v>0</v>
      </c>
      <c r="K96" s="315" t="n">
        <f aca="false">IF(AND(Projects!$G$17="Yes",6&gt;=Projects!$C$17,6&lt;Projects!$C$17+Projects!$D$17),Projects!$B$17*INDEX(Curves!$B$4:$AR$4,1,6-Projects!$C$17+1),0)+IF(AND(Projects!$G$18="Yes",6&gt;=Projects!$C$18,6&lt;Projects!$C$18+Projects!$D$18),Projects!$B$18*INDEX(Curves!$B$4:$AR$4,1,6-Projects!$C$18+1),0)+IF(AND(Projects!$G$19="Yes",6&gt;=Projects!$C$19,6&lt;Projects!$C$19+Projects!$D$19),Projects!$B$19*INDEX(Curves!$B$4:$AR$4,1,6-Projects!$C$19+1),0)+IF(AND(Projects!$G$20="Yes",6&gt;=Projects!$C$20,6&lt;Projects!$C$20+Projects!$D$20),Projects!$B$20*INDEX(Curves!$B$4:$AR$4,1,6-Projects!$C$20+1),0)+IF(AND(Projects!$G$21="Yes",6&gt;=Projects!$C$21,6&lt;Projects!$C$21+Projects!$D$21),Projects!$B$21*INDEX(Curves!$B$4:$AR$4,1,6-Projects!$C$21+1),0)+IF(AND(Projects!$G$22="Yes",6&gt;=Projects!$C$22,6&lt;Projects!$C$22+Projects!$D$22),Projects!$B$22*INDEX(Curves!$B$4:$AR$4,1,6-Projects!$C$22+1),0)+IF(AND(Projects!$G$23="Yes",6&gt;=Projects!$C$23,6&lt;Projects!$C$23+Projects!$D$23),Projects!$B$23*INDEX(Curves!$B$4:$AR$4,1,6-Projects!$C$23+1),0)+IF(AND(Projects!$G$24="Yes",6&gt;=Projects!$C$24,6&lt;Projects!$C$24+Projects!$D$24),Projects!$B$24*INDEX(Curves!$B$4:$AR$4,1,6-Projects!$C$24+1),0)+IF(AND(Projects!$G$25="Yes",6&gt;=Projects!$C$25,6&lt;Projects!$C$25+Projects!$D$25),Projects!$B$25*INDEX(Curves!$B$4:$AR$4,1,6-Projects!$C$25+1),0)+IF(AND(Projects!$G$26="Yes",6&gt;=Projects!$C$26,6&lt;Projects!$C$26+Projects!$D$26),Projects!$B$26*INDEX(Curves!$B$4:$AR$4,1,6-Projects!$C$26+1),0)+IF(AND(Projects!$G$27="Yes",6&gt;=Projects!$C$27,6&lt;Projects!$C$27+Projects!$D$27),Projects!$B$27*INDEX(Curves!$B$4:$AR$4,1,6-Projects!$C$27+1),0)+IF(AND(Projects!$G$28="Yes",6&gt;=Projects!$C$28,6&lt;Projects!$C$28+Projects!$D$28),Projects!$B$28*INDEX(Curves!$B$4:$AR$4,1,6-Projects!$C$28+1),0)+IF(AND(Projects!$G$29="Yes",6&gt;=Projects!$C$29,6&lt;Projects!$C$29+Projects!$D$29),Projects!$B$29*INDEX(Curves!$B$4:$AR$4,1,6-Projects!$C$29+1),0)+IF(AND(Projects!$G$30="Yes",6&gt;=Projects!$C$30,6&lt;Projects!$C$30+Projects!$D$30),Projects!$B$30*INDEX(Curves!$B$4:$AR$4,1,6-Projects!$C$30+1),0)+IF(AND(Projects!$G$31="Yes",6&gt;=Projects!$C$31,6&lt;Projects!$C$31+Projects!$D$31),Projects!$B$31*INDEX(Curves!$B$4:$AR$4,1,6-Projects!$C$31+1),0)+IF(AND(Projects!$G$32="Yes",6&gt;=Projects!$C$32,6&lt;Projects!$C$32+Projects!$D$32),Projects!$B$32*INDEX(Curves!$B$4:$AR$4,1,6-Projects!$C$32+1),0)+IF(AND(Projects!$G$33="Yes",6&gt;=Projects!$C$33,6&lt;Projects!$C$33+Projects!$D$33),Projects!$B$33*INDEX(Curves!$B$4:$AR$4,1,6-Projects!$C$33+1),0)+IF(AND(Projects!$G$34="Yes",6&gt;=Projects!$C$34,6&lt;Projects!$C$34+Projects!$D$34),Projects!$B$34*INDEX(Curves!$B$4:$AR$4,1,6-Projects!$C$34+1),0)+IF(AND(Projects!$G$35="Yes",6&gt;=Projects!$C$35,6&lt;Projects!$C$35+Projects!$D$35),Projects!$B$35*INDEX(Curves!$B$4:$AR$4,1,6-Projects!$C$35+1),0)+IF(AND(Projects!$G$36="Yes",6&gt;=Projects!$C$36,6&lt;Projects!$C$36+Projects!$D$36),Projects!$B$36*INDEX(Curves!$B$4:$AR$4,1,6-Projects!$C$36+1),0)+IF(AND(Projects!$G$37="Yes",6&gt;=Projects!$C$37,6&lt;Projects!$C$37+Projects!$D$37),Projects!$B$37*INDEX(Curves!$B$4:$AR$4,1,6-Projects!$C$37+1),0)+IF(AND(Projects!$G$38="Yes",6&gt;=Projects!$C$38,6&lt;Projects!$C$38+Projects!$D$38),Projects!$B$38*INDEX(Curves!$B$4:$AR$4,1,6-Projects!$C$38+1),0)+IF(AND(Projects!$G$39="Yes",6&gt;=Projects!$C$39,6&lt;Projects!$C$39+Projects!$D$39),Projects!$B$39*INDEX(Curves!$B$4:$AR$4,1,6-Projects!$C$39+1),0)+IF(AND(Projects!$G$40="Yes",6&gt;=Projects!$C$40,6&lt;Projects!$C$40+Projects!$D$40),Projects!$B$40*INDEX(Curves!$B$4:$AR$4,1,6-Projects!$C$40+1),0)+IF(AND(Projects!$G$41="Yes",6&gt;=Projects!$C$41,6&lt;Projects!$C$41+Projects!$D$41),Projects!$B$41*INDEX(Curves!$B$4:$AR$4,1,6-Projects!$C$41+1),0)+IF(AND(Projects!$G$42="Yes",6&gt;=Projects!$C$42,6&lt;Projects!$C$42+Projects!$D$42),Projects!$B$42*INDEX(Curves!$B$4:$AR$4,1,6-Projects!$C$42+1),0)+IF(AND(Projects!$G$43="Yes",6&gt;=Projects!$C$43,6&lt;Projects!$C$43+Projects!$D$43),Projects!$B$43*INDEX(Curves!$B$4:$AR$4,1,6-Projects!$C$43+1),0)+IF(AND(Projects!$G$44="Yes",6&gt;=Projects!$C$44,6&lt;Projects!$C$44+Projects!$D$44),Projects!$B$44*INDEX(Curves!$B$4:$AR$4,1,6-Projects!$C$44+1),0)+IF(AND(Projects!$G$45="Yes",6&gt;=Projects!$C$45,6&lt;Projects!$C$45+Projects!$D$45),Projects!$B$45*INDEX(Curves!$B$4:$AR$4,1,6-Projects!$C$45+1),0)+IF(AND(Projects!$G$46="Yes",6&gt;=Projects!$C$46,6&lt;Projects!$C$46+Projects!$D$46),Projects!$B$46*INDEX(Curves!$B$4:$AR$4,1,6-Projects!$C$46+1),0)</f>
        <v>0</v>
      </c>
      <c r="L96" s="315" t="n">
        <f aca="false">IF(AND(Projects!$G$17="Yes",7&gt;=Projects!$C$17,7&lt;Projects!$C$17+Projects!$D$17),Projects!$B$17*INDEX(Curves!$B$4:$AR$4,1,7-Projects!$C$17+1),0)+IF(AND(Projects!$G$18="Yes",7&gt;=Projects!$C$18,7&lt;Projects!$C$18+Projects!$D$18),Projects!$B$18*INDEX(Curves!$B$4:$AR$4,1,7-Projects!$C$18+1),0)+IF(AND(Projects!$G$19="Yes",7&gt;=Projects!$C$19,7&lt;Projects!$C$19+Projects!$D$19),Projects!$B$19*INDEX(Curves!$B$4:$AR$4,1,7-Projects!$C$19+1),0)+IF(AND(Projects!$G$20="Yes",7&gt;=Projects!$C$20,7&lt;Projects!$C$20+Projects!$D$20),Projects!$B$20*INDEX(Curves!$B$4:$AR$4,1,7-Projects!$C$20+1),0)+IF(AND(Projects!$G$21="Yes",7&gt;=Projects!$C$21,7&lt;Projects!$C$21+Projects!$D$21),Projects!$B$21*INDEX(Curves!$B$4:$AR$4,1,7-Projects!$C$21+1),0)+IF(AND(Projects!$G$22="Yes",7&gt;=Projects!$C$22,7&lt;Projects!$C$22+Projects!$D$22),Projects!$B$22*INDEX(Curves!$B$4:$AR$4,1,7-Projects!$C$22+1),0)+IF(AND(Projects!$G$23="Yes",7&gt;=Projects!$C$23,7&lt;Projects!$C$23+Projects!$D$23),Projects!$B$23*INDEX(Curves!$B$4:$AR$4,1,7-Projects!$C$23+1),0)+IF(AND(Projects!$G$24="Yes",7&gt;=Projects!$C$24,7&lt;Projects!$C$24+Projects!$D$24),Projects!$B$24*INDEX(Curves!$B$4:$AR$4,1,7-Projects!$C$24+1),0)+IF(AND(Projects!$G$25="Yes",7&gt;=Projects!$C$25,7&lt;Projects!$C$25+Projects!$D$25),Projects!$B$25*INDEX(Curves!$B$4:$AR$4,1,7-Projects!$C$25+1),0)+IF(AND(Projects!$G$26="Yes",7&gt;=Projects!$C$26,7&lt;Projects!$C$26+Projects!$D$26),Projects!$B$26*INDEX(Curves!$B$4:$AR$4,1,7-Projects!$C$26+1),0)+IF(AND(Projects!$G$27="Yes",7&gt;=Projects!$C$27,7&lt;Projects!$C$27+Projects!$D$27),Projects!$B$27*INDEX(Curves!$B$4:$AR$4,1,7-Projects!$C$27+1),0)+IF(AND(Projects!$G$28="Yes",7&gt;=Projects!$C$28,7&lt;Projects!$C$28+Projects!$D$28),Projects!$B$28*INDEX(Curves!$B$4:$AR$4,1,7-Projects!$C$28+1),0)+IF(AND(Projects!$G$29="Yes",7&gt;=Projects!$C$29,7&lt;Projects!$C$29+Projects!$D$29),Projects!$B$29*INDEX(Curves!$B$4:$AR$4,1,7-Projects!$C$29+1),0)+IF(AND(Projects!$G$30="Yes",7&gt;=Projects!$C$30,7&lt;Projects!$C$30+Projects!$D$30),Projects!$B$30*INDEX(Curves!$B$4:$AR$4,1,7-Projects!$C$30+1),0)+IF(AND(Projects!$G$31="Yes",7&gt;=Projects!$C$31,7&lt;Projects!$C$31+Projects!$D$31),Projects!$B$31*INDEX(Curves!$B$4:$AR$4,1,7-Projects!$C$31+1),0)+IF(AND(Projects!$G$32="Yes",7&gt;=Projects!$C$32,7&lt;Projects!$C$32+Projects!$D$32),Projects!$B$32*INDEX(Curves!$B$4:$AR$4,1,7-Projects!$C$32+1),0)+IF(AND(Projects!$G$33="Yes",7&gt;=Projects!$C$33,7&lt;Projects!$C$33+Projects!$D$33),Projects!$B$33*INDEX(Curves!$B$4:$AR$4,1,7-Projects!$C$33+1),0)+IF(AND(Projects!$G$34="Yes",7&gt;=Projects!$C$34,7&lt;Projects!$C$34+Projects!$D$34),Projects!$B$34*INDEX(Curves!$B$4:$AR$4,1,7-Projects!$C$34+1),0)+IF(AND(Projects!$G$35="Yes",7&gt;=Projects!$C$35,7&lt;Projects!$C$35+Projects!$D$35),Projects!$B$35*INDEX(Curves!$B$4:$AR$4,1,7-Projects!$C$35+1),0)+IF(AND(Projects!$G$36="Yes",7&gt;=Projects!$C$36,7&lt;Projects!$C$36+Projects!$D$36),Projects!$B$36*INDEX(Curves!$B$4:$AR$4,1,7-Projects!$C$36+1),0)+IF(AND(Projects!$G$37="Yes",7&gt;=Projects!$C$37,7&lt;Projects!$C$37+Projects!$D$37),Projects!$B$37*INDEX(Curves!$B$4:$AR$4,1,7-Projects!$C$37+1),0)+IF(AND(Projects!$G$38="Yes",7&gt;=Projects!$C$38,7&lt;Projects!$C$38+Projects!$D$38),Projects!$B$38*INDEX(Curves!$B$4:$AR$4,1,7-Projects!$C$38+1),0)+IF(AND(Projects!$G$39="Yes",7&gt;=Projects!$C$39,7&lt;Projects!$C$39+Projects!$D$39),Projects!$B$39*INDEX(Curves!$B$4:$AR$4,1,7-Projects!$C$39+1),0)+IF(AND(Projects!$G$40="Yes",7&gt;=Projects!$C$40,7&lt;Projects!$C$40+Projects!$D$40),Projects!$B$40*INDEX(Curves!$B$4:$AR$4,1,7-Projects!$C$40+1),0)+IF(AND(Projects!$G$41="Yes",7&gt;=Projects!$C$41,7&lt;Projects!$C$41+Projects!$D$41),Projects!$B$41*INDEX(Curves!$B$4:$AR$4,1,7-Projects!$C$41+1),0)+IF(AND(Projects!$G$42="Yes",7&gt;=Projects!$C$42,7&lt;Projects!$C$42+Projects!$D$42),Projects!$B$42*INDEX(Curves!$B$4:$AR$4,1,7-Projects!$C$42+1),0)+IF(AND(Projects!$G$43="Yes",7&gt;=Projects!$C$43,7&lt;Projects!$C$43+Projects!$D$43),Projects!$B$43*INDEX(Curves!$B$4:$AR$4,1,7-Projects!$C$43+1),0)+IF(AND(Projects!$G$44="Yes",7&gt;=Projects!$C$44,7&lt;Projects!$C$44+Projects!$D$44),Projects!$B$44*INDEX(Curves!$B$4:$AR$4,1,7-Projects!$C$44+1),0)+IF(AND(Projects!$G$45="Yes",7&gt;=Projects!$C$45,7&lt;Projects!$C$45+Projects!$D$45),Projects!$B$45*INDEX(Curves!$B$4:$AR$4,1,7-Projects!$C$45+1),0)+IF(AND(Projects!$G$46="Yes",7&gt;=Projects!$C$46,7&lt;Projects!$C$46+Projects!$D$46),Projects!$B$46*INDEX(Curves!$B$4:$AR$4,1,7-Projects!$C$46+1),0)</f>
        <v>0</v>
      </c>
      <c r="M96" s="315" t="n">
        <f aca="false">IF(AND(Projects!$G$17="Yes",8&gt;=Projects!$C$17,8&lt;Projects!$C$17+Projects!$D$17),Projects!$B$17*INDEX(Curves!$B$4:$AR$4,1,8-Projects!$C$17+1),0)+IF(AND(Projects!$G$18="Yes",8&gt;=Projects!$C$18,8&lt;Projects!$C$18+Projects!$D$18),Projects!$B$18*INDEX(Curves!$B$4:$AR$4,1,8-Projects!$C$18+1),0)+IF(AND(Projects!$G$19="Yes",8&gt;=Projects!$C$19,8&lt;Projects!$C$19+Projects!$D$19),Projects!$B$19*INDEX(Curves!$B$4:$AR$4,1,8-Projects!$C$19+1),0)+IF(AND(Projects!$G$20="Yes",8&gt;=Projects!$C$20,8&lt;Projects!$C$20+Projects!$D$20),Projects!$B$20*INDEX(Curves!$B$4:$AR$4,1,8-Projects!$C$20+1),0)+IF(AND(Projects!$G$21="Yes",8&gt;=Projects!$C$21,8&lt;Projects!$C$21+Projects!$D$21),Projects!$B$21*INDEX(Curves!$B$4:$AR$4,1,8-Projects!$C$21+1),0)+IF(AND(Projects!$G$22="Yes",8&gt;=Projects!$C$22,8&lt;Projects!$C$22+Projects!$D$22),Projects!$B$22*INDEX(Curves!$B$4:$AR$4,1,8-Projects!$C$22+1),0)+IF(AND(Projects!$G$23="Yes",8&gt;=Projects!$C$23,8&lt;Projects!$C$23+Projects!$D$23),Projects!$B$23*INDEX(Curves!$B$4:$AR$4,1,8-Projects!$C$23+1),0)+IF(AND(Projects!$G$24="Yes",8&gt;=Projects!$C$24,8&lt;Projects!$C$24+Projects!$D$24),Projects!$B$24*INDEX(Curves!$B$4:$AR$4,1,8-Projects!$C$24+1),0)+IF(AND(Projects!$G$25="Yes",8&gt;=Projects!$C$25,8&lt;Projects!$C$25+Projects!$D$25),Projects!$B$25*INDEX(Curves!$B$4:$AR$4,1,8-Projects!$C$25+1),0)+IF(AND(Projects!$G$26="Yes",8&gt;=Projects!$C$26,8&lt;Projects!$C$26+Projects!$D$26),Projects!$B$26*INDEX(Curves!$B$4:$AR$4,1,8-Projects!$C$26+1),0)+IF(AND(Projects!$G$27="Yes",8&gt;=Projects!$C$27,8&lt;Projects!$C$27+Projects!$D$27),Projects!$B$27*INDEX(Curves!$B$4:$AR$4,1,8-Projects!$C$27+1),0)+IF(AND(Projects!$G$28="Yes",8&gt;=Projects!$C$28,8&lt;Projects!$C$28+Projects!$D$28),Projects!$B$28*INDEX(Curves!$B$4:$AR$4,1,8-Projects!$C$28+1),0)+IF(AND(Projects!$G$29="Yes",8&gt;=Projects!$C$29,8&lt;Projects!$C$29+Projects!$D$29),Projects!$B$29*INDEX(Curves!$B$4:$AR$4,1,8-Projects!$C$29+1),0)+IF(AND(Projects!$G$30="Yes",8&gt;=Projects!$C$30,8&lt;Projects!$C$30+Projects!$D$30),Projects!$B$30*INDEX(Curves!$B$4:$AR$4,1,8-Projects!$C$30+1),0)+IF(AND(Projects!$G$31="Yes",8&gt;=Projects!$C$31,8&lt;Projects!$C$31+Projects!$D$31),Projects!$B$31*INDEX(Curves!$B$4:$AR$4,1,8-Projects!$C$31+1),0)+IF(AND(Projects!$G$32="Yes",8&gt;=Projects!$C$32,8&lt;Projects!$C$32+Projects!$D$32),Projects!$B$32*INDEX(Curves!$B$4:$AR$4,1,8-Projects!$C$32+1),0)+IF(AND(Projects!$G$33="Yes",8&gt;=Projects!$C$33,8&lt;Projects!$C$33+Projects!$D$33),Projects!$B$33*INDEX(Curves!$B$4:$AR$4,1,8-Projects!$C$33+1),0)+IF(AND(Projects!$G$34="Yes",8&gt;=Projects!$C$34,8&lt;Projects!$C$34+Projects!$D$34),Projects!$B$34*INDEX(Curves!$B$4:$AR$4,1,8-Projects!$C$34+1),0)+IF(AND(Projects!$G$35="Yes",8&gt;=Projects!$C$35,8&lt;Projects!$C$35+Projects!$D$35),Projects!$B$35*INDEX(Curves!$B$4:$AR$4,1,8-Projects!$C$35+1),0)+IF(AND(Projects!$G$36="Yes",8&gt;=Projects!$C$36,8&lt;Projects!$C$36+Projects!$D$36),Projects!$B$36*INDEX(Curves!$B$4:$AR$4,1,8-Projects!$C$36+1),0)+IF(AND(Projects!$G$37="Yes",8&gt;=Projects!$C$37,8&lt;Projects!$C$37+Projects!$D$37),Projects!$B$37*INDEX(Curves!$B$4:$AR$4,1,8-Projects!$C$37+1),0)+IF(AND(Projects!$G$38="Yes",8&gt;=Projects!$C$38,8&lt;Projects!$C$38+Projects!$D$38),Projects!$B$38*INDEX(Curves!$B$4:$AR$4,1,8-Projects!$C$38+1),0)+IF(AND(Projects!$G$39="Yes",8&gt;=Projects!$C$39,8&lt;Projects!$C$39+Projects!$D$39),Projects!$B$39*INDEX(Curves!$B$4:$AR$4,1,8-Projects!$C$39+1),0)+IF(AND(Projects!$G$40="Yes",8&gt;=Projects!$C$40,8&lt;Projects!$C$40+Projects!$D$40),Projects!$B$40*INDEX(Curves!$B$4:$AR$4,1,8-Projects!$C$40+1),0)+IF(AND(Projects!$G$41="Yes",8&gt;=Projects!$C$41,8&lt;Projects!$C$41+Projects!$D$41),Projects!$B$41*INDEX(Curves!$B$4:$AR$4,1,8-Projects!$C$41+1),0)+IF(AND(Projects!$G$42="Yes",8&gt;=Projects!$C$42,8&lt;Projects!$C$42+Projects!$D$42),Projects!$B$42*INDEX(Curves!$B$4:$AR$4,1,8-Projects!$C$42+1),0)+IF(AND(Projects!$G$43="Yes",8&gt;=Projects!$C$43,8&lt;Projects!$C$43+Projects!$D$43),Projects!$B$43*INDEX(Curves!$B$4:$AR$4,1,8-Projects!$C$43+1),0)+IF(AND(Projects!$G$44="Yes",8&gt;=Projects!$C$44,8&lt;Projects!$C$44+Projects!$D$44),Projects!$B$44*INDEX(Curves!$B$4:$AR$4,1,8-Projects!$C$44+1),0)+IF(AND(Projects!$G$45="Yes",8&gt;=Projects!$C$45,8&lt;Projects!$C$45+Projects!$D$45),Projects!$B$45*INDEX(Curves!$B$4:$AR$4,1,8-Projects!$C$45+1),0)+IF(AND(Projects!$G$46="Yes",8&gt;=Projects!$C$46,8&lt;Projects!$C$46+Projects!$D$46),Projects!$B$46*INDEX(Curves!$B$4:$AR$4,1,8-Projects!$C$46+1),0)</f>
        <v>0</v>
      </c>
      <c r="N96" s="315" t="n">
        <f aca="false">IF(AND(Projects!$G$17="Yes",9&gt;=Projects!$C$17,9&lt;Projects!$C$17+Projects!$D$17),Projects!$B$17*INDEX(Curves!$B$4:$AR$4,1,9-Projects!$C$17+1),0)+IF(AND(Projects!$G$18="Yes",9&gt;=Projects!$C$18,9&lt;Projects!$C$18+Projects!$D$18),Projects!$B$18*INDEX(Curves!$B$4:$AR$4,1,9-Projects!$C$18+1),0)+IF(AND(Projects!$G$19="Yes",9&gt;=Projects!$C$19,9&lt;Projects!$C$19+Projects!$D$19),Projects!$B$19*INDEX(Curves!$B$4:$AR$4,1,9-Projects!$C$19+1),0)+IF(AND(Projects!$G$20="Yes",9&gt;=Projects!$C$20,9&lt;Projects!$C$20+Projects!$D$20),Projects!$B$20*INDEX(Curves!$B$4:$AR$4,1,9-Projects!$C$20+1),0)+IF(AND(Projects!$G$21="Yes",9&gt;=Projects!$C$21,9&lt;Projects!$C$21+Projects!$D$21),Projects!$B$21*INDEX(Curves!$B$4:$AR$4,1,9-Projects!$C$21+1),0)+IF(AND(Projects!$G$22="Yes",9&gt;=Projects!$C$22,9&lt;Projects!$C$22+Projects!$D$22),Projects!$B$22*INDEX(Curves!$B$4:$AR$4,1,9-Projects!$C$22+1),0)+IF(AND(Projects!$G$23="Yes",9&gt;=Projects!$C$23,9&lt;Projects!$C$23+Projects!$D$23),Projects!$B$23*INDEX(Curves!$B$4:$AR$4,1,9-Projects!$C$23+1),0)+IF(AND(Projects!$G$24="Yes",9&gt;=Projects!$C$24,9&lt;Projects!$C$24+Projects!$D$24),Projects!$B$24*INDEX(Curves!$B$4:$AR$4,1,9-Projects!$C$24+1),0)+IF(AND(Projects!$G$25="Yes",9&gt;=Projects!$C$25,9&lt;Projects!$C$25+Projects!$D$25),Projects!$B$25*INDEX(Curves!$B$4:$AR$4,1,9-Projects!$C$25+1),0)+IF(AND(Projects!$G$26="Yes",9&gt;=Projects!$C$26,9&lt;Projects!$C$26+Projects!$D$26),Projects!$B$26*INDEX(Curves!$B$4:$AR$4,1,9-Projects!$C$26+1),0)+IF(AND(Projects!$G$27="Yes",9&gt;=Projects!$C$27,9&lt;Projects!$C$27+Projects!$D$27),Projects!$B$27*INDEX(Curves!$B$4:$AR$4,1,9-Projects!$C$27+1),0)+IF(AND(Projects!$G$28="Yes",9&gt;=Projects!$C$28,9&lt;Projects!$C$28+Projects!$D$28),Projects!$B$28*INDEX(Curves!$B$4:$AR$4,1,9-Projects!$C$28+1),0)+IF(AND(Projects!$G$29="Yes",9&gt;=Projects!$C$29,9&lt;Projects!$C$29+Projects!$D$29),Projects!$B$29*INDEX(Curves!$B$4:$AR$4,1,9-Projects!$C$29+1),0)+IF(AND(Projects!$G$30="Yes",9&gt;=Projects!$C$30,9&lt;Projects!$C$30+Projects!$D$30),Projects!$B$30*INDEX(Curves!$B$4:$AR$4,1,9-Projects!$C$30+1),0)+IF(AND(Projects!$G$31="Yes",9&gt;=Projects!$C$31,9&lt;Projects!$C$31+Projects!$D$31),Projects!$B$31*INDEX(Curves!$B$4:$AR$4,1,9-Projects!$C$31+1),0)+IF(AND(Projects!$G$32="Yes",9&gt;=Projects!$C$32,9&lt;Projects!$C$32+Projects!$D$32),Projects!$B$32*INDEX(Curves!$B$4:$AR$4,1,9-Projects!$C$32+1),0)+IF(AND(Projects!$G$33="Yes",9&gt;=Projects!$C$33,9&lt;Projects!$C$33+Projects!$D$33),Projects!$B$33*INDEX(Curves!$B$4:$AR$4,1,9-Projects!$C$33+1),0)+IF(AND(Projects!$G$34="Yes",9&gt;=Projects!$C$34,9&lt;Projects!$C$34+Projects!$D$34),Projects!$B$34*INDEX(Curves!$B$4:$AR$4,1,9-Projects!$C$34+1),0)+IF(AND(Projects!$G$35="Yes",9&gt;=Projects!$C$35,9&lt;Projects!$C$35+Projects!$D$35),Projects!$B$35*INDEX(Curves!$B$4:$AR$4,1,9-Projects!$C$35+1),0)+IF(AND(Projects!$G$36="Yes",9&gt;=Projects!$C$36,9&lt;Projects!$C$36+Projects!$D$36),Projects!$B$36*INDEX(Curves!$B$4:$AR$4,1,9-Projects!$C$36+1),0)+IF(AND(Projects!$G$37="Yes",9&gt;=Projects!$C$37,9&lt;Projects!$C$37+Projects!$D$37),Projects!$B$37*INDEX(Curves!$B$4:$AR$4,1,9-Projects!$C$37+1),0)+IF(AND(Projects!$G$38="Yes",9&gt;=Projects!$C$38,9&lt;Projects!$C$38+Projects!$D$38),Projects!$B$38*INDEX(Curves!$B$4:$AR$4,1,9-Projects!$C$38+1),0)+IF(AND(Projects!$G$39="Yes",9&gt;=Projects!$C$39,9&lt;Projects!$C$39+Projects!$D$39),Projects!$B$39*INDEX(Curves!$B$4:$AR$4,1,9-Projects!$C$39+1),0)+IF(AND(Projects!$G$40="Yes",9&gt;=Projects!$C$40,9&lt;Projects!$C$40+Projects!$D$40),Projects!$B$40*INDEX(Curves!$B$4:$AR$4,1,9-Projects!$C$40+1),0)+IF(AND(Projects!$G$41="Yes",9&gt;=Projects!$C$41,9&lt;Projects!$C$41+Projects!$D$41),Projects!$B$41*INDEX(Curves!$B$4:$AR$4,1,9-Projects!$C$41+1),0)+IF(AND(Projects!$G$42="Yes",9&gt;=Projects!$C$42,9&lt;Projects!$C$42+Projects!$D$42),Projects!$B$42*INDEX(Curves!$B$4:$AR$4,1,9-Projects!$C$42+1),0)+IF(AND(Projects!$G$43="Yes",9&gt;=Projects!$C$43,9&lt;Projects!$C$43+Projects!$D$43),Projects!$B$43*INDEX(Curves!$B$4:$AR$4,1,9-Projects!$C$43+1),0)+IF(AND(Projects!$G$44="Yes",9&gt;=Projects!$C$44,9&lt;Projects!$C$44+Projects!$D$44),Projects!$B$44*INDEX(Curves!$B$4:$AR$4,1,9-Projects!$C$44+1),0)+IF(AND(Projects!$G$45="Yes",9&gt;=Projects!$C$45,9&lt;Projects!$C$45+Projects!$D$45),Projects!$B$45*INDEX(Curves!$B$4:$AR$4,1,9-Projects!$C$45+1),0)+IF(AND(Projects!$G$46="Yes",9&gt;=Projects!$C$46,9&lt;Projects!$C$46+Projects!$D$46),Projects!$B$46*INDEX(Curves!$B$4:$AR$4,1,9-Projects!$C$46+1),0)</f>
        <v>0</v>
      </c>
      <c r="O96" s="315" t="n">
        <f aca="false">IF(AND(Projects!$G$17="Yes",10&gt;=Projects!$C$17,10&lt;Projects!$C$17+Projects!$D$17),Projects!$B$17*INDEX(Curves!$B$4:$AR$4,1,10-Projects!$C$17+1),0)+IF(AND(Projects!$G$18="Yes",10&gt;=Projects!$C$18,10&lt;Projects!$C$18+Projects!$D$18),Projects!$B$18*INDEX(Curves!$B$4:$AR$4,1,10-Projects!$C$18+1),0)+IF(AND(Projects!$G$19="Yes",10&gt;=Projects!$C$19,10&lt;Projects!$C$19+Projects!$D$19),Projects!$B$19*INDEX(Curves!$B$4:$AR$4,1,10-Projects!$C$19+1),0)+IF(AND(Projects!$G$20="Yes",10&gt;=Projects!$C$20,10&lt;Projects!$C$20+Projects!$D$20),Projects!$B$20*INDEX(Curves!$B$4:$AR$4,1,10-Projects!$C$20+1),0)+IF(AND(Projects!$G$21="Yes",10&gt;=Projects!$C$21,10&lt;Projects!$C$21+Projects!$D$21),Projects!$B$21*INDEX(Curves!$B$4:$AR$4,1,10-Projects!$C$21+1),0)+IF(AND(Projects!$G$22="Yes",10&gt;=Projects!$C$22,10&lt;Projects!$C$22+Projects!$D$22),Projects!$B$22*INDEX(Curves!$B$4:$AR$4,1,10-Projects!$C$22+1),0)+IF(AND(Projects!$G$23="Yes",10&gt;=Projects!$C$23,10&lt;Projects!$C$23+Projects!$D$23),Projects!$B$23*INDEX(Curves!$B$4:$AR$4,1,10-Projects!$C$23+1),0)+IF(AND(Projects!$G$24="Yes",10&gt;=Projects!$C$24,10&lt;Projects!$C$24+Projects!$D$24),Projects!$B$24*INDEX(Curves!$B$4:$AR$4,1,10-Projects!$C$24+1),0)+IF(AND(Projects!$G$25="Yes",10&gt;=Projects!$C$25,10&lt;Projects!$C$25+Projects!$D$25),Projects!$B$25*INDEX(Curves!$B$4:$AR$4,1,10-Projects!$C$25+1),0)+IF(AND(Projects!$G$26="Yes",10&gt;=Projects!$C$26,10&lt;Projects!$C$26+Projects!$D$26),Projects!$B$26*INDEX(Curves!$B$4:$AR$4,1,10-Projects!$C$26+1),0)+IF(AND(Projects!$G$27="Yes",10&gt;=Projects!$C$27,10&lt;Projects!$C$27+Projects!$D$27),Projects!$B$27*INDEX(Curves!$B$4:$AR$4,1,10-Projects!$C$27+1),0)+IF(AND(Projects!$G$28="Yes",10&gt;=Projects!$C$28,10&lt;Projects!$C$28+Projects!$D$28),Projects!$B$28*INDEX(Curves!$B$4:$AR$4,1,10-Projects!$C$28+1),0)+IF(AND(Projects!$G$29="Yes",10&gt;=Projects!$C$29,10&lt;Projects!$C$29+Projects!$D$29),Projects!$B$29*INDEX(Curves!$B$4:$AR$4,1,10-Projects!$C$29+1),0)+IF(AND(Projects!$G$30="Yes",10&gt;=Projects!$C$30,10&lt;Projects!$C$30+Projects!$D$30),Projects!$B$30*INDEX(Curves!$B$4:$AR$4,1,10-Projects!$C$30+1),0)+IF(AND(Projects!$G$31="Yes",10&gt;=Projects!$C$31,10&lt;Projects!$C$31+Projects!$D$31),Projects!$B$31*INDEX(Curves!$B$4:$AR$4,1,10-Projects!$C$31+1),0)+IF(AND(Projects!$G$32="Yes",10&gt;=Projects!$C$32,10&lt;Projects!$C$32+Projects!$D$32),Projects!$B$32*INDEX(Curves!$B$4:$AR$4,1,10-Projects!$C$32+1),0)+IF(AND(Projects!$G$33="Yes",10&gt;=Projects!$C$33,10&lt;Projects!$C$33+Projects!$D$33),Projects!$B$33*INDEX(Curves!$B$4:$AR$4,1,10-Projects!$C$33+1),0)+IF(AND(Projects!$G$34="Yes",10&gt;=Projects!$C$34,10&lt;Projects!$C$34+Projects!$D$34),Projects!$B$34*INDEX(Curves!$B$4:$AR$4,1,10-Projects!$C$34+1),0)+IF(AND(Projects!$G$35="Yes",10&gt;=Projects!$C$35,10&lt;Projects!$C$35+Projects!$D$35),Projects!$B$35*INDEX(Curves!$B$4:$AR$4,1,10-Projects!$C$35+1),0)+IF(AND(Projects!$G$36="Yes",10&gt;=Projects!$C$36,10&lt;Projects!$C$36+Projects!$D$36),Projects!$B$36*INDEX(Curves!$B$4:$AR$4,1,10-Projects!$C$36+1),0)+IF(AND(Projects!$G$37="Yes",10&gt;=Projects!$C$37,10&lt;Projects!$C$37+Projects!$D$37),Projects!$B$37*INDEX(Curves!$B$4:$AR$4,1,10-Projects!$C$37+1),0)+IF(AND(Projects!$G$38="Yes",10&gt;=Projects!$C$38,10&lt;Projects!$C$38+Projects!$D$38),Projects!$B$38*INDEX(Curves!$B$4:$AR$4,1,10-Projects!$C$38+1),0)+IF(AND(Projects!$G$39="Yes",10&gt;=Projects!$C$39,10&lt;Projects!$C$39+Projects!$D$39),Projects!$B$39*INDEX(Curves!$B$4:$AR$4,1,10-Projects!$C$39+1),0)+IF(AND(Projects!$G$40="Yes",10&gt;=Projects!$C$40,10&lt;Projects!$C$40+Projects!$D$40),Projects!$B$40*INDEX(Curves!$B$4:$AR$4,1,10-Projects!$C$40+1),0)+IF(AND(Projects!$G$41="Yes",10&gt;=Projects!$C$41,10&lt;Projects!$C$41+Projects!$D$41),Projects!$B$41*INDEX(Curves!$B$4:$AR$4,1,10-Projects!$C$41+1),0)+IF(AND(Projects!$G$42="Yes",10&gt;=Projects!$C$42,10&lt;Projects!$C$42+Projects!$D$42),Projects!$B$42*INDEX(Curves!$B$4:$AR$4,1,10-Projects!$C$42+1),0)+IF(AND(Projects!$G$43="Yes",10&gt;=Projects!$C$43,10&lt;Projects!$C$43+Projects!$D$43),Projects!$B$43*INDEX(Curves!$B$4:$AR$4,1,10-Projects!$C$43+1),0)+IF(AND(Projects!$G$44="Yes",10&gt;=Projects!$C$44,10&lt;Projects!$C$44+Projects!$D$44),Projects!$B$44*INDEX(Curves!$B$4:$AR$4,1,10-Projects!$C$44+1),0)+IF(AND(Projects!$G$45="Yes",10&gt;=Projects!$C$45,10&lt;Projects!$C$45+Projects!$D$45),Projects!$B$45*INDEX(Curves!$B$4:$AR$4,1,10-Projects!$C$45+1),0)+IF(AND(Projects!$G$46="Yes",10&gt;=Projects!$C$46,10&lt;Projects!$C$46+Projects!$D$46),Projects!$B$46*INDEX(Curves!$B$4:$AR$4,1,10-Projects!$C$46+1),0)</f>
        <v>402780.20352375</v>
      </c>
      <c r="P96" s="315" t="n">
        <f aca="false">IF(AND(Projects!$G$17="Yes",11&gt;=Projects!$C$17,11&lt;Projects!$C$17+Projects!$D$17),Projects!$B$17*INDEX(Curves!$B$4:$AR$4,1,11-Projects!$C$17+1),0)+IF(AND(Projects!$G$18="Yes",11&gt;=Projects!$C$18,11&lt;Projects!$C$18+Projects!$D$18),Projects!$B$18*INDEX(Curves!$B$4:$AR$4,1,11-Projects!$C$18+1),0)+IF(AND(Projects!$G$19="Yes",11&gt;=Projects!$C$19,11&lt;Projects!$C$19+Projects!$D$19),Projects!$B$19*INDEX(Curves!$B$4:$AR$4,1,11-Projects!$C$19+1),0)+IF(AND(Projects!$G$20="Yes",11&gt;=Projects!$C$20,11&lt;Projects!$C$20+Projects!$D$20),Projects!$B$20*INDEX(Curves!$B$4:$AR$4,1,11-Projects!$C$20+1),0)+IF(AND(Projects!$G$21="Yes",11&gt;=Projects!$C$21,11&lt;Projects!$C$21+Projects!$D$21),Projects!$B$21*INDEX(Curves!$B$4:$AR$4,1,11-Projects!$C$21+1),0)+IF(AND(Projects!$G$22="Yes",11&gt;=Projects!$C$22,11&lt;Projects!$C$22+Projects!$D$22),Projects!$B$22*INDEX(Curves!$B$4:$AR$4,1,11-Projects!$C$22+1),0)+IF(AND(Projects!$G$23="Yes",11&gt;=Projects!$C$23,11&lt;Projects!$C$23+Projects!$D$23),Projects!$B$23*INDEX(Curves!$B$4:$AR$4,1,11-Projects!$C$23+1),0)+IF(AND(Projects!$G$24="Yes",11&gt;=Projects!$C$24,11&lt;Projects!$C$24+Projects!$D$24),Projects!$B$24*INDEX(Curves!$B$4:$AR$4,1,11-Projects!$C$24+1),0)+IF(AND(Projects!$G$25="Yes",11&gt;=Projects!$C$25,11&lt;Projects!$C$25+Projects!$D$25),Projects!$B$25*INDEX(Curves!$B$4:$AR$4,1,11-Projects!$C$25+1),0)+IF(AND(Projects!$G$26="Yes",11&gt;=Projects!$C$26,11&lt;Projects!$C$26+Projects!$D$26),Projects!$B$26*INDEX(Curves!$B$4:$AR$4,1,11-Projects!$C$26+1),0)+IF(AND(Projects!$G$27="Yes",11&gt;=Projects!$C$27,11&lt;Projects!$C$27+Projects!$D$27),Projects!$B$27*INDEX(Curves!$B$4:$AR$4,1,11-Projects!$C$27+1),0)+IF(AND(Projects!$G$28="Yes",11&gt;=Projects!$C$28,11&lt;Projects!$C$28+Projects!$D$28),Projects!$B$28*INDEX(Curves!$B$4:$AR$4,1,11-Projects!$C$28+1),0)+IF(AND(Projects!$G$29="Yes",11&gt;=Projects!$C$29,11&lt;Projects!$C$29+Projects!$D$29),Projects!$B$29*INDEX(Curves!$B$4:$AR$4,1,11-Projects!$C$29+1),0)+IF(AND(Projects!$G$30="Yes",11&gt;=Projects!$C$30,11&lt;Projects!$C$30+Projects!$D$30),Projects!$B$30*INDEX(Curves!$B$4:$AR$4,1,11-Projects!$C$30+1),0)+IF(AND(Projects!$G$31="Yes",11&gt;=Projects!$C$31,11&lt;Projects!$C$31+Projects!$D$31),Projects!$B$31*INDEX(Curves!$B$4:$AR$4,1,11-Projects!$C$31+1),0)+IF(AND(Projects!$G$32="Yes",11&gt;=Projects!$C$32,11&lt;Projects!$C$32+Projects!$D$32),Projects!$B$32*INDEX(Curves!$B$4:$AR$4,1,11-Projects!$C$32+1),0)+IF(AND(Projects!$G$33="Yes",11&gt;=Projects!$C$33,11&lt;Projects!$C$33+Projects!$D$33),Projects!$B$33*INDEX(Curves!$B$4:$AR$4,1,11-Projects!$C$33+1),0)+IF(AND(Projects!$G$34="Yes",11&gt;=Projects!$C$34,11&lt;Projects!$C$34+Projects!$D$34),Projects!$B$34*INDEX(Curves!$B$4:$AR$4,1,11-Projects!$C$34+1),0)+IF(AND(Projects!$G$35="Yes",11&gt;=Projects!$C$35,11&lt;Projects!$C$35+Projects!$D$35),Projects!$B$35*INDEX(Curves!$B$4:$AR$4,1,11-Projects!$C$35+1),0)+IF(AND(Projects!$G$36="Yes",11&gt;=Projects!$C$36,11&lt;Projects!$C$36+Projects!$D$36),Projects!$B$36*INDEX(Curves!$B$4:$AR$4,1,11-Projects!$C$36+1),0)+IF(AND(Projects!$G$37="Yes",11&gt;=Projects!$C$37,11&lt;Projects!$C$37+Projects!$D$37),Projects!$B$37*INDEX(Curves!$B$4:$AR$4,1,11-Projects!$C$37+1),0)+IF(AND(Projects!$G$38="Yes",11&gt;=Projects!$C$38,11&lt;Projects!$C$38+Projects!$D$38),Projects!$B$38*INDEX(Curves!$B$4:$AR$4,1,11-Projects!$C$38+1),0)+IF(AND(Projects!$G$39="Yes",11&gt;=Projects!$C$39,11&lt;Projects!$C$39+Projects!$D$39),Projects!$B$39*INDEX(Curves!$B$4:$AR$4,1,11-Projects!$C$39+1),0)+IF(AND(Projects!$G$40="Yes",11&gt;=Projects!$C$40,11&lt;Projects!$C$40+Projects!$D$40),Projects!$B$40*INDEX(Curves!$B$4:$AR$4,1,11-Projects!$C$40+1),0)+IF(AND(Projects!$G$41="Yes",11&gt;=Projects!$C$41,11&lt;Projects!$C$41+Projects!$D$41),Projects!$B$41*INDEX(Curves!$B$4:$AR$4,1,11-Projects!$C$41+1),0)+IF(AND(Projects!$G$42="Yes",11&gt;=Projects!$C$42,11&lt;Projects!$C$42+Projects!$D$42),Projects!$B$42*INDEX(Curves!$B$4:$AR$4,1,11-Projects!$C$42+1),0)+IF(AND(Projects!$G$43="Yes",11&gt;=Projects!$C$43,11&lt;Projects!$C$43+Projects!$D$43),Projects!$B$43*INDEX(Curves!$B$4:$AR$4,1,11-Projects!$C$43+1),0)+IF(AND(Projects!$G$44="Yes",11&gt;=Projects!$C$44,11&lt;Projects!$C$44+Projects!$D$44),Projects!$B$44*INDEX(Curves!$B$4:$AR$4,1,11-Projects!$C$44+1),0)+IF(AND(Projects!$G$45="Yes",11&gt;=Projects!$C$45,11&lt;Projects!$C$45+Projects!$D$45),Projects!$B$45*INDEX(Curves!$B$4:$AR$4,1,11-Projects!$C$45+1),0)+IF(AND(Projects!$G$46="Yes",11&gt;=Projects!$C$46,11&lt;Projects!$C$46+Projects!$D$46),Projects!$B$46*INDEX(Curves!$B$4:$AR$4,1,11-Projects!$C$46+1),0)</f>
        <v>497623.49615875</v>
      </c>
      <c r="Q96" s="315" t="n">
        <f aca="false">IF(AND(Projects!$G$17="Yes",12&gt;=Projects!$C$17,12&lt;Projects!$C$17+Projects!$D$17),Projects!$B$17*INDEX(Curves!$B$4:$AR$4,1,12-Projects!$C$17+1),0)+IF(AND(Projects!$G$18="Yes",12&gt;=Projects!$C$18,12&lt;Projects!$C$18+Projects!$D$18),Projects!$B$18*INDEX(Curves!$B$4:$AR$4,1,12-Projects!$C$18+1),0)+IF(AND(Projects!$G$19="Yes",12&gt;=Projects!$C$19,12&lt;Projects!$C$19+Projects!$D$19),Projects!$B$19*INDEX(Curves!$B$4:$AR$4,1,12-Projects!$C$19+1),0)+IF(AND(Projects!$G$20="Yes",12&gt;=Projects!$C$20,12&lt;Projects!$C$20+Projects!$D$20),Projects!$B$20*INDEX(Curves!$B$4:$AR$4,1,12-Projects!$C$20+1),0)+IF(AND(Projects!$G$21="Yes",12&gt;=Projects!$C$21,12&lt;Projects!$C$21+Projects!$D$21),Projects!$B$21*INDEX(Curves!$B$4:$AR$4,1,12-Projects!$C$21+1),0)+IF(AND(Projects!$G$22="Yes",12&gt;=Projects!$C$22,12&lt;Projects!$C$22+Projects!$D$22),Projects!$B$22*INDEX(Curves!$B$4:$AR$4,1,12-Projects!$C$22+1),0)+IF(AND(Projects!$G$23="Yes",12&gt;=Projects!$C$23,12&lt;Projects!$C$23+Projects!$D$23),Projects!$B$23*INDEX(Curves!$B$4:$AR$4,1,12-Projects!$C$23+1),0)+IF(AND(Projects!$G$24="Yes",12&gt;=Projects!$C$24,12&lt;Projects!$C$24+Projects!$D$24),Projects!$B$24*INDEX(Curves!$B$4:$AR$4,1,12-Projects!$C$24+1),0)+IF(AND(Projects!$G$25="Yes",12&gt;=Projects!$C$25,12&lt;Projects!$C$25+Projects!$D$25),Projects!$B$25*INDEX(Curves!$B$4:$AR$4,1,12-Projects!$C$25+1),0)+IF(AND(Projects!$G$26="Yes",12&gt;=Projects!$C$26,12&lt;Projects!$C$26+Projects!$D$26),Projects!$B$26*INDEX(Curves!$B$4:$AR$4,1,12-Projects!$C$26+1),0)+IF(AND(Projects!$G$27="Yes",12&gt;=Projects!$C$27,12&lt;Projects!$C$27+Projects!$D$27),Projects!$B$27*INDEX(Curves!$B$4:$AR$4,1,12-Projects!$C$27+1),0)+IF(AND(Projects!$G$28="Yes",12&gt;=Projects!$C$28,12&lt;Projects!$C$28+Projects!$D$28),Projects!$B$28*INDEX(Curves!$B$4:$AR$4,1,12-Projects!$C$28+1),0)+IF(AND(Projects!$G$29="Yes",12&gt;=Projects!$C$29,12&lt;Projects!$C$29+Projects!$D$29),Projects!$B$29*INDEX(Curves!$B$4:$AR$4,1,12-Projects!$C$29+1),0)+IF(AND(Projects!$G$30="Yes",12&gt;=Projects!$C$30,12&lt;Projects!$C$30+Projects!$D$30),Projects!$B$30*INDEX(Curves!$B$4:$AR$4,1,12-Projects!$C$30+1),0)+IF(AND(Projects!$G$31="Yes",12&gt;=Projects!$C$31,12&lt;Projects!$C$31+Projects!$D$31),Projects!$B$31*INDEX(Curves!$B$4:$AR$4,1,12-Projects!$C$31+1),0)+IF(AND(Projects!$G$32="Yes",12&gt;=Projects!$C$32,12&lt;Projects!$C$32+Projects!$D$32),Projects!$B$32*INDEX(Curves!$B$4:$AR$4,1,12-Projects!$C$32+1),0)+IF(AND(Projects!$G$33="Yes",12&gt;=Projects!$C$33,12&lt;Projects!$C$33+Projects!$D$33),Projects!$B$33*INDEX(Curves!$B$4:$AR$4,1,12-Projects!$C$33+1),0)+IF(AND(Projects!$G$34="Yes",12&gt;=Projects!$C$34,12&lt;Projects!$C$34+Projects!$D$34),Projects!$B$34*INDEX(Curves!$B$4:$AR$4,1,12-Projects!$C$34+1),0)+IF(AND(Projects!$G$35="Yes",12&gt;=Projects!$C$35,12&lt;Projects!$C$35+Projects!$D$35),Projects!$B$35*INDEX(Curves!$B$4:$AR$4,1,12-Projects!$C$35+1),0)+IF(AND(Projects!$G$36="Yes",12&gt;=Projects!$C$36,12&lt;Projects!$C$36+Projects!$D$36),Projects!$B$36*INDEX(Curves!$B$4:$AR$4,1,12-Projects!$C$36+1),0)+IF(AND(Projects!$G$37="Yes",12&gt;=Projects!$C$37,12&lt;Projects!$C$37+Projects!$D$37),Projects!$B$37*INDEX(Curves!$B$4:$AR$4,1,12-Projects!$C$37+1),0)+IF(AND(Projects!$G$38="Yes",12&gt;=Projects!$C$38,12&lt;Projects!$C$38+Projects!$D$38),Projects!$B$38*INDEX(Curves!$B$4:$AR$4,1,12-Projects!$C$38+1),0)+IF(AND(Projects!$G$39="Yes",12&gt;=Projects!$C$39,12&lt;Projects!$C$39+Projects!$D$39),Projects!$B$39*INDEX(Curves!$B$4:$AR$4,1,12-Projects!$C$39+1),0)+IF(AND(Projects!$G$40="Yes",12&gt;=Projects!$C$40,12&lt;Projects!$C$40+Projects!$D$40),Projects!$B$40*INDEX(Curves!$B$4:$AR$4,1,12-Projects!$C$40+1),0)+IF(AND(Projects!$G$41="Yes",12&gt;=Projects!$C$41,12&lt;Projects!$C$41+Projects!$D$41),Projects!$B$41*INDEX(Curves!$B$4:$AR$4,1,12-Projects!$C$41+1),0)+IF(AND(Projects!$G$42="Yes",12&gt;=Projects!$C$42,12&lt;Projects!$C$42+Projects!$D$42),Projects!$B$42*INDEX(Curves!$B$4:$AR$4,1,12-Projects!$C$42+1),0)+IF(AND(Projects!$G$43="Yes",12&gt;=Projects!$C$43,12&lt;Projects!$C$43+Projects!$D$43),Projects!$B$43*INDEX(Curves!$B$4:$AR$4,1,12-Projects!$C$43+1),0)+IF(AND(Projects!$G$44="Yes",12&gt;=Projects!$C$44,12&lt;Projects!$C$44+Projects!$D$44),Projects!$B$44*INDEX(Curves!$B$4:$AR$4,1,12-Projects!$C$44+1),0)+IF(AND(Projects!$G$45="Yes",12&gt;=Projects!$C$45,12&lt;Projects!$C$45+Projects!$D$45),Projects!$B$45*INDEX(Curves!$B$4:$AR$4,1,12-Projects!$C$45+1),0)+IF(AND(Projects!$G$46="Yes",12&gt;=Projects!$C$46,12&lt;Projects!$C$46+Projects!$D$46),Projects!$B$46*INDEX(Curves!$B$4:$AR$4,1,12-Projects!$C$46+1),0)</f>
        <v>599712.1844675</v>
      </c>
      <c r="R96" s="315" t="n">
        <f aca="false">IF(AND(Projects!$G$17="Yes",13&gt;=Projects!$C$17,13&lt;Projects!$C$17+Projects!$D$17),Projects!$B$17*INDEX(Curves!$B$4:$AR$4,1,13-Projects!$C$17+1),0)+IF(AND(Projects!$G$18="Yes",13&gt;=Projects!$C$18,13&lt;Projects!$C$18+Projects!$D$18),Projects!$B$18*INDEX(Curves!$B$4:$AR$4,1,13-Projects!$C$18+1),0)+IF(AND(Projects!$G$19="Yes",13&gt;=Projects!$C$19,13&lt;Projects!$C$19+Projects!$D$19),Projects!$B$19*INDEX(Curves!$B$4:$AR$4,1,13-Projects!$C$19+1),0)+IF(AND(Projects!$G$20="Yes",13&gt;=Projects!$C$20,13&lt;Projects!$C$20+Projects!$D$20),Projects!$B$20*INDEX(Curves!$B$4:$AR$4,1,13-Projects!$C$20+1),0)+IF(AND(Projects!$G$21="Yes",13&gt;=Projects!$C$21,13&lt;Projects!$C$21+Projects!$D$21),Projects!$B$21*INDEX(Curves!$B$4:$AR$4,1,13-Projects!$C$21+1),0)+IF(AND(Projects!$G$22="Yes",13&gt;=Projects!$C$22,13&lt;Projects!$C$22+Projects!$D$22),Projects!$B$22*INDEX(Curves!$B$4:$AR$4,1,13-Projects!$C$22+1),0)+IF(AND(Projects!$G$23="Yes",13&gt;=Projects!$C$23,13&lt;Projects!$C$23+Projects!$D$23),Projects!$B$23*INDEX(Curves!$B$4:$AR$4,1,13-Projects!$C$23+1),0)+IF(AND(Projects!$G$24="Yes",13&gt;=Projects!$C$24,13&lt;Projects!$C$24+Projects!$D$24),Projects!$B$24*INDEX(Curves!$B$4:$AR$4,1,13-Projects!$C$24+1),0)+IF(AND(Projects!$G$25="Yes",13&gt;=Projects!$C$25,13&lt;Projects!$C$25+Projects!$D$25),Projects!$B$25*INDEX(Curves!$B$4:$AR$4,1,13-Projects!$C$25+1),0)+IF(AND(Projects!$G$26="Yes",13&gt;=Projects!$C$26,13&lt;Projects!$C$26+Projects!$D$26),Projects!$B$26*INDEX(Curves!$B$4:$AR$4,1,13-Projects!$C$26+1),0)+IF(AND(Projects!$G$27="Yes",13&gt;=Projects!$C$27,13&lt;Projects!$C$27+Projects!$D$27),Projects!$B$27*INDEX(Curves!$B$4:$AR$4,1,13-Projects!$C$27+1),0)+IF(AND(Projects!$G$28="Yes",13&gt;=Projects!$C$28,13&lt;Projects!$C$28+Projects!$D$28),Projects!$B$28*INDEX(Curves!$B$4:$AR$4,1,13-Projects!$C$28+1),0)+IF(AND(Projects!$G$29="Yes",13&gt;=Projects!$C$29,13&lt;Projects!$C$29+Projects!$D$29),Projects!$B$29*INDEX(Curves!$B$4:$AR$4,1,13-Projects!$C$29+1),0)+IF(AND(Projects!$G$30="Yes",13&gt;=Projects!$C$30,13&lt;Projects!$C$30+Projects!$D$30),Projects!$B$30*INDEX(Curves!$B$4:$AR$4,1,13-Projects!$C$30+1),0)+IF(AND(Projects!$G$31="Yes",13&gt;=Projects!$C$31,13&lt;Projects!$C$31+Projects!$D$31),Projects!$B$31*INDEX(Curves!$B$4:$AR$4,1,13-Projects!$C$31+1),0)+IF(AND(Projects!$G$32="Yes",13&gt;=Projects!$C$32,13&lt;Projects!$C$32+Projects!$D$32),Projects!$B$32*INDEX(Curves!$B$4:$AR$4,1,13-Projects!$C$32+1),0)+IF(AND(Projects!$G$33="Yes",13&gt;=Projects!$C$33,13&lt;Projects!$C$33+Projects!$D$33),Projects!$B$33*INDEX(Curves!$B$4:$AR$4,1,13-Projects!$C$33+1),0)+IF(AND(Projects!$G$34="Yes",13&gt;=Projects!$C$34,13&lt;Projects!$C$34+Projects!$D$34),Projects!$B$34*INDEX(Curves!$B$4:$AR$4,1,13-Projects!$C$34+1),0)+IF(AND(Projects!$G$35="Yes",13&gt;=Projects!$C$35,13&lt;Projects!$C$35+Projects!$D$35),Projects!$B$35*INDEX(Curves!$B$4:$AR$4,1,13-Projects!$C$35+1),0)+IF(AND(Projects!$G$36="Yes",13&gt;=Projects!$C$36,13&lt;Projects!$C$36+Projects!$D$36),Projects!$B$36*INDEX(Curves!$B$4:$AR$4,1,13-Projects!$C$36+1),0)+IF(AND(Projects!$G$37="Yes",13&gt;=Projects!$C$37,13&lt;Projects!$C$37+Projects!$D$37),Projects!$B$37*INDEX(Curves!$B$4:$AR$4,1,13-Projects!$C$37+1),0)+IF(AND(Projects!$G$38="Yes",13&gt;=Projects!$C$38,13&lt;Projects!$C$38+Projects!$D$38),Projects!$B$38*INDEX(Curves!$B$4:$AR$4,1,13-Projects!$C$38+1),0)+IF(AND(Projects!$G$39="Yes",13&gt;=Projects!$C$39,13&lt;Projects!$C$39+Projects!$D$39),Projects!$B$39*INDEX(Curves!$B$4:$AR$4,1,13-Projects!$C$39+1),0)+IF(AND(Projects!$G$40="Yes",13&gt;=Projects!$C$40,13&lt;Projects!$C$40+Projects!$D$40),Projects!$B$40*INDEX(Curves!$B$4:$AR$4,1,13-Projects!$C$40+1),0)+IF(AND(Projects!$G$41="Yes",13&gt;=Projects!$C$41,13&lt;Projects!$C$41+Projects!$D$41),Projects!$B$41*INDEX(Curves!$B$4:$AR$4,1,13-Projects!$C$41+1),0)+IF(AND(Projects!$G$42="Yes",13&gt;=Projects!$C$42,13&lt;Projects!$C$42+Projects!$D$42),Projects!$B$42*INDEX(Curves!$B$4:$AR$4,1,13-Projects!$C$42+1),0)+IF(AND(Projects!$G$43="Yes",13&gt;=Projects!$C$43,13&lt;Projects!$C$43+Projects!$D$43),Projects!$B$43*INDEX(Curves!$B$4:$AR$4,1,13-Projects!$C$43+1),0)+IF(AND(Projects!$G$44="Yes",13&gt;=Projects!$C$44,13&lt;Projects!$C$44+Projects!$D$44),Projects!$B$44*INDEX(Curves!$B$4:$AR$4,1,13-Projects!$C$44+1),0)+IF(AND(Projects!$G$45="Yes",13&gt;=Projects!$C$45,13&lt;Projects!$C$45+Projects!$D$45),Projects!$B$45*INDEX(Curves!$B$4:$AR$4,1,13-Projects!$C$45+1),0)+IF(AND(Projects!$G$46="Yes",13&gt;=Projects!$C$46,13&lt;Projects!$C$46+Projects!$D$46),Projects!$B$46*INDEX(Curves!$B$4:$AR$4,1,13-Projects!$C$46+1),0)</f>
        <v>704975.480105</v>
      </c>
      <c r="S96" s="315" t="n">
        <f aca="false">IF(AND(Projects!$G$17="Yes",14&gt;=Projects!$C$17,14&lt;Projects!$C$17+Projects!$D$17),Projects!$B$17*INDEX(Curves!$B$4:$AR$4,1,14-Projects!$C$17+1),0)+IF(AND(Projects!$G$18="Yes",14&gt;=Projects!$C$18,14&lt;Projects!$C$18+Projects!$D$18),Projects!$B$18*INDEX(Curves!$B$4:$AR$4,1,14-Projects!$C$18+1),0)+IF(AND(Projects!$G$19="Yes",14&gt;=Projects!$C$19,14&lt;Projects!$C$19+Projects!$D$19),Projects!$B$19*INDEX(Curves!$B$4:$AR$4,1,14-Projects!$C$19+1),0)+IF(AND(Projects!$G$20="Yes",14&gt;=Projects!$C$20,14&lt;Projects!$C$20+Projects!$D$20),Projects!$B$20*INDEX(Curves!$B$4:$AR$4,1,14-Projects!$C$20+1),0)+IF(AND(Projects!$G$21="Yes",14&gt;=Projects!$C$21,14&lt;Projects!$C$21+Projects!$D$21),Projects!$B$21*INDEX(Curves!$B$4:$AR$4,1,14-Projects!$C$21+1),0)+IF(AND(Projects!$G$22="Yes",14&gt;=Projects!$C$22,14&lt;Projects!$C$22+Projects!$D$22),Projects!$B$22*INDEX(Curves!$B$4:$AR$4,1,14-Projects!$C$22+1),0)+IF(AND(Projects!$G$23="Yes",14&gt;=Projects!$C$23,14&lt;Projects!$C$23+Projects!$D$23),Projects!$B$23*INDEX(Curves!$B$4:$AR$4,1,14-Projects!$C$23+1),0)+IF(AND(Projects!$G$24="Yes",14&gt;=Projects!$C$24,14&lt;Projects!$C$24+Projects!$D$24),Projects!$B$24*INDEX(Curves!$B$4:$AR$4,1,14-Projects!$C$24+1),0)+IF(AND(Projects!$G$25="Yes",14&gt;=Projects!$C$25,14&lt;Projects!$C$25+Projects!$D$25),Projects!$B$25*INDEX(Curves!$B$4:$AR$4,1,14-Projects!$C$25+1),0)+IF(AND(Projects!$G$26="Yes",14&gt;=Projects!$C$26,14&lt;Projects!$C$26+Projects!$D$26),Projects!$B$26*INDEX(Curves!$B$4:$AR$4,1,14-Projects!$C$26+1),0)+IF(AND(Projects!$G$27="Yes",14&gt;=Projects!$C$27,14&lt;Projects!$C$27+Projects!$D$27),Projects!$B$27*INDEX(Curves!$B$4:$AR$4,1,14-Projects!$C$27+1),0)+IF(AND(Projects!$G$28="Yes",14&gt;=Projects!$C$28,14&lt;Projects!$C$28+Projects!$D$28),Projects!$B$28*INDEX(Curves!$B$4:$AR$4,1,14-Projects!$C$28+1),0)+IF(AND(Projects!$G$29="Yes",14&gt;=Projects!$C$29,14&lt;Projects!$C$29+Projects!$D$29),Projects!$B$29*INDEX(Curves!$B$4:$AR$4,1,14-Projects!$C$29+1),0)+IF(AND(Projects!$G$30="Yes",14&gt;=Projects!$C$30,14&lt;Projects!$C$30+Projects!$D$30),Projects!$B$30*INDEX(Curves!$B$4:$AR$4,1,14-Projects!$C$30+1),0)+IF(AND(Projects!$G$31="Yes",14&gt;=Projects!$C$31,14&lt;Projects!$C$31+Projects!$D$31),Projects!$B$31*INDEX(Curves!$B$4:$AR$4,1,14-Projects!$C$31+1),0)+IF(AND(Projects!$G$32="Yes",14&gt;=Projects!$C$32,14&lt;Projects!$C$32+Projects!$D$32),Projects!$B$32*INDEX(Curves!$B$4:$AR$4,1,14-Projects!$C$32+1),0)+IF(AND(Projects!$G$33="Yes",14&gt;=Projects!$C$33,14&lt;Projects!$C$33+Projects!$D$33),Projects!$B$33*INDEX(Curves!$B$4:$AR$4,1,14-Projects!$C$33+1),0)+IF(AND(Projects!$G$34="Yes",14&gt;=Projects!$C$34,14&lt;Projects!$C$34+Projects!$D$34),Projects!$B$34*INDEX(Curves!$B$4:$AR$4,1,14-Projects!$C$34+1),0)+IF(AND(Projects!$G$35="Yes",14&gt;=Projects!$C$35,14&lt;Projects!$C$35+Projects!$D$35),Projects!$B$35*INDEX(Curves!$B$4:$AR$4,1,14-Projects!$C$35+1),0)+IF(AND(Projects!$G$36="Yes",14&gt;=Projects!$C$36,14&lt;Projects!$C$36+Projects!$D$36),Projects!$B$36*INDEX(Curves!$B$4:$AR$4,1,14-Projects!$C$36+1),0)+IF(AND(Projects!$G$37="Yes",14&gt;=Projects!$C$37,14&lt;Projects!$C$37+Projects!$D$37),Projects!$B$37*INDEX(Curves!$B$4:$AR$4,1,14-Projects!$C$37+1),0)+IF(AND(Projects!$G$38="Yes",14&gt;=Projects!$C$38,14&lt;Projects!$C$38+Projects!$D$38),Projects!$B$38*INDEX(Curves!$B$4:$AR$4,1,14-Projects!$C$38+1),0)+IF(AND(Projects!$G$39="Yes",14&gt;=Projects!$C$39,14&lt;Projects!$C$39+Projects!$D$39),Projects!$B$39*INDEX(Curves!$B$4:$AR$4,1,14-Projects!$C$39+1),0)+IF(AND(Projects!$G$40="Yes",14&gt;=Projects!$C$40,14&lt;Projects!$C$40+Projects!$D$40),Projects!$B$40*INDEX(Curves!$B$4:$AR$4,1,14-Projects!$C$40+1),0)+IF(AND(Projects!$G$41="Yes",14&gt;=Projects!$C$41,14&lt;Projects!$C$41+Projects!$D$41),Projects!$B$41*INDEX(Curves!$B$4:$AR$4,1,14-Projects!$C$41+1),0)+IF(AND(Projects!$G$42="Yes",14&gt;=Projects!$C$42,14&lt;Projects!$C$42+Projects!$D$42),Projects!$B$42*INDEX(Curves!$B$4:$AR$4,1,14-Projects!$C$42+1),0)+IF(AND(Projects!$G$43="Yes",14&gt;=Projects!$C$43,14&lt;Projects!$C$43+Projects!$D$43),Projects!$B$43*INDEX(Curves!$B$4:$AR$4,1,14-Projects!$C$43+1),0)+IF(AND(Projects!$G$44="Yes",14&gt;=Projects!$C$44,14&lt;Projects!$C$44+Projects!$D$44),Projects!$B$44*INDEX(Curves!$B$4:$AR$4,1,14-Projects!$C$44+1),0)+IF(AND(Projects!$G$45="Yes",14&gt;=Projects!$C$45,14&lt;Projects!$C$45+Projects!$D$45),Projects!$B$45*INDEX(Curves!$B$4:$AR$4,1,14-Projects!$C$45+1),0)+IF(AND(Projects!$G$46="Yes",14&gt;=Projects!$C$46,14&lt;Projects!$C$46+Projects!$D$46),Projects!$B$46*INDEX(Curves!$B$4:$AR$4,1,14-Projects!$C$46+1),0)</f>
        <v>1214490.0464125</v>
      </c>
      <c r="T96" s="315" t="n">
        <f aca="false">IF(AND(Projects!$G$17="Yes",15&gt;=Projects!$C$17,15&lt;Projects!$C$17+Projects!$D$17),Projects!$B$17*INDEX(Curves!$B$4:$AR$4,1,15-Projects!$C$17+1),0)+IF(AND(Projects!$G$18="Yes",15&gt;=Projects!$C$18,15&lt;Projects!$C$18+Projects!$D$18),Projects!$B$18*INDEX(Curves!$B$4:$AR$4,1,15-Projects!$C$18+1),0)+IF(AND(Projects!$G$19="Yes",15&gt;=Projects!$C$19,15&lt;Projects!$C$19+Projects!$D$19),Projects!$B$19*INDEX(Curves!$B$4:$AR$4,1,15-Projects!$C$19+1),0)+IF(AND(Projects!$G$20="Yes",15&gt;=Projects!$C$20,15&lt;Projects!$C$20+Projects!$D$20),Projects!$B$20*INDEX(Curves!$B$4:$AR$4,1,15-Projects!$C$20+1),0)+IF(AND(Projects!$G$21="Yes",15&gt;=Projects!$C$21,15&lt;Projects!$C$21+Projects!$D$21),Projects!$B$21*INDEX(Curves!$B$4:$AR$4,1,15-Projects!$C$21+1),0)+IF(AND(Projects!$G$22="Yes",15&gt;=Projects!$C$22,15&lt;Projects!$C$22+Projects!$D$22),Projects!$B$22*INDEX(Curves!$B$4:$AR$4,1,15-Projects!$C$22+1),0)+IF(AND(Projects!$G$23="Yes",15&gt;=Projects!$C$23,15&lt;Projects!$C$23+Projects!$D$23),Projects!$B$23*INDEX(Curves!$B$4:$AR$4,1,15-Projects!$C$23+1),0)+IF(AND(Projects!$G$24="Yes",15&gt;=Projects!$C$24,15&lt;Projects!$C$24+Projects!$D$24),Projects!$B$24*INDEX(Curves!$B$4:$AR$4,1,15-Projects!$C$24+1),0)+IF(AND(Projects!$G$25="Yes",15&gt;=Projects!$C$25,15&lt;Projects!$C$25+Projects!$D$25),Projects!$B$25*INDEX(Curves!$B$4:$AR$4,1,15-Projects!$C$25+1),0)+IF(AND(Projects!$G$26="Yes",15&gt;=Projects!$C$26,15&lt;Projects!$C$26+Projects!$D$26),Projects!$B$26*INDEX(Curves!$B$4:$AR$4,1,15-Projects!$C$26+1),0)+IF(AND(Projects!$G$27="Yes",15&gt;=Projects!$C$27,15&lt;Projects!$C$27+Projects!$D$27),Projects!$B$27*INDEX(Curves!$B$4:$AR$4,1,15-Projects!$C$27+1),0)+IF(AND(Projects!$G$28="Yes",15&gt;=Projects!$C$28,15&lt;Projects!$C$28+Projects!$D$28),Projects!$B$28*INDEX(Curves!$B$4:$AR$4,1,15-Projects!$C$28+1),0)+IF(AND(Projects!$G$29="Yes",15&gt;=Projects!$C$29,15&lt;Projects!$C$29+Projects!$D$29),Projects!$B$29*INDEX(Curves!$B$4:$AR$4,1,15-Projects!$C$29+1),0)+IF(AND(Projects!$G$30="Yes",15&gt;=Projects!$C$30,15&lt;Projects!$C$30+Projects!$D$30),Projects!$B$30*INDEX(Curves!$B$4:$AR$4,1,15-Projects!$C$30+1),0)+IF(AND(Projects!$G$31="Yes",15&gt;=Projects!$C$31,15&lt;Projects!$C$31+Projects!$D$31),Projects!$B$31*INDEX(Curves!$B$4:$AR$4,1,15-Projects!$C$31+1),0)+IF(AND(Projects!$G$32="Yes",15&gt;=Projects!$C$32,15&lt;Projects!$C$32+Projects!$D$32),Projects!$B$32*INDEX(Curves!$B$4:$AR$4,1,15-Projects!$C$32+1),0)+IF(AND(Projects!$G$33="Yes",15&gt;=Projects!$C$33,15&lt;Projects!$C$33+Projects!$D$33),Projects!$B$33*INDEX(Curves!$B$4:$AR$4,1,15-Projects!$C$33+1),0)+IF(AND(Projects!$G$34="Yes",15&gt;=Projects!$C$34,15&lt;Projects!$C$34+Projects!$D$34),Projects!$B$34*INDEX(Curves!$B$4:$AR$4,1,15-Projects!$C$34+1),0)+IF(AND(Projects!$G$35="Yes",15&gt;=Projects!$C$35,15&lt;Projects!$C$35+Projects!$D$35),Projects!$B$35*INDEX(Curves!$B$4:$AR$4,1,15-Projects!$C$35+1),0)+IF(AND(Projects!$G$36="Yes",15&gt;=Projects!$C$36,15&lt;Projects!$C$36+Projects!$D$36),Projects!$B$36*INDEX(Curves!$B$4:$AR$4,1,15-Projects!$C$36+1),0)+IF(AND(Projects!$G$37="Yes",15&gt;=Projects!$C$37,15&lt;Projects!$C$37+Projects!$D$37),Projects!$B$37*INDEX(Curves!$B$4:$AR$4,1,15-Projects!$C$37+1),0)+IF(AND(Projects!$G$38="Yes",15&gt;=Projects!$C$38,15&lt;Projects!$C$38+Projects!$D$38),Projects!$B$38*INDEX(Curves!$B$4:$AR$4,1,15-Projects!$C$38+1),0)+IF(AND(Projects!$G$39="Yes",15&gt;=Projects!$C$39,15&lt;Projects!$C$39+Projects!$D$39),Projects!$B$39*INDEX(Curves!$B$4:$AR$4,1,15-Projects!$C$39+1),0)+IF(AND(Projects!$G$40="Yes",15&gt;=Projects!$C$40,15&lt;Projects!$C$40+Projects!$D$40),Projects!$B$40*INDEX(Curves!$B$4:$AR$4,1,15-Projects!$C$40+1),0)+IF(AND(Projects!$G$41="Yes",15&gt;=Projects!$C$41,15&lt;Projects!$C$41+Projects!$D$41),Projects!$B$41*INDEX(Curves!$B$4:$AR$4,1,15-Projects!$C$41+1),0)+IF(AND(Projects!$G$42="Yes",15&gt;=Projects!$C$42,15&lt;Projects!$C$42+Projects!$D$42),Projects!$B$42*INDEX(Curves!$B$4:$AR$4,1,15-Projects!$C$42+1),0)+IF(AND(Projects!$G$43="Yes",15&gt;=Projects!$C$43,15&lt;Projects!$C$43+Projects!$D$43),Projects!$B$43*INDEX(Curves!$B$4:$AR$4,1,15-Projects!$C$43+1),0)+IF(AND(Projects!$G$44="Yes",15&gt;=Projects!$C$44,15&lt;Projects!$C$44+Projects!$D$44),Projects!$B$44*INDEX(Curves!$B$4:$AR$4,1,15-Projects!$C$44+1),0)+IF(AND(Projects!$G$45="Yes",15&gt;=Projects!$C$45,15&lt;Projects!$C$45+Projects!$D$45),Projects!$B$45*INDEX(Curves!$B$4:$AR$4,1,15-Projects!$C$45+1),0)+IF(AND(Projects!$G$46="Yes",15&gt;=Projects!$C$46,15&lt;Projects!$C$46+Projects!$D$46),Projects!$B$46*INDEX(Curves!$B$4:$AR$4,1,15-Projects!$C$46+1),0)</f>
        <v>1705981.0052775</v>
      </c>
      <c r="U96" s="315" t="n">
        <f aca="false">IF(AND(Projects!$G$17="Yes",16&gt;=Projects!$C$17,16&lt;Projects!$C$17+Projects!$D$17),Projects!$B$17*INDEX(Curves!$B$4:$AR$4,1,16-Projects!$C$17+1),0)+IF(AND(Projects!$G$18="Yes",16&gt;=Projects!$C$18,16&lt;Projects!$C$18+Projects!$D$18),Projects!$B$18*INDEX(Curves!$B$4:$AR$4,1,16-Projects!$C$18+1),0)+IF(AND(Projects!$G$19="Yes",16&gt;=Projects!$C$19,16&lt;Projects!$C$19+Projects!$D$19),Projects!$B$19*INDEX(Curves!$B$4:$AR$4,1,16-Projects!$C$19+1),0)+IF(AND(Projects!$G$20="Yes",16&gt;=Projects!$C$20,16&lt;Projects!$C$20+Projects!$D$20),Projects!$B$20*INDEX(Curves!$B$4:$AR$4,1,16-Projects!$C$20+1),0)+IF(AND(Projects!$G$21="Yes",16&gt;=Projects!$C$21,16&lt;Projects!$C$21+Projects!$D$21),Projects!$B$21*INDEX(Curves!$B$4:$AR$4,1,16-Projects!$C$21+1),0)+IF(AND(Projects!$G$22="Yes",16&gt;=Projects!$C$22,16&lt;Projects!$C$22+Projects!$D$22),Projects!$B$22*INDEX(Curves!$B$4:$AR$4,1,16-Projects!$C$22+1),0)+IF(AND(Projects!$G$23="Yes",16&gt;=Projects!$C$23,16&lt;Projects!$C$23+Projects!$D$23),Projects!$B$23*INDEX(Curves!$B$4:$AR$4,1,16-Projects!$C$23+1),0)+IF(AND(Projects!$G$24="Yes",16&gt;=Projects!$C$24,16&lt;Projects!$C$24+Projects!$D$24),Projects!$B$24*INDEX(Curves!$B$4:$AR$4,1,16-Projects!$C$24+1),0)+IF(AND(Projects!$G$25="Yes",16&gt;=Projects!$C$25,16&lt;Projects!$C$25+Projects!$D$25),Projects!$B$25*INDEX(Curves!$B$4:$AR$4,1,16-Projects!$C$25+1),0)+IF(AND(Projects!$G$26="Yes",16&gt;=Projects!$C$26,16&lt;Projects!$C$26+Projects!$D$26),Projects!$B$26*INDEX(Curves!$B$4:$AR$4,1,16-Projects!$C$26+1),0)+IF(AND(Projects!$G$27="Yes",16&gt;=Projects!$C$27,16&lt;Projects!$C$27+Projects!$D$27),Projects!$B$27*INDEX(Curves!$B$4:$AR$4,1,16-Projects!$C$27+1),0)+IF(AND(Projects!$G$28="Yes",16&gt;=Projects!$C$28,16&lt;Projects!$C$28+Projects!$D$28),Projects!$B$28*INDEX(Curves!$B$4:$AR$4,1,16-Projects!$C$28+1),0)+IF(AND(Projects!$G$29="Yes",16&gt;=Projects!$C$29,16&lt;Projects!$C$29+Projects!$D$29),Projects!$B$29*INDEX(Curves!$B$4:$AR$4,1,16-Projects!$C$29+1),0)+IF(AND(Projects!$G$30="Yes",16&gt;=Projects!$C$30,16&lt;Projects!$C$30+Projects!$D$30),Projects!$B$30*INDEX(Curves!$B$4:$AR$4,1,16-Projects!$C$30+1),0)+IF(AND(Projects!$G$31="Yes",16&gt;=Projects!$C$31,16&lt;Projects!$C$31+Projects!$D$31),Projects!$B$31*INDEX(Curves!$B$4:$AR$4,1,16-Projects!$C$31+1),0)+IF(AND(Projects!$G$32="Yes",16&gt;=Projects!$C$32,16&lt;Projects!$C$32+Projects!$D$32),Projects!$B$32*INDEX(Curves!$B$4:$AR$4,1,16-Projects!$C$32+1),0)+IF(AND(Projects!$G$33="Yes",16&gt;=Projects!$C$33,16&lt;Projects!$C$33+Projects!$D$33),Projects!$B$33*INDEX(Curves!$B$4:$AR$4,1,16-Projects!$C$33+1),0)+IF(AND(Projects!$G$34="Yes",16&gt;=Projects!$C$34,16&lt;Projects!$C$34+Projects!$D$34),Projects!$B$34*INDEX(Curves!$B$4:$AR$4,1,16-Projects!$C$34+1),0)+IF(AND(Projects!$G$35="Yes",16&gt;=Projects!$C$35,16&lt;Projects!$C$35+Projects!$D$35),Projects!$B$35*INDEX(Curves!$B$4:$AR$4,1,16-Projects!$C$35+1),0)+IF(AND(Projects!$G$36="Yes",16&gt;=Projects!$C$36,16&lt;Projects!$C$36+Projects!$D$36),Projects!$B$36*INDEX(Curves!$B$4:$AR$4,1,16-Projects!$C$36+1),0)+IF(AND(Projects!$G$37="Yes",16&gt;=Projects!$C$37,16&lt;Projects!$C$37+Projects!$D$37),Projects!$B$37*INDEX(Curves!$B$4:$AR$4,1,16-Projects!$C$37+1),0)+IF(AND(Projects!$G$38="Yes",16&gt;=Projects!$C$38,16&lt;Projects!$C$38+Projects!$D$38),Projects!$B$38*INDEX(Curves!$B$4:$AR$4,1,16-Projects!$C$38+1),0)+IF(AND(Projects!$G$39="Yes",16&gt;=Projects!$C$39,16&lt;Projects!$C$39+Projects!$D$39),Projects!$B$39*INDEX(Curves!$B$4:$AR$4,1,16-Projects!$C$39+1),0)+IF(AND(Projects!$G$40="Yes",16&gt;=Projects!$C$40,16&lt;Projects!$C$40+Projects!$D$40),Projects!$B$40*INDEX(Curves!$B$4:$AR$4,1,16-Projects!$C$40+1),0)+IF(AND(Projects!$G$41="Yes",16&gt;=Projects!$C$41,16&lt;Projects!$C$41+Projects!$D$41),Projects!$B$41*INDEX(Curves!$B$4:$AR$4,1,16-Projects!$C$41+1),0)+IF(AND(Projects!$G$42="Yes",16&gt;=Projects!$C$42,16&lt;Projects!$C$42+Projects!$D$42),Projects!$B$42*INDEX(Curves!$B$4:$AR$4,1,16-Projects!$C$42+1),0)+IF(AND(Projects!$G$43="Yes",16&gt;=Projects!$C$43,16&lt;Projects!$C$43+Projects!$D$43),Projects!$B$43*INDEX(Curves!$B$4:$AR$4,1,16-Projects!$C$43+1),0)+IF(AND(Projects!$G$44="Yes",16&gt;=Projects!$C$44,16&lt;Projects!$C$44+Projects!$D$44),Projects!$B$44*INDEX(Curves!$B$4:$AR$4,1,16-Projects!$C$44+1),0)+IF(AND(Projects!$G$45="Yes",16&gt;=Projects!$C$45,16&lt;Projects!$C$45+Projects!$D$45),Projects!$B$45*INDEX(Curves!$B$4:$AR$4,1,16-Projects!$C$45+1),0)+IF(AND(Projects!$G$46="Yes",16&gt;=Projects!$C$46,16&lt;Projects!$C$46+Projects!$D$46),Projects!$B$46*INDEX(Curves!$B$4:$AR$4,1,16-Projects!$C$46+1),0)</f>
        <v>2450883.78948675</v>
      </c>
      <c r="V96" s="315" t="n">
        <f aca="false">IF(AND(Projects!$G$17="Yes",17&gt;=Projects!$C$17,17&lt;Projects!$C$17+Projects!$D$17),Projects!$B$17*INDEX(Curves!$B$4:$AR$4,1,17-Projects!$C$17+1),0)+IF(AND(Projects!$G$18="Yes",17&gt;=Projects!$C$18,17&lt;Projects!$C$18+Projects!$D$18),Projects!$B$18*INDEX(Curves!$B$4:$AR$4,1,17-Projects!$C$18+1),0)+IF(AND(Projects!$G$19="Yes",17&gt;=Projects!$C$19,17&lt;Projects!$C$19+Projects!$D$19),Projects!$B$19*INDEX(Curves!$B$4:$AR$4,1,17-Projects!$C$19+1),0)+IF(AND(Projects!$G$20="Yes",17&gt;=Projects!$C$20,17&lt;Projects!$C$20+Projects!$D$20),Projects!$B$20*INDEX(Curves!$B$4:$AR$4,1,17-Projects!$C$20+1),0)+IF(AND(Projects!$G$21="Yes",17&gt;=Projects!$C$21,17&lt;Projects!$C$21+Projects!$D$21),Projects!$B$21*INDEX(Curves!$B$4:$AR$4,1,17-Projects!$C$21+1),0)+IF(AND(Projects!$G$22="Yes",17&gt;=Projects!$C$22,17&lt;Projects!$C$22+Projects!$D$22),Projects!$B$22*INDEX(Curves!$B$4:$AR$4,1,17-Projects!$C$22+1),0)+IF(AND(Projects!$G$23="Yes",17&gt;=Projects!$C$23,17&lt;Projects!$C$23+Projects!$D$23),Projects!$B$23*INDEX(Curves!$B$4:$AR$4,1,17-Projects!$C$23+1),0)+IF(AND(Projects!$G$24="Yes",17&gt;=Projects!$C$24,17&lt;Projects!$C$24+Projects!$D$24),Projects!$B$24*INDEX(Curves!$B$4:$AR$4,1,17-Projects!$C$24+1),0)+IF(AND(Projects!$G$25="Yes",17&gt;=Projects!$C$25,17&lt;Projects!$C$25+Projects!$D$25),Projects!$B$25*INDEX(Curves!$B$4:$AR$4,1,17-Projects!$C$25+1),0)+IF(AND(Projects!$G$26="Yes",17&gt;=Projects!$C$26,17&lt;Projects!$C$26+Projects!$D$26),Projects!$B$26*INDEX(Curves!$B$4:$AR$4,1,17-Projects!$C$26+1),0)+IF(AND(Projects!$G$27="Yes",17&gt;=Projects!$C$27,17&lt;Projects!$C$27+Projects!$D$27),Projects!$B$27*INDEX(Curves!$B$4:$AR$4,1,17-Projects!$C$27+1),0)+IF(AND(Projects!$G$28="Yes",17&gt;=Projects!$C$28,17&lt;Projects!$C$28+Projects!$D$28),Projects!$B$28*INDEX(Curves!$B$4:$AR$4,1,17-Projects!$C$28+1),0)+IF(AND(Projects!$G$29="Yes",17&gt;=Projects!$C$29,17&lt;Projects!$C$29+Projects!$D$29),Projects!$B$29*INDEX(Curves!$B$4:$AR$4,1,17-Projects!$C$29+1),0)+IF(AND(Projects!$G$30="Yes",17&gt;=Projects!$C$30,17&lt;Projects!$C$30+Projects!$D$30),Projects!$B$30*INDEX(Curves!$B$4:$AR$4,1,17-Projects!$C$30+1),0)+IF(AND(Projects!$G$31="Yes",17&gt;=Projects!$C$31,17&lt;Projects!$C$31+Projects!$D$31),Projects!$B$31*INDEX(Curves!$B$4:$AR$4,1,17-Projects!$C$31+1),0)+IF(AND(Projects!$G$32="Yes",17&gt;=Projects!$C$32,17&lt;Projects!$C$32+Projects!$D$32),Projects!$B$32*INDEX(Curves!$B$4:$AR$4,1,17-Projects!$C$32+1),0)+IF(AND(Projects!$G$33="Yes",17&gt;=Projects!$C$33,17&lt;Projects!$C$33+Projects!$D$33),Projects!$B$33*INDEX(Curves!$B$4:$AR$4,1,17-Projects!$C$33+1),0)+IF(AND(Projects!$G$34="Yes",17&gt;=Projects!$C$34,17&lt;Projects!$C$34+Projects!$D$34),Projects!$B$34*INDEX(Curves!$B$4:$AR$4,1,17-Projects!$C$34+1),0)+IF(AND(Projects!$G$35="Yes",17&gt;=Projects!$C$35,17&lt;Projects!$C$35+Projects!$D$35),Projects!$B$35*INDEX(Curves!$B$4:$AR$4,1,17-Projects!$C$35+1),0)+IF(AND(Projects!$G$36="Yes",17&gt;=Projects!$C$36,17&lt;Projects!$C$36+Projects!$D$36),Projects!$B$36*INDEX(Curves!$B$4:$AR$4,1,17-Projects!$C$36+1),0)+IF(AND(Projects!$G$37="Yes",17&gt;=Projects!$C$37,17&lt;Projects!$C$37+Projects!$D$37),Projects!$B$37*INDEX(Curves!$B$4:$AR$4,1,17-Projects!$C$37+1),0)+IF(AND(Projects!$G$38="Yes",17&gt;=Projects!$C$38,17&lt;Projects!$C$38+Projects!$D$38),Projects!$B$38*INDEX(Curves!$B$4:$AR$4,1,17-Projects!$C$38+1),0)+IF(AND(Projects!$G$39="Yes",17&gt;=Projects!$C$39,17&lt;Projects!$C$39+Projects!$D$39),Projects!$B$39*INDEX(Curves!$B$4:$AR$4,1,17-Projects!$C$39+1),0)+IF(AND(Projects!$G$40="Yes",17&gt;=Projects!$C$40,17&lt;Projects!$C$40+Projects!$D$40),Projects!$B$40*INDEX(Curves!$B$4:$AR$4,1,17-Projects!$C$40+1),0)+IF(AND(Projects!$G$41="Yes",17&gt;=Projects!$C$41,17&lt;Projects!$C$41+Projects!$D$41),Projects!$B$41*INDEX(Curves!$B$4:$AR$4,1,17-Projects!$C$41+1),0)+IF(AND(Projects!$G$42="Yes",17&gt;=Projects!$C$42,17&lt;Projects!$C$42+Projects!$D$42),Projects!$B$42*INDEX(Curves!$B$4:$AR$4,1,17-Projects!$C$42+1),0)+IF(AND(Projects!$G$43="Yes",17&gt;=Projects!$C$43,17&lt;Projects!$C$43+Projects!$D$43),Projects!$B$43*INDEX(Curves!$B$4:$AR$4,1,17-Projects!$C$43+1),0)+IF(AND(Projects!$G$44="Yes",17&gt;=Projects!$C$44,17&lt;Projects!$C$44+Projects!$D$44),Projects!$B$44*INDEX(Curves!$B$4:$AR$4,1,17-Projects!$C$44+1),0)+IF(AND(Projects!$G$45="Yes",17&gt;=Projects!$C$45,17&lt;Projects!$C$45+Projects!$D$45),Projects!$B$45*INDEX(Curves!$B$4:$AR$4,1,17-Projects!$C$45+1),0)+IF(AND(Projects!$G$46="Yes",17&gt;=Projects!$C$46,17&lt;Projects!$C$46+Projects!$D$46),Projects!$B$46*INDEX(Curves!$B$4:$AR$4,1,17-Projects!$C$46+1),0)</f>
        <v>2811539.250619</v>
      </c>
      <c r="W96" s="315" t="n">
        <f aca="false">IF(AND(Projects!$G$17="Yes",18&gt;=Projects!$C$17,18&lt;Projects!$C$17+Projects!$D$17),Projects!$B$17*INDEX(Curves!$B$4:$AR$4,1,18-Projects!$C$17+1),0)+IF(AND(Projects!$G$18="Yes",18&gt;=Projects!$C$18,18&lt;Projects!$C$18+Projects!$D$18),Projects!$B$18*INDEX(Curves!$B$4:$AR$4,1,18-Projects!$C$18+1),0)+IF(AND(Projects!$G$19="Yes",18&gt;=Projects!$C$19,18&lt;Projects!$C$19+Projects!$D$19),Projects!$B$19*INDEX(Curves!$B$4:$AR$4,1,18-Projects!$C$19+1),0)+IF(AND(Projects!$G$20="Yes",18&gt;=Projects!$C$20,18&lt;Projects!$C$20+Projects!$D$20),Projects!$B$20*INDEX(Curves!$B$4:$AR$4,1,18-Projects!$C$20+1),0)+IF(AND(Projects!$G$21="Yes",18&gt;=Projects!$C$21,18&lt;Projects!$C$21+Projects!$D$21),Projects!$B$21*INDEX(Curves!$B$4:$AR$4,1,18-Projects!$C$21+1),0)+IF(AND(Projects!$G$22="Yes",18&gt;=Projects!$C$22,18&lt;Projects!$C$22+Projects!$D$22),Projects!$B$22*INDEX(Curves!$B$4:$AR$4,1,18-Projects!$C$22+1),0)+IF(AND(Projects!$G$23="Yes",18&gt;=Projects!$C$23,18&lt;Projects!$C$23+Projects!$D$23),Projects!$B$23*INDEX(Curves!$B$4:$AR$4,1,18-Projects!$C$23+1),0)+IF(AND(Projects!$G$24="Yes",18&gt;=Projects!$C$24,18&lt;Projects!$C$24+Projects!$D$24),Projects!$B$24*INDEX(Curves!$B$4:$AR$4,1,18-Projects!$C$24+1),0)+IF(AND(Projects!$G$25="Yes",18&gt;=Projects!$C$25,18&lt;Projects!$C$25+Projects!$D$25),Projects!$B$25*INDEX(Curves!$B$4:$AR$4,1,18-Projects!$C$25+1),0)+IF(AND(Projects!$G$26="Yes",18&gt;=Projects!$C$26,18&lt;Projects!$C$26+Projects!$D$26),Projects!$B$26*INDEX(Curves!$B$4:$AR$4,1,18-Projects!$C$26+1),0)+IF(AND(Projects!$G$27="Yes",18&gt;=Projects!$C$27,18&lt;Projects!$C$27+Projects!$D$27),Projects!$B$27*INDEX(Curves!$B$4:$AR$4,1,18-Projects!$C$27+1),0)+IF(AND(Projects!$G$28="Yes",18&gt;=Projects!$C$28,18&lt;Projects!$C$28+Projects!$D$28),Projects!$B$28*INDEX(Curves!$B$4:$AR$4,1,18-Projects!$C$28+1),0)+IF(AND(Projects!$G$29="Yes",18&gt;=Projects!$C$29,18&lt;Projects!$C$29+Projects!$D$29),Projects!$B$29*INDEX(Curves!$B$4:$AR$4,1,18-Projects!$C$29+1),0)+IF(AND(Projects!$G$30="Yes",18&gt;=Projects!$C$30,18&lt;Projects!$C$30+Projects!$D$30),Projects!$B$30*INDEX(Curves!$B$4:$AR$4,1,18-Projects!$C$30+1),0)+IF(AND(Projects!$G$31="Yes",18&gt;=Projects!$C$31,18&lt;Projects!$C$31+Projects!$D$31),Projects!$B$31*INDEX(Curves!$B$4:$AR$4,1,18-Projects!$C$31+1),0)+IF(AND(Projects!$G$32="Yes",18&gt;=Projects!$C$32,18&lt;Projects!$C$32+Projects!$D$32),Projects!$B$32*INDEX(Curves!$B$4:$AR$4,1,18-Projects!$C$32+1),0)+IF(AND(Projects!$G$33="Yes",18&gt;=Projects!$C$33,18&lt;Projects!$C$33+Projects!$D$33),Projects!$B$33*INDEX(Curves!$B$4:$AR$4,1,18-Projects!$C$33+1),0)+IF(AND(Projects!$G$34="Yes",18&gt;=Projects!$C$34,18&lt;Projects!$C$34+Projects!$D$34),Projects!$B$34*INDEX(Curves!$B$4:$AR$4,1,18-Projects!$C$34+1),0)+IF(AND(Projects!$G$35="Yes",18&gt;=Projects!$C$35,18&lt;Projects!$C$35+Projects!$D$35),Projects!$B$35*INDEX(Curves!$B$4:$AR$4,1,18-Projects!$C$35+1),0)+IF(AND(Projects!$G$36="Yes",18&gt;=Projects!$C$36,18&lt;Projects!$C$36+Projects!$D$36),Projects!$B$36*INDEX(Curves!$B$4:$AR$4,1,18-Projects!$C$36+1),0)+IF(AND(Projects!$G$37="Yes",18&gt;=Projects!$C$37,18&lt;Projects!$C$37+Projects!$D$37),Projects!$B$37*INDEX(Curves!$B$4:$AR$4,1,18-Projects!$C$37+1),0)+IF(AND(Projects!$G$38="Yes",18&gt;=Projects!$C$38,18&lt;Projects!$C$38+Projects!$D$38),Projects!$B$38*INDEX(Curves!$B$4:$AR$4,1,18-Projects!$C$38+1),0)+IF(AND(Projects!$G$39="Yes",18&gt;=Projects!$C$39,18&lt;Projects!$C$39+Projects!$D$39),Projects!$B$39*INDEX(Curves!$B$4:$AR$4,1,18-Projects!$C$39+1),0)+IF(AND(Projects!$G$40="Yes",18&gt;=Projects!$C$40,18&lt;Projects!$C$40+Projects!$D$40),Projects!$B$40*INDEX(Curves!$B$4:$AR$4,1,18-Projects!$C$40+1),0)+IF(AND(Projects!$G$41="Yes",18&gt;=Projects!$C$41,18&lt;Projects!$C$41+Projects!$D$41),Projects!$B$41*INDEX(Curves!$B$4:$AR$4,1,18-Projects!$C$41+1),0)+IF(AND(Projects!$G$42="Yes",18&gt;=Projects!$C$42,18&lt;Projects!$C$42+Projects!$D$42),Projects!$B$42*INDEX(Curves!$B$4:$AR$4,1,18-Projects!$C$42+1),0)+IF(AND(Projects!$G$43="Yes",18&gt;=Projects!$C$43,18&lt;Projects!$C$43+Projects!$D$43),Projects!$B$43*INDEX(Curves!$B$4:$AR$4,1,18-Projects!$C$43+1),0)+IF(AND(Projects!$G$44="Yes",18&gt;=Projects!$C$44,18&lt;Projects!$C$44+Projects!$D$44),Projects!$B$44*INDEX(Curves!$B$4:$AR$4,1,18-Projects!$C$44+1),0)+IF(AND(Projects!$G$45="Yes",18&gt;=Projects!$C$45,18&lt;Projects!$C$45+Projects!$D$45),Projects!$B$45*INDEX(Curves!$B$4:$AR$4,1,18-Projects!$C$45+1),0)+IF(AND(Projects!$G$46="Yes",18&gt;=Projects!$C$46,18&lt;Projects!$C$46+Projects!$D$46),Projects!$B$46*INDEX(Curves!$B$4:$AR$4,1,18-Projects!$C$46+1),0)</f>
        <v>3158081.406203</v>
      </c>
      <c r="X96" s="315" t="n">
        <f aca="false">IF(AND(Projects!$G$17="Yes",19&gt;=Projects!$C$17,19&lt;Projects!$C$17+Projects!$D$17),Projects!$B$17*INDEX(Curves!$B$4:$AR$4,1,19-Projects!$C$17+1),0)+IF(AND(Projects!$G$18="Yes",19&gt;=Projects!$C$18,19&lt;Projects!$C$18+Projects!$D$18),Projects!$B$18*INDEX(Curves!$B$4:$AR$4,1,19-Projects!$C$18+1),0)+IF(AND(Projects!$G$19="Yes",19&gt;=Projects!$C$19,19&lt;Projects!$C$19+Projects!$D$19),Projects!$B$19*INDEX(Curves!$B$4:$AR$4,1,19-Projects!$C$19+1),0)+IF(AND(Projects!$G$20="Yes",19&gt;=Projects!$C$20,19&lt;Projects!$C$20+Projects!$D$20),Projects!$B$20*INDEX(Curves!$B$4:$AR$4,1,19-Projects!$C$20+1),0)+IF(AND(Projects!$G$21="Yes",19&gt;=Projects!$C$21,19&lt;Projects!$C$21+Projects!$D$21),Projects!$B$21*INDEX(Curves!$B$4:$AR$4,1,19-Projects!$C$21+1),0)+IF(AND(Projects!$G$22="Yes",19&gt;=Projects!$C$22,19&lt;Projects!$C$22+Projects!$D$22),Projects!$B$22*INDEX(Curves!$B$4:$AR$4,1,19-Projects!$C$22+1),0)+IF(AND(Projects!$G$23="Yes",19&gt;=Projects!$C$23,19&lt;Projects!$C$23+Projects!$D$23),Projects!$B$23*INDEX(Curves!$B$4:$AR$4,1,19-Projects!$C$23+1),0)+IF(AND(Projects!$G$24="Yes",19&gt;=Projects!$C$24,19&lt;Projects!$C$24+Projects!$D$24),Projects!$B$24*INDEX(Curves!$B$4:$AR$4,1,19-Projects!$C$24+1),0)+IF(AND(Projects!$G$25="Yes",19&gt;=Projects!$C$25,19&lt;Projects!$C$25+Projects!$D$25),Projects!$B$25*INDEX(Curves!$B$4:$AR$4,1,19-Projects!$C$25+1),0)+IF(AND(Projects!$G$26="Yes",19&gt;=Projects!$C$26,19&lt;Projects!$C$26+Projects!$D$26),Projects!$B$26*INDEX(Curves!$B$4:$AR$4,1,19-Projects!$C$26+1),0)+IF(AND(Projects!$G$27="Yes",19&gt;=Projects!$C$27,19&lt;Projects!$C$27+Projects!$D$27),Projects!$B$27*INDEX(Curves!$B$4:$AR$4,1,19-Projects!$C$27+1),0)+IF(AND(Projects!$G$28="Yes",19&gt;=Projects!$C$28,19&lt;Projects!$C$28+Projects!$D$28),Projects!$B$28*INDEX(Curves!$B$4:$AR$4,1,19-Projects!$C$28+1),0)+IF(AND(Projects!$G$29="Yes",19&gt;=Projects!$C$29,19&lt;Projects!$C$29+Projects!$D$29),Projects!$B$29*INDEX(Curves!$B$4:$AR$4,1,19-Projects!$C$29+1),0)+IF(AND(Projects!$G$30="Yes",19&gt;=Projects!$C$30,19&lt;Projects!$C$30+Projects!$D$30),Projects!$B$30*INDEX(Curves!$B$4:$AR$4,1,19-Projects!$C$30+1),0)+IF(AND(Projects!$G$31="Yes",19&gt;=Projects!$C$31,19&lt;Projects!$C$31+Projects!$D$31),Projects!$B$31*INDEX(Curves!$B$4:$AR$4,1,19-Projects!$C$31+1),0)+IF(AND(Projects!$G$32="Yes",19&gt;=Projects!$C$32,19&lt;Projects!$C$32+Projects!$D$32),Projects!$B$32*INDEX(Curves!$B$4:$AR$4,1,19-Projects!$C$32+1),0)+IF(AND(Projects!$G$33="Yes",19&gt;=Projects!$C$33,19&lt;Projects!$C$33+Projects!$D$33),Projects!$B$33*INDEX(Curves!$B$4:$AR$4,1,19-Projects!$C$33+1),0)+IF(AND(Projects!$G$34="Yes",19&gt;=Projects!$C$34,19&lt;Projects!$C$34+Projects!$D$34),Projects!$B$34*INDEX(Curves!$B$4:$AR$4,1,19-Projects!$C$34+1),0)+IF(AND(Projects!$G$35="Yes",19&gt;=Projects!$C$35,19&lt;Projects!$C$35+Projects!$D$35),Projects!$B$35*INDEX(Curves!$B$4:$AR$4,1,19-Projects!$C$35+1),0)+IF(AND(Projects!$G$36="Yes",19&gt;=Projects!$C$36,19&lt;Projects!$C$36+Projects!$D$36),Projects!$B$36*INDEX(Curves!$B$4:$AR$4,1,19-Projects!$C$36+1),0)+IF(AND(Projects!$G$37="Yes",19&gt;=Projects!$C$37,19&lt;Projects!$C$37+Projects!$D$37),Projects!$B$37*INDEX(Curves!$B$4:$AR$4,1,19-Projects!$C$37+1),0)+IF(AND(Projects!$G$38="Yes",19&gt;=Projects!$C$38,19&lt;Projects!$C$38+Projects!$D$38),Projects!$B$38*INDEX(Curves!$B$4:$AR$4,1,19-Projects!$C$38+1),0)+IF(AND(Projects!$G$39="Yes",19&gt;=Projects!$C$39,19&lt;Projects!$C$39+Projects!$D$39),Projects!$B$39*INDEX(Curves!$B$4:$AR$4,1,19-Projects!$C$39+1),0)+IF(AND(Projects!$G$40="Yes",19&gt;=Projects!$C$40,19&lt;Projects!$C$40+Projects!$D$40),Projects!$B$40*INDEX(Curves!$B$4:$AR$4,1,19-Projects!$C$40+1),0)+IF(AND(Projects!$G$41="Yes",19&gt;=Projects!$C$41,19&lt;Projects!$C$41+Projects!$D$41),Projects!$B$41*INDEX(Curves!$B$4:$AR$4,1,19-Projects!$C$41+1),0)+IF(AND(Projects!$G$42="Yes",19&gt;=Projects!$C$42,19&lt;Projects!$C$42+Projects!$D$42),Projects!$B$42*INDEX(Curves!$B$4:$AR$4,1,19-Projects!$C$42+1),0)+IF(AND(Projects!$G$43="Yes",19&gt;=Projects!$C$43,19&lt;Projects!$C$43+Projects!$D$43),Projects!$B$43*INDEX(Curves!$B$4:$AR$4,1,19-Projects!$C$43+1),0)+IF(AND(Projects!$G$44="Yes",19&gt;=Projects!$C$44,19&lt;Projects!$C$44+Projects!$D$44),Projects!$B$44*INDEX(Curves!$B$4:$AR$4,1,19-Projects!$C$44+1),0)+IF(AND(Projects!$G$45="Yes",19&gt;=Projects!$C$45,19&lt;Projects!$C$45+Projects!$D$45),Projects!$B$45*INDEX(Curves!$B$4:$AR$4,1,19-Projects!$C$45+1),0)+IF(AND(Projects!$G$46="Yes",19&gt;=Projects!$C$46,19&lt;Projects!$C$46+Projects!$D$46),Projects!$B$46*INDEX(Curves!$B$4:$AR$4,1,19-Projects!$C$46+1),0)</f>
        <v>3473108.2551005</v>
      </c>
      <c r="Y96" s="315" t="n">
        <f aca="false">IF(AND(Projects!$G$17="Yes",20&gt;=Projects!$C$17,20&lt;Projects!$C$17+Projects!$D$17),Projects!$B$17*INDEX(Curves!$B$4:$AR$4,1,20-Projects!$C$17+1),0)+IF(AND(Projects!$G$18="Yes",20&gt;=Projects!$C$18,20&lt;Projects!$C$18+Projects!$D$18),Projects!$B$18*INDEX(Curves!$B$4:$AR$4,1,20-Projects!$C$18+1),0)+IF(AND(Projects!$G$19="Yes",20&gt;=Projects!$C$19,20&lt;Projects!$C$19+Projects!$D$19),Projects!$B$19*INDEX(Curves!$B$4:$AR$4,1,20-Projects!$C$19+1),0)+IF(AND(Projects!$G$20="Yes",20&gt;=Projects!$C$20,20&lt;Projects!$C$20+Projects!$D$20),Projects!$B$20*INDEX(Curves!$B$4:$AR$4,1,20-Projects!$C$20+1),0)+IF(AND(Projects!$G$21="Yes",20&gt;=Projects!$C$21,20&lt;Projects!$C$21+Projects!$D$21),Projects!$B$21*INDEX(Curves!$B$4:$AR$4,1,20-Projects!$C$21+1),0)+IF(AND(Projects!$G$22="Yes",20&gt;=Projects!$C$22,20&lt;Projects!$C$22+Projects!$D$22),Projects!$B$22*INDEX(Curves!$B$4:$AR$4,1,20-Projects!$C$22+1),0)+IF(AND(Projects!$G$23="Yes",20&gt;=Projects!$C$23,20&lt;Projects!$C$23+Projects!$D$23),Projects!$B$23*INDEX(Curves!$B$4:$AR$4,1,20-Projects!$C$23+1),0)+IF(AND(Projects!$G$24="Yes",20&gt;=Projects!$C$24,20&lt;Projects!$C$24+Projects!$D$24),Projects!$B$24*INDEX(Curves!$B$4:$AR$4,1,20-Projects!$C$24+1),0)+IF(AND(Projects!$G$25="Yes",20&gt;=Projects!$C$25,20&lt;Projects!$C$25+Projects!$D$25),Projects!$B$25*INDEX(Curves!$B$4:$AR$4,1,20-Projects!$C$25+1),0)+IF(AND(Projects!$G$26="Yes",20&gt;=Projects!$C$26,20&lt;Projects!$C$26+Projects!$D$26),Projects!$B$26*INDEX(Curves!$B$4:$AR$4,1,20-Projects!$C$26+1),0)+IF(AND(Projects!$G$27="Yes",20&gt;=Projects!$C$27,20&lt;Projects!$C$27+Projects!$D$27),Projects!$B$27*INDEX(Curves!$B$4:$AR$4,1,20-Projects!$C$27+1),0)+IF(AND(Projects!$G$28="Yes",20&gt;=Projects!$C$28,20&lt;Projects!$C$28+Projects!$D$28),Projects!$B$28*INDEX(Curves!$B$4:$AR$4,1,20-Projects!$C$28+1),0)+IF(AND(Projects!$G$29="Yes",20&gt;=Projects!$C$29,20&lt;Projects!$C$29+Projects!$D$29),Projects!$B$29*INDEX(Curves!$B$4:$AR$4,1,20-Projects!$C$29+1),0)+IF(AND(Projects!$G$30="Yes",20&gt;=Projects!$C$30,20&lt;Projects!$C$30+Projects!$D$30),Projects!$B$30*INDEX(Curves!$B$4:$AR$4,1,20-Projects!$C$30+1),0)+IF(AND(Projects!$G$31="Yes",20&gt;=Projects!$C$31,20&lt;Projects!$C$31+Projects!$D$31),Projects!$B$31*INDEX(Curves!$B$4:$AR$4,1,20-Projects!$C$31+1),0)+IF(AND(Projects!$G$32="Yes",20&gt;=Projects!$C$32,20&lt;Projects!$C$32+Projects!$D$32),Projects!$B$32*INDEX(Curves!$B$4:$AR$4,1,20-Projects!$C$32+1),0)+IF(AND(Projects!$G$33="Yes",20&gt;=Projects!$C$33,20&lt;Projects!$C$33+Projects!$D$33),Projects!$B$33*INDEX(Curves!$B$4:$AR$4,1,20-Projects!$C$33+1),0)+IF(AND(Projects!$G$34="Yes",20&gt;=Projects!$C$34,20&lt;Projects!$C$34+Projects!$D$34),Projects!$B$34*INDEX(Curves!$B$4:$AR$4,1,20-Projects!$C$34+1),0)+IF(AND(Projects!$G$35="Yes",20&gt;=Projects!$C$35,20&lt;Projects!$C$35+Projects!$D$35),Projects!$B$35*INDEX(Curves!$B$4:$AR$4,1,20-Projects!$C$35+1),0)+IF(AND(Projects!$G$36="Yes",20&gt;=Projects!$C$36,20&lt;Projects!$C$36+Projects!$D$36),Projects!$B$36*INDEX(Curves!$B$4:$AR$4,1,20-Projects!$C$36+1),0)+IF(AND(Projects!$G$37="Yes",20&gt;=Projects!$C$37,20&lt;Projects!$C$37+Projects!$D$37),Projects!$B$37*INDEX(Curves!$B$4:$AR$4,1,20-Projects!$C$37+1),0)+IF(AND(Projects!$G$38="Yes",20&gt;=Projects!$C$38,20&lt;Projects!$C$38+Projects!$D$38),Projects!$B$38*INDEX(Curves!$B$4:$AR$4,1,20-Projects!$C$38+1),0)+IF(AND(Projects!$G$39="Yes",20&gt;=Projects!$C$39,20&lt;Projects!$C$39+Projects!$D$39),Projects!$B$39*INDEX(Curves!$B$4:$AR$4,1,20-Projects!$C$39+1),0)+IF(AND(Projects!$G$40="Yes",20&gt;=Projects!$C$40,20&lt;Projects!$C$40+Projects!$D$40),Projects!$B$40*INDEX(Curves!$B$4:$AR$4,1,20-Projects!$C$40+1),0)+IF(AND(Projects!$G$41="Yes",20&gt;=Projects!$C$41,20&lt;Projects!$C$41+Projects!$D$41),Projects!$B$41*INDEX(Curves!$B$4:$AR$4,1,20-Projects!$C$41+1),0)+IF(AND(Projects!$G$42="Yes",20&gt;=Projects!$C$42,20&lt;Projects!$C$42+Projects!$D$42),Projects!$B$42*INDEX(Curves!$B$4:$AR$4,1,20-Projects!$C$42+1),0)+IF(AND(Projects!$G$43="Yes",20&gt;=Projects!$C$43,20&lt;Projects!$C$43+Projects!$D$43),Projects!$B$43*INDEX(Curves!$B$4:$AR$4,1,20-Projects!$C$43+1),0)+IF(AND(Projects!$G$44="Yes",20&gt;=Projects!$C$44,20&lt;Projects!$C$44+Projects!$D$44),Projects!$B$44*INDEX(Curves!$B$4:$AR$4,1,20-Projects!$C$44+1),0)+IF(AND(Projects!$G$45="Yes",20&gt;=Projects!$C$45,20&lt;Projects!$C$45+Projects!$D$45),Projects!$B$45*INDEX(Curves!$B$4:$AR$4,1,20-Projects!$C$45+1),0)+IF(AND(Projects!$G$46="Yes",20&gt;=Projects!$C$46,20&lt;Projects!$C$46+Projects!$D$46),Projects!$B$46*INDEX(Curves!$B$4:$AR$4,1,20-Projects!$C$46+1),0)</f>
        <v>4402893.78631186</v>
      </c>
      <c r="Z96" s="315" t="n">
        <f aca="false">IF(AND(Projects!$G$17="Yes",21&gt;=Projects!$C$17,21&lt;Projects!$C$17+Projects!$D$17),Projects!$B$17*INDEX(Curves!$B$4:$AR$4,1,21-Projects!$C$17+1),0)+IF(AND(Projects!$G$18="Yes",21&gt;=Projects!$C$18,21&lt;Projects!$C$18+Projects!$D$18),Projects!$B$18*INDEX(Curves!$B$4:$AR$4,1,21-Projects!$C$18+1),0)+IF(AND(Projects!$G$19="Yes",21&gt;=Projects!$C$19,21&lt;Projects!$C$19+Projects!$D$19),Projects!$B$19*INDEX(Curves!$B$4:$AR$4,1,21-Projects!$C$19+1),0)+IF(AND(Projects!$G$20="Yes",21&gt;=Projects!$C$20,21&lt;Projects!$C$20+Projects!$D$20),Projects!$B$20*INDEX(Curves!$B$4:$AR$4,1,21-Projects!$C$20+1),0)+IF(AND(Projects!$G$21="Yes",21&gt;=Projects!$C$21,21&lt;Projects!$C$21+Projects!$D$21),Projects!$B$21*INDEX(Curves!$B$4:$AR$4,1,21-Projects!$C$21+1),0)+IF(AND(Projects!$G$22="Yes",21&gt;=Projects!$C$22,21&lt;Projects!$C$22+Projects!$D$22),Projects!$B$22*INDEX(Curves!$B$4:$AR$4,1,21-Projects!$C$22+1),0)+IF(AND(Projects!$G$23="Yes",21&gt;=Projects!$C$23,21&lt;Projects!$C$23+Projects!$D$23),Projects!$B$23*INDEX(Curves!$B$4:$AR$4,1,21-Projects!$C$23+1),0)+IF(AND(Projects!$G$24="Yes",21&gt;=Projects!$C$24,21&lt;Projects!$C$24+Projects!$D$24),Projects!$B$24*INDEX(Curves!$B$4:$AR$4,1,21-Projects!$C$24+1),0)+IF(AND(Projects!$G$25="Yes",21&gt;=Projects!$C$25,21&lt;Projects!$C$25+Projects!$D$25),Projects!$B$25*INDEX(Curves!$B$4:$AR$4,1,21-Projects!$C$25+1),0)+IF(AND(Projects!$G$26="Yes",21&gt;=Projects!$C$26,21&lt;Projects!$C$26+Projects!$D$26),Projects!$B$26*INDEX(Curves!$B$4:$AR$4,1,21-Projects!$C$26+1),0)+IF(AND(Projects!$G$27="Yes",21&gt;=Projects!$C$27,21&lt;Projects!$C$27+Projects!$D$27),Projects!$B$27*INDEX(Curves!$B$4:$AR$4,1,21-Projects!$C$27+1),0)+IF(AND(Projects!$G$28="Yes",21&gt;=Projects!$C$28,21&lt;Projects!$C$28+Projects!$D$28),Projects!$B$28*INDEX(Curves!$B$4:$AR$4,1,21-Projects!$C$28+1),0)+IF(AND(Projects!$G$29="Yes",21&gt;=Projects!$C$29,21&lt;Projects!$C$29+Projects!$D$29),Projects!$B$29*INDEX(Curves!$B$4:$AR$4,1,21-Projects!$C$29+1),0)+IF(AND(Projects!$G$30="Yes",21&gt;=Projects!$C$30,21&lt;Projects!$C$30+Projects!$D$30),Projects!$B$30*INDEX(Curves!$B$4:$AR$4,1,21-Projects!$C$30+1),0)+IF(AND(Projects!$G$31="Yes",21&gt;=Projects!$C$31,21&lt;Projects!$C$31+Projects!$D$31),Projects!$B$31*INDEX(Curves!$B$4:$AR$4,1,21-Projects!$C$31+1),0)+IF(AND(Projects!$G$32="Yes",21&gt;=Projects!$C$32,21&lt;Projects!$C$32+Projects!$D$32),Projects!$B$32*INDEX(Curves!$B$4:$AR$4,1,21-Projects!$C$32+1),0)+IF(AND(Projects!$G$33="Yes",21&gt;=Projects!$C$33,21&lt;Projects!$C$33+Projects!$D$33),Projects!$B$33*INDEX(Curves!$B$4:$AR$4,1,21-Projects!$C$33+1),0)+IF(AND(Projects!$G$34="Yes",21&gt;=Projects!$C$34,21&lt;Projects!$C$34+Projects!$D$34),Projects!$B$34*INDEX(Curves!$B$4:$AR$4,1,21-Projects!$C$34+1),0)+IF(AND(Projects!$G$35="Yes",21&gt;=Projects!$C$35,21&lt;Projects!$C$35+Projects!$D$35),Projects!$B$35*INDEX(Curves!$B$4:$AR$4,1,21-Projects!$C$35+1),0)+IF(AND(Projects!$G$36="Yes",21&gt;=Projects!$C$36,21&lt;Projects!$C$36+Projects!$D$36),Projects!$B$36*INDEX(Curves!$B$4:$AR$4,1,21-Projects!$C$36+1),0)+IF(AND(Projects!$G$37="Yes",21&gt;=Projects!$C$37,21&lt;Projects!$C$37+Projects!$D$37),Projects!$B$37*INDEX(Curves!$B$4:$AR$4,1,21-Projects!$C$37+1),0)+IF(AND(Projects!$G$38="Yes",21&gt;=Projects!$C$38,21&lt;Projects!$C$38+Projects!$D$38),Projects!$B$38*INDEX(Curves!$B$4:$AR$4,1,21-Projects!$C$38+1),0)+IF(AND(Projects!$G$39="Yes",21&gt;=Projects!$C$39,21&lt;Projects!$C$39+Projects!$D$39),Projects!$B$39*INDEX(Curves!$B$4:$AR$4,1,21-Projects!$C$39+1),0)+IF(AND(Projects!$G$40="Yes",21&gt;=Projects!$C$40,21&lt;Projects!$C$40+Projects!$D$40),Projects!$B$40*INDEX(Curves!$B$4:$AR$4,1,21-Projects!$C$40+1),0)+IF(AND(Projects!$G$41="Yes",21&gt;=Projects!$C$41,21&lt;Projects!$C$41+Projects!$D$41),Projects!$B$41*INDEX(Curves!$B$4:$AR$4,1,21-Projects!$C$41+1),0)+IF(AND(Projects!$G$42="Yes",21&gt;=Projects!$C$42,21&lt;Projects!$C$42+Projects!$D$42),Projects!$B$42*INDEX(Curves!$B$4:$AR$4,1,21-Projects!$C$42+1),0)+IF(AND(Projects!$G$43="Yes",21&gt;=Projects!$C$43,21&lt;Projects!$C$43+Projects!$D$43),Projects!$B$43*INDEX(Curves!$B$4:$AR$4,1,21-Projects!$C$43+1),0)+IF(AND(Projects!$G$44="Yes",21&gt;=Projects!$C$44,21&lt;Projects!$C$44+Projects!$D$44),Projects!$B$44*INDEX(Curves!$B$4:$AR$4,1,21-Projects!$C$44+1),0)+IF(AND(Projects!$G$45="Yes",21&gt;=Projects!$C$45,21&lt;Projects!$C$45+Projects!$D$45),Projects!$B$45*INDEX(Curves!$B$4:$AR$4,1,21-Projects!$C$45+1),0)+IF(AND(Projects!$G$46="Yes",21&gt;=Projects!$C$46,21&lt;Projects!$C$46+Projects!$D$46),Projects!$B$46*INDEX(Curves!$B$4:$AR$4,1,21-Projects!$C$46+1),0)</f>
        <v>4760608.85551438</v>
      </c>
      <c r="AA96" s="315" t="n">
        <f aca="false">IF(AND(Projects!$G$17="Yes",22&gt;=Projects!$C$17,22&lt;Projects!$C$17+Projects!$D$17),Projects!$B$17*INDEX(Curves!$B$4:$AR$4,1,22-Projects!$C$17+1),0)+IF(AND(Projects!$G$18="Yes",22&gt;=Projects!$C$18,22&lt;Projects!$C$18+Projects!$D$18),Projects!$B$18*INDEX(Curves!$B$4:$AR$4,1,22-Projects!$C$18+1),0)+IF(AND(Projects!$G$19="Yes",22&gt;=Projects!$C$19,22&lt;Projects!$C$19+Projects!$D$19),Projects!$B$19*INDEX(Curves!$B$4:$AR$4,1,22-Projects!$C$19+1),0)+IF(AND(Projects!$G$20="Yes",22&gt;=Projects!$C$20,22&lt;Projects!$C$20+Projects!$D$20),Projects!$B$20*INDEX(Curves!$B$4:$AR$4,1,22-Projects!$C$20+1),0)+IF(AND(Projects!$G$21="Yes",22&gt;=Projects!$C$21,22&lt;Projects!$C$21+Projects!$D$21),Projects!$B$21*INDEX(Curves!$B$4:$AR$4,1,22-Projects!$C$21+1),0)+IF(AND(Projects!$G$22="Yes",22&gt;=Projects!$C$22,22&lt;Projects!$C$22+Projects!$D$22),Projects!$B$22*INDEX(Curves!$B$4:$AR$4,1,22-Projects!$C$22+1),0)+IF(AND(Projects!$G$23="Yes",22&gt;=Projects!$C$23,22&lt;Projects!$C$23+Projects!$D$23),Projects!$B$23*INDEX(Curves!$B$4:$AR$4,1,22-Projects!$C$23+1),0)+IF(AND(Projects!$G$24="Yes",22&gt;=Projects!$C$24,22&lt;Projects!$C$24+Projects!$D$24),Projects!$B$24*INDEX(Curves!$B$4:$AR$4,1,22-Projects!$C$24+1),0)+IF(AND(Projects!$G$25="Yes",22&gt;=Projects!$C$25,22&lt;Projects!$C$25+Projects!$D$25),Projects!$B$25*INDEX(Curves!$B$4:$AR$4,1,22-Projects!$C$25+1),0)+IF(AND(Projects!$G$26="Yes",22&gt;=Projects!$C$26,22&lt;Projects!$C$26+Projects!$D$26),Projects!$B$26*INDEX(Curves!$B$4:$AR$4,1,22-Projects!$C$26+1),0)+IF(AND(Projects!$G$27="Yes",22&gt;=Projects!$C$27,22&lt;Projects!$C$27+Projects!$D$27),Projects!$B$27*INDEX(Curves!$B$4:$AR$4,1,22-Projects!$C$27+1),0)+IF(AND(Projects!$G$28="Yes",22&gt;=Projects!$C$28,22&lt;Projects!$C$28+Projects!$D$28),Projects!$B$28*INDEX(Curves!$B$4:$AR$4,1,22-Projects!$C$28+1),0)+IF(AND(Projects!$G$29="Yes",22&gt;=Projects!$C$29,22&lt;Projects!$C$29+Projects!$D$29),Projects!$B$29*INDEX(Curves!$B$4:$AR$4,1,22-Projects!$C$29+1),0)+IF(AND(Projects!$G$30="Yes",22&gt;=Projects!$C$30,22&lt;Projects!$C$30+Projects!$D$30),Projects!$B$30*INDEX(Curves!$B$4:$AR$4,1,22-Projects!$C$30+1),0)+IF(AND(Projects!$G$31="Yes",22&gt;=Projects!$C$31,22&lt;Projects!$C$31+Projects!$D$31),Projects!$B$31*INDEX(Curves!$B$4:$AR$4,1,22-Projects!$C$31+1),0)+IF(AND(Projects!$G$32="Yes",22&gt;=Projects!$C$32,22&lt;Projects!$C$32+Projects!$D$32),Projects!$B$32*INDEX(Curves!$B$4:$AR$4,1,22-Projects!$C$32+1),0)+IF(AND(Projects!$G$33="Yes",22&gt;=Projects!$C$33,22&lt;Projects!$C$33+Projects!$D$33),Projects!$B$33*INDEX(Curves!$B$4:$AR$4,1,22-Projects!$C$33+1),0)+IF(AND(Projects!$G$34="Yes",22&gt;=Projects!$C$34,22&lt;Projects!$C$34+Projects!$D$34),Projects!$B$34*INDEX(Curves!$B$4:$AR$4,1,22-Projects!$C$34+1),0)+IF(AND(Projects!$G$35="Yes",22&gt;=Projects!$C$35,22&lt;Projects!$C$35+Projects!$D$35),Projects!$B$35*INDEX(Curves!$B$4:$AR$4,1,22-Projects!$C$35+1),0)+IF(AND(Projects!$G$36="Yes",22&gt;=Projects!$C$36,22&lt;Projects!$C$36+Projects!$D$36),Projects!$B$36*INDEX(Curves!$B$4:$AR$4,1,22-Projects!$C$36+1),0)+IF(AND(Projects!$G$37="Yes",22&gt;=Projects!$C$37,22&lt;Projects!$C$37+Projects!$D$37),Projects!$B$37*INDEX(Curves!$B$4:$AR$4,1,22-Projects!$C$37+1),0)+IF(AND(Projects!$G$38="Yes",22&gt;=Projects!$C$38,22&lt;Projects!$C$38+Projects!$D$38),Projects!$B$38*INDEX(Curves!$B$4:$AR$4,1,22-Projects!$C$38+1),0)+IF(AND(Projects!$G$39="Yes",22&gt;=Projects!$C$39,22&lt;Projects!$C$39+Projects!$D$39),Projects!$B$39*INDEX(Curves!$B$4:$AR$4,1,22-Projects!$C$39+1),0)+IF(AND(Projects!$G$40="Yes",22&gt;=Projects!$C$40,22&lt;Projects!$C$40+Projects!$D$40),Projects!$B$40*INDEX(Curves!$B$4:$AR$4,1,22-Projects!$C$40+1),0)+IF(AND(Projects!$G$41="Yes",22&gt;=Projects!$C$41,22&lt;Projects!$C$41+Projects!$D$41),Projects!$B$41*INDEX(Curves!$B$4:$AR$4,1,22-Projects!$C$41+1),0)+IF(AND(Projects!$G$42="Yes",22&gt;=Projects!$C$42,22&lt;Projects!$C$42+Projects!$D$42),Projects!$B$42*INDEX(Curves!$B$4:$AR$4,1,22-Projects!$C$42+1),0)+IF(AND(Projects!$G$43="Yes",22&gt;=Projects!$C$43,22&lt;Projects!$C$43+Projects!$D$43),Projects!$B$43*INDEX(Curves!$B$4:$AR$4,1,22-Projects!$C$43+1),0)+IF(AND(Projects!$G$44="Yes",22&gt;=Projects!$C$44,22&lt;Projects!$C$44+Projects!$D$44),Projects!$B$44*INDEX(Curves!$B$4:$AR$4,1,22-Projects!$C$44+1),0)+IF(AND(Projects!$G$45="Yes",22&gt;=Projects!$C$45,22&lt;Projects!$C$45+Projects!$D$45),Projects!$B$45*INDEX(Curves!$B$4:$AR$4,1,22-Projects!$C$45+1),0)+IF(AND(Projects!$G$46="Yes",22&gt;=Projects!$C$46,22&lt;Projects!$C$46+Projects!$D$46),Projects!$B$46*INDEX(Curves!$B$4:$AR$4,1,22-Projects!$C$46+1),0)</f>
        <v>5052793.76523131</v>
      </c>
      <c r="AB96" s="315" t="n">
        <f aca="false">IF(AND(Projects!$G$17="Yes",23&gt;=Projects!$C$17,23&lt;Projects!$C$17+Projects!$D$17),Projects!$B$17*INDEX(Curves!$B$4:$AR$4,1,23-Projects!$C$17+1),0)+IF(AND(Projects!$G$18="Yes",23&gt;=Projects!$C$18,23&lt;Projects!$C$18+Projects!$D$18),Projects!$B$18*INDEX(Curves!$B$4:$AR$4,1,23-Projects!$C$18+1),0)+IF(AND(Projects!$G$19="Yes",23&gt;=Projects!$C$19,23&lt;Projects!$C$19+Projects!$D$19),Projects!$B$19*INDEX(Curves!$B$4:$AR$4,1,23-Projects!$C$19+1),0)+IF(AND(Projects!$G$20="Yes",23&gt;=Projects!$C$20,23&lt;Projects!$C$20+Projects!$D$20),Projects!$B$20*INDEX(Curves!$B$4:$AR$4,1,23-Projects!$C$20+1),0)+IF(AND(Projects!$G$21="Yes",23&gt;=Projects!$C$21,23&lt;Projects!$C$21+Projects!$D$21),Projects!$B$21*INDEX(Curves!$B$4:$AR$4,1,23-Projects!$C$21+1),0)+IF(AND(Projects!$G$22="Yes",23&gt;=Projects!$C$22,23&lt;Projects!$C$22+Projects!$D$22),Projects!$B$22*INDEX(Curves!$B$4:$AR$4,1,23-Projects!$C$22+1),0)+IF(AND(Projects!$G$23="Yes",23&gt;=Projects!$C$23,23&lt;Projects!$C$23+Projects!$D$23),Projects!$B$23*INDEX(Curves!$B$4:$AR$4,1,23-Projects!$C$23+1),0)+IF(AND(Projects!$G$24="Yes",23&gt;=Projects!$C$24,23&lt;Projects!$C$24+Projects!$D$24),Projects!$B$24*INDEX(Curves!$B$4:$AR$4,1,23-Projects!$C$24+1),0)+IF(AND(Projects!$G$25="Yes",23&gt;=Projects!$C$25,23&lt;Projects!$C$25+Projects!$D$25),Projects!$B$25*INDEX(Curves!$B$4:$AR$4,1,23-Projects!$C$25+1),0)+IF(AND(Projects!$G$26="Yes",23&gt;=Projects!$C$26,23&lt;Projects!$C$26+Projects!$D$26),Projects!$B$26*INDEX(Curves!$B$4:$AR$4,1,23-Projects!$C$26+1),0)+IF(AND(Projects!$G$27="Yes",23&gt;=Projects!$C$27,23&lt;Projects!$C$27+Projects!$D$27),Projects!$B$27*INDEX(Curves!$B$4:$AR$4,1,23-Projects!$C$27+1),0)+IF(AND(Projects!$G$28="Yes",23&gt;=Projects!$C$28,23&lt;Projects!$C$28+Projects!$D$28),Projects!$B$28*INDEX(Curves!$B$4:$AR$4,1,23-Projects!$C$28+1),0)+IF(AND(Projects!$G$29="Yes",23&gt;=Projects!$C$29,23&lt;Projects!$C$29+Projects!$D$29),Projects!$B$29*INDEX(Curves!$B$4:$AR$4,1,23-Projects!$C$29+1),0)+IF(AND(Projects!$G$30="Yes",23&gt;=Projects!$C$30,23&lt;Projects!$C$30+Projects!$D$30),Projects!$B$30*INDEX(Curves!$B$4:$AR$4,1,23-Projects!$C$30+1),0)+IF(AND(Projects!$G$31="Yes",23&gt;=Projects!$C$31,23&lt;Projects!$C$31+Projects!$D$31),Projects!$B$31*INDEX(Curves!$B$4:$AR$4,1,23-Projects!$C$31+1),0)+IF(AND(Projects!$G$32="Yes",23&gt;=Projects!$C$32,23&lt;Projects!$C$32+Projects!$D$32),Projects!$B$32*INDEX(Curves!$B$4:$AR$4,1,23-Projects!$C$32+1),0)+IF(AND(Projects!$G$33="Yes",23&gt;=Projects!$C$33,23&lt;Projects!$C$33+Projects!$D$33),Projects!$B$33*INDEX(Curves!$B$4:$AR$4,1,23-Projects!$C$33+1),0)+IF(AND(Projects!$G$34="Yes",23&gt;=Projects!$C$34,23&lt;Projects!$C$34+Projects!$D$34),Projects!$B$34*INDEX(Curves!$B$4:$AR$4,1,23-Projects!$C$34+1),0)+IF(AND(Projects!$G$35="Yes",23&gt;=Projects!$C$35,23&lt;Projects!$C$35+Projects!$D$35),Projects!$B$35*INDEX(Curves!$B$4:$AR$4,1,23-Projects!$C$35+1),0)+IF(AND(Projects!$G$36="Yes",23&gt;=Projects!$C$36,23&lt;Projects!$C$36+Projects!$D$36),Projects!$B$36*INDEX(Curves!$B$4:$AR$4,1,23-Projects!$C$36+1),0)+IF(AND(Projects!$G$37="Yes",23&gt;=Projects!$C$37,23&lt;Projects!$C$37+Projects!$D$37),Projects!$B$37*INDEX(Curves!$B$4:$AR$4,1,23-Projects!$C$37+1),0)+IF(AND(Projects!$G$38="Yes",23&gt;=Projects!$C$38,23&lt;Projects!$C$38+Projects!$D$38),Projects!$B$38*INDEX(Curves!$B$4:$AR$4,1,23-Projects!$C$38+1),0)+IF(AND(Projects!$G$39="Yes",23&gt;=Projects!$C$39,23&lt;Projects!$C$39+Projects!$D$39),Projects!$B$39*INDEX(Curves!$B$4:$AR$4,1,23-Projects!$C$39+1),0)+IF(AND(Projects!$G$40="Yes",23&gt;=Projects!$C$40,23&lt;Projects!$C$40+Projects!$D$40),Projects!$B$40*INDEX(Curves!$B$4:$AR$4,1,23-Projects!$C$40+1),0)+IF(AND(Projects!$G$41="Yes",23&gt;=Projects!$C$41,23&lt;Projects!$C$41+Projects!$D$41),Projects!$B$41*INDEX(Curves!$B$4:$AR$4,1,23-Projects!$C$41+1),0)+IF(AND(Projects!$G$42="Yes",23&gt;=Projects!$C$42,23&lt;Projects!$C$42+Projects!$D$42),Projects!$B$42*INDEX(Curves!$B$4:$AR$4,1,23-Projects!$C$42+1),0)+IF(AND(Projects!$G$43="Yes",23&gt;=Projects!$C$43,23&lt;Projects!$C$43+Projects!$D$43),Projects!$B$43*INDEX(Curves!$B$4:$AR$4,1,23-Projects!$C$43+1),0)+IF(AND(Projects!$G$44="Yes",23&gt;=Projects!$C$44,23&lt;Projects!$C$44+Projects!$D$44),Projects!$B$44*INDEX(Curves!$B$4:$AR$4,1,23-Projects!$C$44+1),0)+IF(AND(Projects!$G$45="Yes",23&gt;=Projects!$C$45,23&lt;Projects!$C$45+Projects!$D$45),Projects!$B$45*INDEX(Curves!$B$4:$AR$4,1,23-Projects!$C$45+1),0)+IF(AND(Projects!$G$46="Yes",23&gt;=Projects!$C$46,23&lt;Projects!$C$46+Projects!$D$46),Projects!$B$46*INDEX(Curves!$B$4:$AR$4,1,23-Projects!$C$46+1),0)</f>
        <v>5264321.93394246</v>
      </c>
      <c r="AC96" s="315" t="n">
        <f aca="false">IF(AND(Projects!$G$17="Yes",24&gt;=Projects!$C$17,24&lt;Projects!$C$17+Projects!$D$17),Projects!$B$17*INDEX(Curves!$B$4:$AR$4,1,24-Projects!$C$17+1),0)+IF(AND(Projects!$G$18="Yes",24&gt;=Projects!$C$18,24&lt;Projects!$C$18+Projects!$D$18),Projects!$B$18*INDEX(Curves!$B$4:$AR$4,1,24-Projects!$C$18+1),0)+IF(AND(Projects!$G$19="Yes",24&gt;=Projects!$C$19,24&lt;Projects!$C$19+Projects!$D$19),Projects!$B$19*INDEX(Curves!$B$4:$AR$4,1,24-Projects!$C$19+1),0)+IF(AND(Projects!$G$20="Yes",24&gt;=Projects!$C$20,24&lt;Projects!$C$20+Projects!$D$20),Projects!$B$20*INDEX(Curves!$B$4:$AR$4,1,24-Projects!$C$20+1),0)+IF(AND(Projects!$G$21="Yes",24&gt;=Projects!$C$21,24&lt;Projects!$C$21+Projects!$D$21),Projects!$B$21*INDEX(Curves!$B$4:$AR$4,1,24-Projects!$C$21+1),0)+IF(AND(Projects!$G$22="Yes",24&gt;=Projects!$C$22,24&lt;Projects!$C$22+Projects!$D$22),Projects!$B$22*INDEX(Curves!$B$4:$AR$4,1,24-Projects!$C$22+1),0)+IF(AND(Projects!$G$23="Yes",24&gt;=Projects!$C$23,24&lt;Projects!$C$23+Projects!$D$23),Projects!$B$23*INDEX(Curves!$B$4:$AR$4,1,24-Projects!$C$23+1),0)+IF(AND(Projects!$G$24="Yes",24&gt;=Projects!$C$24,24&lt;Projects!$C$24+Projects!$D$24),Projects!$B$24*INDEX(Curves!$B$4:$AR$4,1,24-Projects!$C$24+1),0)+IF(AND(Projects!$G$25="Yes",24&gt;=Projects!$C$25,24&lt;Projects!$C$25+Projects!$D$25),Projects!$B$25*INDEX(Curves!$B$4:$AR$4,1,24-Projects!$C$25+1),0)+IF(AND(Projects!$G$26="Yes",24&gt;=Projects!$C$26,24&lt;Projects!$C$26+Projects!$D$26),Projects!$B$26*INDEX(Curves!$B$4:$AR$4,1,24-Projects!$C$26+1),0)+IF(AND(Projects!$G$27="Yes",24&gt;=Projects!$C$27,24&lt;Projects!$C$27+Projects!$D$27),Projects!$B$27*INDEX(Curves!$B$4:$AR$4,1,24-Projects!$C$27+1),0)+IF(AND(Projects!$G$28="Yes",24&gt;=Projects!$C$28,24&lt;Projects!$C$28+Projects!$D$28),Projects!$B$28*INDEX(Curves!$B$4:$AR$4,1,24-Projects!$C$28+1),0)+IF(AND(Projects!$G$29="Yes",24&gt;=Projects!$C$29,24&lt;Projects!$C$29+Projects!$D$29),Projects!$B$29*INDEX(Curves!$B$4:$AR$4,1,24-Projects!$C$29+1),0)+IF(AND(Projects!$G$30="Yes",24&gt;=Projects!$C$30,24&lt;Projects!$C$30+Projects!$D$30),Projects!$B$30*INDEX(Curves!$B$4:$AR$4,1,24-Projects!$C$30+1),0)+IF(AND(Projects!$G$31="Yes",24&gt;=Projects!$C$31,24&lt;Projects!$C$31+Projects!$D$31),Projects!$B$31*INDEX(Curves!$B$4:$AR$4,1,24-Projects!$C$31+1),0)+IF(AND(Projects!$G$32="Yes",24&gt;=Projects!$C$32,24&lt;Projects!$C$32+Projects!$D$32),Projects!$B$32*INDEX(Curves!$B$4:$AR$4,1,24-Projects!$C$32+1),0)+IF(AND(Projects!$G$33="Yes",24&gt;=Projects!$C$33,24&lt;Projects!$C$33+Projects!$D$33),Projects!$B$33*INDEX(Curves!$B$4:$AR$4,1,24-Projects!$C$33+1),0)+IF(AND(Projects!$G$34="Yes",24&gt;=Projects!$C$34,24&lt;Projects!$C$34+Projects!$D$34),Projects!$B$34*INDEX(Curves!$B$4:$AR$4,1,24-Projects!$C$34+1),0)+IF(AND(Projects!$G$35="Yes",24&gt;=Projects!$C$35,24&lt;Projects!$C$35+Projects!$D$35),Projects!$B$35*INDEX(Curves!$B$4:$AR$4,1,24-Projects!$C$35+1),0)+IF(AND(Projects!$G$36="Yes",24&gt;=Projects!$C$36,24&lt;Projects!$C$36+Projects!$D$36),Projects!$B$36*INDEX(Curves!$B$4:$AR$4,1,24-Projects!$C$36+1),0)+IF(AND(Projects!$G$37="Yes",24&gt;=Projects!$C$37,24&lt;Projects!$C$37+Projects!$D$37),Projects!$B$37*INDEX(Curves!$B$4:$AR$4,1,24-Projects!$C$37+1),0)+IF(AND(Projects!$G$38="Yes",24&gt;=Projects!$C$38,24&lt;Projects!$C$38+Projects!$D$38),Projects!$B$38*INDEX(Curves!$B$4:$AR$4,1,24-Projects!$C$38+1),0)+IF(AND(Projects!$G$39="Yes",24&gt;=Projects!$C$39,24&lt;Projects!$C$39+Projects!$D$39),Projects!$B$39*INDEX(Curves!$B$4:$AR$4,1,24-Projects!$C$39+1),0)+IF(AND(Projects!$G$40="Yes",24&gt;=Projects!$C$40,24&lt;Projects!$C$40+Projects!$D$40),Projects!$B$40*INDEX(Curves!$B$4:$AR$4,1,24-Projects!$C$40+1),0)+IF(AND(Projects!$G$41="Yes",24&gt;=Projects!$C$41,24&lt;Projects!$C$41+Projects!$D$41),Projects!$B$41*INDEX(Curves!$B$4:$AR$4,1,24-Projects!$C$41+1),0)+IF(AND(Projects!$G$42="Yes",24&gt;=Projects!$C$42,24&lt;Projects!$C$42+Projects!$D$42),Projects!$B$42*INDEX(Curves!$B$4:$AR$4,1,24-Projects!$C$42+1),0)+IF(AND(Projects!$G$43="Yes",24&gt;=Projects!$C$43,24&lt;Projects!$C$43+Projects!$D$43),Projects!$B$43*INDEX(Curves!$B$4:$AR$4,1,24-Projects!$C$43+1),0)+IF(AND(Projects!$G$44="Yes",24&gt;=Projects!$C$44,24&lt;Projects!$C$44+Projects!$D$44),Projects!$B$44*INDEX(Curves!$B$4:$AR$4,1,24-Projects!$C$44+1),0)+IF(AND(Projects!$G$45="Yes",24&gt;=Projects!$C$45,24&lt;Projects!$C$45+Projects!$D$45),Projects!$B$45*INDEX(Curves!$B$4:$AR$4,1,24-Projects!$C$45+1),0)+IF(AND(Projects!$G$46="Yes",24&gt;=Projects!$C$46,24&lt;Projects!$C$46+Projects!$D$46),Projects!$B$46*INDEX(Curves!$B$4:$AR$4,1,24-Projects!$C$46+1),0)</f>
        <v>5383773.30390194</v>
      </c>
      <c r="AD96" s="315" t="n">
        <f aca="false">IF(AND(Projects!$G$17="Yes",25&gt;=Projects!$C$17,25&lt;Projects!$C$17+Projects!$D$17),Projects!$B$17*INDEX(Curves!$B$4:$AR$4,1,25-Projects!$C$17+1),0)+IF(AND(Projects!$G$18="Yes",25&gt;=Projects!$C$18,25&lt;Projects!$C$18+Projects!$D$18),Projects!$B$18*INDEX(Curves!$B$4:$AR$4,1,25-Projects!$C$18+1),0)+IF(AND(Projects!$G$19="Yes",25&gt;=Projects!$C$19,25&lt;Projects!$C$19+Projects!$D$19),Projects!$B$19*INDEX(Curves!$B$4:$AR$4,1,25-Projects!$C$19+1),0)+IF(AND(Projects!$G$20="Yes",25&gt;=Projects!$C$20,25&lt;Projects!$C$20+Projects!$D$20),Projects!$B$20*INDEX(Curves!$B$4:$AR$4,1,25-Projects!$C$20+1),0)+IF(AND(Projects!$G$21="Yes",25&gt;=Projects!$C$21,25&lt;Projects!$C$21+Projects!$D$21),Projects!$B$21*INDEX(Curves!$B$4:$AR$4,1,25-Projects!$C$21+1),0)+IF(AND(Projects!$G$22="Yes",25&gt;=Projects!$C$22,25&lt;Projects!$C$22+Projects!$D$22),Projects!$B$22*INDEX(Curves!$B$4:$AR$4,1,25-Projects!$C$22+1),0)+IF(AND(Projects!$G$23="Yes",25&gt;=Projects!$C$23,25&lt;Projects!$C$23+Projects!$D$23),Projects!$B$23*INDEX(Curves!$B$4:$AR$4,1,25-Projects!$C$23+1),0)+IF(AND(Projects!$G$24="Yes",25&gt;=Projects!$C$24,25&lt;Projects!$C$24+Projects!$D$24),Projects!$B$24*INDEX(Curves!$B$4:$AR$4,1,25-Projects!$C$24+1),0)+IF(AND(Projects!$G$25="Yes",25&gt;=Projects!$C$25,25&lt;Projects!$C$25+Projects!$D$25),Projects!$B$25*INDEX(Curves!$B$4:$AR$4,1,25-Projects!$C$25+1),0)+IF(AND(Projects!$G$26="Yes",25&gt;=Projects!$C$26,25&lt;Projects!$C$26+Projects!$D$26),Projects!$B$26*INDEX(Curves!$B$4:$AR$4,1,25-Projects!$C$26+1),0)+IF(AND(Projects!$G$27="Yes",25&gt;=Projects!$C$27,25&lt;Projects!$C$27+Projects!$D$27),Projects!$B$27*INDEX(Curves!$B$4:$AR$4,1,25-Projects!$C$27+1),0)+IF(AND(Projects!$G$28="Yes",25&gt;=Projects!$C$28,25&lt;Projects!$C$28+Projects!$D$28),Projects!$B$28*INDEX(Curves!$B$4:$AR$4,1,25-Projects!$C$28+1),0)+IF(AND(Projects!$G$29="Yes",25&gt;=Projects!$C$29,25&lt;Projects!$C$29+Projects!$D$29),Projects!$B$29*INDEX(Curves!$B$4:$AR$4,1,25-Projects!$C$29+1),0)+IF(AND(Projects!$G$30="Yes",25&gt;=Projects!$C$30,25&lt;Projects!$C$30+Projects!$D$30),Projects!$B$30*INDEX(Curves!$B$4:$AR$4,1,25-Projects!$C$30+1),0)+IF(AND(Projects!$G$31="Yes",25&gt;=Projects!$C$31,25&lt;Projects!$C$31+Projects!$D$31),Projects!$B$31*INDEX(Curves!$B$4:$AR$4,1,25-Projects!$C$31+1),0)+IF(AND(Projects!$G$32="Yes",25&gt;=Projects!$C$32,25&lt;Projects!$C$32+Projects!$D$32),Projects!$B$32*INDEX(Curves!$B$4:$AR$4,1,25-Projects!$C$32+1),0)+IF(AND(Projects!$G$33="Yes",25&gt;=Projects!$C$33,25&lt;Projects!$C$33+Projects!$D$33),Projects!$B$33*INDEX(Curves!$B$4:$AR$4,1,25-Projects!$C$33+1),0)+IF(AND(Projects!$G$34="Yes",25&gt;=Projects!$C$34,25&lt;Projects!$C$34+Projects!$D$34),Projects!$B$34*INDEX(Curves!$B$4:$AR$4,1,25-Projects!$C$34+1),0)+IF(AND(Projects!$G$35="Yes",25&gt;=Projects!$C$35,25&lt;Projects!$C$35+Projects!$D$35),Projects!$B$35*INDEX(Curves!$B$4:$AR$4,1,25-Projects!$C$35+1),0)+IF(AND(Projects!$G$36="Yes",25&gt;=Projects!$C$36,25&lt;Projects!$C$36+Projects!$D$36),Projects!$B$36*INDEX(Curves!$B$4:$AR$4,1,25-Projects!$C$36+1),0)+IF(AND(Projects!$G$37="Yes",25&gt;=Projects!$C$37,25&lt;Projects!$C$37+Projects!$D$37),Projects!$B$37*INDEX(Curves!$B$4:$AR$4,1,25-Projects!$C$37+1),0)+IF(AND(Projects!$G$38="Yes",25&gt;=Projects!$C$38,25&lt;Projects!$C$38+Projects!$D$38),Projects!$B$38*INDEX(Curves!$B$4:$AR$4,1,25-Projects!$C$38+1),0)+IF(AND(Projects!$G$39="Yes",25&gt;=Projects!$C$39,25&lt;Projects!$C$39+Projects!$D$39),Projects!$B$39*INDEX(Curves!$B$4:$AR$4,1,25-Projects!$C$39+1),0)+IF(AND(Projects!$G$40="Yes",25&gt;=Projects!$C$40,25&lt;Projects!$C$40+Projects!$D$40),Projects!$B$40*INDEX(Curves!$B$4:$AR$4,1,25-Projects!$C$40+1),0)+IF(AND(Projects!$G$41="Yes",25&gt;=Projects!$C$41,25&lt;Projects!$C$41+Projects!$D$41),Projects!$B$41*INDEX(Curves!$B$4:$AR$4,1,25-Projects!$C$41+1),0)+IF(AND(Projects!$G$42="Yes",25&gt;=Projects!$C$42,25&lt;Projects!$C$42+Projects!$D$42),Projects!$B$42*INDEX(Curves!$B$4:$AR$4,1,25-Projects!$C$42+1),0)+IF(AND(Projects!$G$43="Yes",25&gt;=Projects!$C$43,25&lt;Projects!$C$43+Projects!$D$43),Projects!$B$43*INDEX(Curves!$B$4:$AR$4,1,25-Projects!$C$43+1),0)+IF(AND(Projects!$G$44="Yes",25&gt;=Projects!$C$44,25&lt;Projects!$C$44+Projects!$D$44),Projects!$B$44*INDEX(Curves!$B$4:$AR$4,1,25-Projects!$C$44+1),0)+IF(AND(Projects!$G$45="Yes",25&gt;=Projects!$C$45,25&lt;Projects!$C$45+Projects!$D$45),Projects!$B$45*INDEX(Curves!$B$4:$AR$4,1,25-Projects!$C$45+1),0)+IF(AND(Projects!$G$46="Yes",25&gt;=Projects!$C$46,25&lt;Projects!$C$46+Projects!$D$46),Projects!$B$46*INDEX(Curves!$B$4:$AR$4,1,25-Projects!$C$46+1),0)</f>
        <v>5404307.60273776</v>
      </c>
      <c r="AE96" s="315" t="n">
        <f aca="false">IF(AND(Projects!$G$17="Yes",26&gt;=Projects!$C$17,26&lt;Projects!$C$17+Projects!$D$17),Projects!$B$17*INDEX(Curves!$B$4:$AR$4,1,26-Projects!$C$17+1),0)+IF(AND(Projects!$G$18="Yes",26&gt;=Projects!$C$18,26&lt;Projects!$C$18+Projects!$D$18),Projects!$B$18*INDEX(Curves!$B$4:$AR$4,1,26-Projects!$C$18+1),0)+IF(AND(Projects!$G$19="Yes",26&gt;=Projects!$C$19,26&lt;Projects!$C$19+Projects!$D$19),Projects!$B$19*INDEX(Curves!$B$4:$AR$4,1,26-Projects!$C$19+1),0)+IF(AND(Projects!$G$20="Yes",26&gt;=Projects!$C$20,26&lt;Projects!$C$20+Projects!$D$20),Projects!$B$20*INDEX(Curves!$B$4:$AR$4,1,26-Projects!$C$20+1),0)+IF(AND(Projects!$G$21="Yes",26&gt;=Projects!$C$21,26&lt;Projects!$C$21+Projects!$D$21),Projects!$B$21*INDEX(Curves!$B$4:$AR$4,1,26-Projects!$C$21+1),0)+IF(AND(Projects!$G$22="Yes",26&gt;=Projects!$C$22,26&lt;Projects!$C$22+Projects!$D$22),Projects!$B$22*INDEX(Curves!$B$4:$AR$4,1,26-Projects!$C$22+1),0)+IF(AND(Projects!$G$23="Yes",26&gt;=Projects!$C$23,26&lt;Projects!$C$23+Projects!$D$23),Projects!$B$23*INDEX(Curves!$B$4:$AR$4,1,26-Projects!$C$23+1),0)+IF(AND(Projects!$G$24="Yes",26&gt;=Projects!$C$24,26&lt;Projects!$C$24+Projects!$D$24),Projects!$B$24*INDEX(Curves!$B$4:$AR$4,1,26-Projects!$C$24+1),0)+IF(AND(Projects!$G$25="Yes",26&gt;=Projects!$C$25,26&lt;Projects!$C$25+Projects!$D$25),Projects!$B$25*INDEX(Curves!$B$4:$AR$4,1,26-Projects!$C$25+1),0)+IF(AND(Projects!$G$26="Yes",26&gt;=Projects!$C$26,26&lt;Projects!$C$26+Projects!$D$26),Projects!$B$26*INDEX(Curves!$B$4:$AR$4,1,26-Projects!$C$26+1),0)+IF(AND(Projects!$G$27="Yes",26&gt;=Projects!$C$27,26&lt;Projects!$C$27+Projects!$D$27),Projects!$B$27*INDEX(Curves!$B$4:$AR$4,1,26-Projects!$C$27+1),0)+IF(AND(Projects!$G$28="Yes",26&gt;=Projects!$C$28,26&lt;Projects!$C$28+Projects!$D$28),Projects!$B$28*INDEX(Curves!$B$4:$AR$4,1,26-Projects!$C$28+1),0)+IF(AND(Projects!$G$29="Yes",26&gt;=Projects!$C$29,26&lt;Projects!$C$29+Projects!$D$29),Projects!$B$29*INDEX(Curves!$B$4:$AR$4,1,26-Projects!$C$29+1),0)+IF(AND(Projects!$G$30="Yes",26&gt;=Projects!$C$30,26&lt;Projects!$C$30+Projects!$D$30),Projects!$B$30*INDEX(Curves!$B$4:$AR$4,1,26-Projects!$C$30+1),0)+IF(AND(Projects!$G$31="Yes",26&gt;=Projects!$C$31,26&lt;Projects!$C$31+Projects!$D$31),Projects!$B$31*INDEX(Curves!$B$4:$AR$4,1,26-Projects!$C$31+1),0)+IF(AND(Projects!$G$32="Yes",26&gt;=Projects!$C$32,26&lt;Projects!$C$32+Projects!$D$32),Projects!$B$32*INDEX(Curves!$B$4:$AR$4,1,26-Projects!$C$32+1),0)+IF(AND(Projects!$G$33="Yes",26&gt;=Projects!$C$33,26&lt;Projects!$C$33+Projects!$D$33),Projects!$B$33*INDEX(Curves!$B$4:$AR$4,1,26-Projects!$C$33+1),0)+IF(AND(Projects!$G$34="Yes",26&gt;=Projects!$C$34,26&lt;Projects!$C$34+Projects!$D$34),Projects!$B$34*INDEX(Curves!$B$4:$AR$4,1,26-Projects!$C$34+1),0)+IF(AND(Projects!$G$35="Yes",26&gt;=Projects!$C$35,26&lt;Projects!$C$35+Projects!$D$35),Projects!$B$35*INDEX(Curves!$B$4:$AR$4,1,26-Projects!$C$35+1),0)+IF(AND(Projects!$G$36="Yes",26&gt;=Projects!$C$36,26&lt;Projects!$C$36+Projects!$D$36),Projects!$B$36*INDEX(Curves!$B$4:$AR$4,1,26-Projects!$C$36+1),0)+IF(AND(Projects!$G$37="Yes",26&gt;=Projects!$C$37,26&lt;Projects!$C$37+Projects!$D$37),Projects!$B$37*INDEX(Curves!$B$4:$AR$4,1,26-Projects!$C$37+1),0)+IF(AND(Projects!$G$38="Yes",26&gt;=Projects!$C$38,26&lt;Projects!$C$38+Projects!$D$38),Projects!$B$38*INDEX(Curves!$B$4:$AR$4,1,26-Projects!$C$38+1),0)+IF(AND(Projects!$G$39="Yes",26&gt;=Projects!$C$39,26&lt;Projects!$C$39+Projects!$D$39),Projects!$B$39*INDEX(Curves!$B$4:$AR$4,1,26-Projects!$C$39+1),0)+IF(AND(Projects!$G$40="Yes",26&gt;=Projects!$C$40,26&lt;Projects!$C$40+Projects!$D$40),Projects!$B$40*INDEX(Curves!$B$4:$AR$4,1,26-Projects!$C$40+1),0)+IF(AND(Projects!$G$41="Yes",26&gt;=Projects!$C$41,26&lt;Projects!$C$41+Projects!$D$41),Projects!$B$41*INDEX(Curves!$B$4:$AR$4,1,26-Projects!$C$41+1),0)+IF(AND(Projects!$G$42="Yes",26&gt;=Projects!$C$42,26&lt;Projects!$C$42+Projects!$D$42),Projects!$B$42*INDEX(Curves!$B$4:$AR$4,1,26-Projects!$C$42+1),0)+IF(AND(Projects!$G$43="Yes",26&gt;=Projects!$C$43,26&lt;Projects!$C$43+Projects!$D$43),Projects!$B$43*INDEX(Curves!$B$4:$AR$4,1,26-Projects!$C$43+1),0)+IF(AND(Projects!$G$44="Yes",26&gt;=Projects!$C$44,26&lt;Projects!$C$44+Projects!$D$44),Projects!$B$44*INDEX(Curves!$B$4:$AR$4,1,26-Projects!$C$44+1),0)+IF(AND(Projects!$G$45="Yes",26&gt;=Projects!$C$45,26&lt;Projects!$C$45+Projects!$D$45),Projects!$B$45*INDEX(Curves!$B$4:$AR$4,1,26-Projects!$C$45+1),0)+IF(AND(Projects!$G$46="Yes",26&gt;=Projects!$C$46,26&lt;Projects!$C$46+Projects!$D$46),Projects!$B$46*INDEX(Curves!$B$4:$AR$4,1,26-Projects!$C$46+1),0)</f>
        <v>5324436.35834396</v>
      </c>
      <c r="AF96" s="315" t="n">
        <f aca="false">IF(AND(Projects!$G$17="Yes",27&gt;=Projects!$C$17,27&lt;Projects!$C$17+Projects!$D$17),Projects!$B$17*INDEX(Curves!$B$4:$AR$4,1,27-Projects!$C$17+1),0)+IF(AND(Projects!$G$18="Yes",27&gt;=Projects!$C$18,27&lt;Projects!$C$18+Projects!$D$18),Projects!$B$18*INDEX(Curves!$B$4:$AR$4,1,27-Projects!$C$18+1),0)+IF(AND(Projects!$G$19="Yes",27&gt;=Projects!$C$19,27&lt;Projects!$C$19+Projects!$D$19),Projects!$B$19*INDEX(Curves!$B$4:$AR$4,1,27-Projects!$C$19+1),0)+IF(AND(Projects!$G$20="Yes",27&gt;=Projects!$C$20,27&lt;Projects!$C$20+Projects!$D$20),Projects!$B$20*INDEX(Curves!$B$4:$AR$4,1,27-Projects!$C$20+1),0)+IF(AND(Projects!$G$21="Yes",27&gt;=Projects!$C$21,27&lt;Projects!$C$21+Projects!$D$21),Projects!$B$21*INDEX(Curves!$B$4:$AR$4,1,27-Projects!$C$21+1),0)+IF(AND(Projects!$G$22="Yes",27&gt;=Projects!$C$22,27&lt;Projects!$C$22+Projects!$D$22),Projects!$B$22*INDEX(Curves!$B$4:$AR$4,1,27-Projects!$C$22+1),0)+IF(AND(Projects!$G$23="Yes",27&gt;=Projects!$C$23,27&lt;Projects!$C$23+Projects!$D$23),Projects!$B$23*INDEX(Curves!$B$4:$AR$4,1,27-Projects!$C$23+1),0)+IF(AND(Projects!$G$24="Yes",27&gt;=Projects!$C$24,27&lt;Projects!$C$24+Projects!$D$24),Projects!$B$24*INDEX(Curves!$B$4:$AR$4,1,27-Projects!$C$24+1),0)+IF(AND(Projects!$G$25="Yes",27&gt;=Projects!$C$25,27&lt;Projects!$C$25+Projects!$D$25),Projects!$B$25*INDEX(Curves!$B$4:$AR$4,1,27-Projects!$C$25+1),0)+IF(AND(Projects!$G$26="Yes",27&gt;=Projects!$C$26,27&lt;Projects!$C$26+Projects!$D$26),Projects!$B$26*INDEX(Curves!$B$4:$AR$4,1,27-Projects!$C$26+1),0)+IF(AND(Projects!$G$27="Yes",27&gt;=Projects!$C$27,27&lt;Projects!$C$27+Projects!$D$27),Projects!$B$27*INDEX(Curves!$B$4:$AR$4,1,27-Projects!$C$27+1),0)+IF(AND(Projects!$G$28="Yes",27&gt;=Projects!$C$28,27&lt;Projects!$C$28+Projects!$D$28),Projects!$B$28*INDEX(Curves!$B$4:$AR$4,1,27-Projects!$C$28+1),0)+IF(AND(Projects!$G$29="Yes",27&gt;=Projects!$C$29,27&lt;Projects!$C$29+Projects!$D$29),Projects!$B$29*INDEX(Curves!$B$4:$AR$4,1,27-Projects!$C$29+1),0)+IF(AND(Projects!$G$30="Yes",27&gt;=Projects!$C$30,27&lt;Projects!$C$30+Projects!$D$30),Projects!$B$30*INDEX(Curves!$B$4:$AR$4,1,27-Projects!$C$30+1),0)+IF(AND(Projects!$G$31="Yes",27&gt;=Projects!$C$31,27&lt;Projects!$C$31+Projects!$D$31),Projects!$B$31*INDEX(Curves!$B$4:$AR$4,1,27-Projects!$C$31+1),0)+IF(AND(Projects!$G$32="Yes",27&gt;=Projects!$C$32,27&lt;Projects!$C$32+Projects!$D$32),Projects!$B$32*INDEX(Curves!$B$4:$AR$4,1,27-Projects!$C$32+1),0)+IF(AND(Projects!$G$33="Yes",27&gt;=Projects!$C$33,27&lt;Projects!$C$33+Projects!$D$33),Projects!$B$33*INDEX(Curves!$B$4:$AR$4,1,27-Projects!$C$33+1),0)+IF(AND(Projects!$G$34="Yes",27&gt;=Projects!$C$34,27&lt;Projects!$C$34+Projects!$D$34),Projects!$B$34*INDEX(Curves!$B$4:$AR$4,1,27-Projects!$C$34+1),0)+IF(AND(Projects!$G$35="Yes",27&gt;=Projects!$C$35,27&lt;Projects!$C$35+Projects!$D$35),Projects!$B$35*INDEX(Curves!$B$4:$AR$4,1,27-Projects!$C$35+1),0)+IF(AND(Projects!$G$36="Yes",27&gt;=Projects!$C$36,27&lt;Projects!$C$36+Projects!$D$36),Projects!$B$36*INDEX(Curves!$B$4:$AR$4,1,27-Projects!$C$36+1),0)+IF(AND(Projects!$G$37="Yes",27&gt;=Projects!$C$37,27&lt;Projects!$C$37+Projects!$D$37),Projects!$B$37*INDEX(Curves!$B$4:$AR$4,1,27-Projects!$C$37+1),0)+IF(AND(Projects!$G$38="Yes",27&gt;=Projects!$C$38,27&lt;Projects!$C$38+Projects!$D$38),Projects!$B$38*INDEX(Curves!$B$4:$AR$4,1,27-Projects!$C$38+1),0)+IF(AND(Projects!$G$39="Yes",27&gt;=Projects!$C$39,27&lt;Projects!$C$39+Projects!$D$39),Projects!$B$39*INDEX(Curves!$B$4:$AR$4,1,27-Projects!$C$39+1),0)+IF(AND(Projects!$G$40="Yes",27&gt;=Projects!$C$40,27&lt;Projects!$C$40+Projects!$D$40),Projects!$B$40*INDEX(Curves!$B$4:$AR$4,1,27-Projects!$C$40+1),0)+IF(AND(Projects!$G$41="Yes",27&gt;=Projects!$C$41,27&lt;Projects!$C$41+Projects!$D$41),Projects!$B$41*INDEX(Curves!$B$4:$AR$4,1,27-Projects!$C$41+1),0)+IF(AND(Projects!$G$42="Yes",27&gt;=Projects!$C$42,27&lt;Projects!$C$42+Projects!$D$42),Projects!$B$42*INDEX(Curves!$B$4:$AR$4,1,27-Projects!$C$42+1),0)+IF(AND(Projects!$G$43="Yes",27&gt;=Projects!$C$43,27&lt;Projects!$C$43+Projects!$D$43),Projects!$B$43*INDEX(Curves!$B$4:$AR$4,1,27-Projects!$C$43+1),0)+IF(AND(Projects!$G$44="Yes",27&gt;=Projects!$C$44,27&lt;Projects!$C$44+Projects!$D$44),Projects!$B$44*INDEX(Curves!$B$4:$AR$4,1,27-Projects!$C$44+1),0)+IF(AND(Projects!$G$45="Yes",27&gt;=Projects!$C$45,27&lt;Projects!$C$45+Projects!$D$45),Projects!$B$45*INDEX(Curves!$B$4:$AR$4,1,27-Projects!$C$45+1),0)+IF(AND(Projects!$G$46="Yes",27&gt;=Projects!$C$46,27&lt;Projects!$C$46+Projects!$D$46),Projects!$B$46*INDEX(Curves!$B$4:$AR$4,1,27-Projects!$C$46+1),0)</f>
        <v>5148069.02811007</v>
      </c>
      <c r="AG96" s="315" t="n">
        <f aca="false">IF(AND(Projects!$G$17="Yes",28&gt;=Projects!$C$17,28&lt;Projects!$C$17+Projects!$D$17),Projects!$B$17*INDEX(Curves!$B$4:$AR$4,1,28-Projects!$C$17+1),0)+IF(AND(Projects!$G$18="Yes",28&gt;=Projects!$C$18,28&lt;Projects!$C$18+Projects!$D$18),Projects!$B$18*INDEX(Curves!$B$4:$AR$4,1,28-Projects!$C$18+1),0)+IF(AND(Projects!$G$19="Yes",28&gt;=Projects!$C$19,28&lt;Projects!$C$19+Projects!$D$19),Projects!$B$19*INDEX(Curves!$B$4:$AR$4,1,28-Projects!$C$19+1),0)+IF(AND(Projects!$G$20="Yes",28&gt;=Projects!$C$20,28&lt;Projects!$C$20+Projects!$D$20),Projects!$B$20*INDEX(Curves!$B$4:$AR$4,1,28-Projects!$C$20+1),0)+IF(AND(Projects!$G$21="Yes",28&gt;=Projects!$C$21,28&lt;Projects!$C$21+Projects!$D$21),Projects!$B$21*INDEX(Curves!$B$4:$AR$4,1,28-Projects!$C$21+1),0)+IF(AND(Projects!$G$22="Yes",28&gt;=Projects!$C$22,28&lt;Projects!$C$22+Projects!$D$22),Projects!$B$22*INDEX(Curves!$B$4:$AR$4,1,28-Projects!$C$22+1),0)+IF(AND(Projects!$G$23="Yes",28&gt;=Projects!$C$23,28&lt;Projects!$C$23+Projects!$D$23),Projects!$B$23*INDEX(Curves!$B$4:$AR$4,1,28-Projects!$C$23+1),0)+IF(AND(Projects!$G$24="Yes",28&gt;=Projects!$C$24,28&lt;Projects!$C$24+Projects!$D$24),Projects!$B$24*INDEX(Curves!$B$4:$AR$4,1,28-Projects!$C$24+1),0)+IF(AND(Projects!$G$25="Yes",28&gt;=Projects!$C$25,28&lt;Projects!$C$25+Projects!$D$25),Projects!$B$25*INDEX(Curves!$B$4:$AR$4,1,28-Projects!$C$25+1),0)+IF(AND(Projects!$G$26="Yes",28&gt;=Projects!$C$26,28&lt;Projects!$C$26+Projects!$D$26),Projects!$B$26*INDEX(Curves!$B$4:$AR$4,1,28-Projects!$C$26+1),0)+IF(AND(Projects!$G$27="Yes",28&gt;=Projects!$C$27,28&lt;Projects!$C$27+Projects!$D$27),Projects!$B$27*INDEX(Curves!$B$4:$AR$4,1,28-Projects!$C$27+1),0)+IF(AND(Projects!$G$28="Yes",28&gt;=Projects!$C$28,28&lt;Projects!$C$28+Projects!$D$28),Projects!$B$28*INDEX(Curves!$B$4:$AR$4,1,28-Projects!$C$28+1),0)+IF(AND(Projects!$G$29="Yes",28&gt;=Projects!$C$29,28&lt;Projects!$C$29+Projects!$D$29),Projects!$B$29*INDEX(Curves!$B$4:$AR$4,1,28-Projects!$C$29+1),0)+IF(AND(Projects!$G$30="Yes",28&gt;=Projects!$C$30,28&lt;Projects!$C$30+Projects!$D$30),Projects!$B$30*INDEX(Curves!$B$4:$AR$4,1,28-Projects!$C$30+1),0)+IF(AND(Projects!$G$31="Yes",28&gt;=Projects!$C$31,28&lt;Projects!$C$31+Projects!$D$31),Projects!$B$31*INDEX(Curves!$B$4:$AR$4,1,28-Projects!$C$31+1),0)+IF(AND(Projects!$G$32="Yes",28&gt;=Projects!$C$32,28&lt;Projects!$C$32+Projects!$D$32),Projects!$B$32*INDEX(Curves!$B$4:$AR$4,1,28-Projects!$C$32+1),0)+IF(AND(Projects!$G$33="Yes",28&gt;=Projects!$C$33,28&lt;Projects!$C$33+Projects!$D$33),Projects!$B$33*INDEX(Curves!$B$4:$AR$4,1,28-Projects!$C$33+1),0)+IF(AND(Projects!$G$34="Yes",28&gt;=Projects!$C$34,28&lt;Projects!$C$34+Projects!$D$34),Projects!$B$34*INDEX(Curves!$B$4:$AR$4,1,28-Projects!$C$34+1),0)+IF(AND(Projects!$G$35="Yes",28&gt;=Projects!$C$35,28&lt;Projects!$C$35+Projects!$D$35),Projects!$B$35*INDEX(Curves!$B$4:$AR$4,1,28-Projects!$C$35+1),0)+IF(AND(Projects!$G$36="Yes",28&gt;=Projects!$C$36,28&lt;Projects!$C$36+Projects!$D$36),Projects!$B$36*INDEX(Curves!$B$4:$AR$4,1,28-Projects!$C$36+1),0)+IF(AND(Projects!$G$37="Yes",28&gt;=Projects!$C$37,28&lt;Projects!$C$37+Projects!$D$37),Projects!$B$37*INDEX(Curves!$B$4:$AR$4,1,28-Projects!$C$37+1),0)+IF(AND(Projects!$G$38="Yes",28&gt;=Projects!$C$38,28&lt;Projects!$C$38+Projects!$D$38),Projects!$B$38*INDEX(Curves!$B$4:$AR$4,1,28-Projects!$C$38+1),0)+IF(AND(Projects!$G$39="Yes",28&gt;=Projects!$C$39,28&lt;Projects!$C$39+Projects!$D$39),Projects!$B$39*INDEX(Curves!$B$4:$AR$4,1,28-Projects!$C$39+1),0)+IF(AND(Projects!$G$40="Yes",28&gt;=Projects!$C$40,28&lt;Projects!$C$40+Projects!$D$40),Projects!$B$40*INDEX(Curves!$B$4:$AR$4,1,28-Projects!$C$40+1),0)+IF(AND(Projects!$G$41="Yes",28&gt;=Projects!$C$41,28&lt;Projects!$C$41+Projects!$D$41),Projects!$B$41*INDEX(Curves!$B$4:$AR$4,1,28-Projects!$C$41+1),0)+IF(AND(Projects!$G$42="Yes",28&gt;=Projects!$C$42,28&lt;Projects!$C$42+Projects!$D$42),Projects!$B$42*INDEX(Curves!$B$4:$AR$4,1,28-Projects!$C$42+1),0)+IF(AND(Projects!$G$43="Yes",28&gt;=Projects!$C$43,28&lt;Projects!$C$43+Projects!$D$43),Projects!$B$43*INDEX(Curves!$B$4:$AR$4,1,28-Projects!$C$43+1),0)+IF(AND(Projects!$G$44="Yes",28&gt;=Projects!$C$44,28&lt;Projects!$C$44+Projects!$D$44),Projects!$B$44*INDEX(Curves!$B$4:$AR$4,1,28-Projects!$C$44+1),0)+IF(AND(Projects!$G$45="Yes",28&gt;=Projects!$C$45,28&lt;Projects!$C$45+Projects!$D$45),Projects!$B$45*INDEX(Curves!$B$4:$AR$4,1,28-Projects!$C$45+1),0)+IF(AND(Projects!$G$46="Yes",28&gt;=Projects!$C$46,28&lt;Projects!$C$46+Projects!$D$46),Projects!$B$46*INDEX(Curves!$B$4:$AR$4,1,28-Projects!$C$46+1),0)</f>
        <v>4884308.11548131</v>
      </c>
      <c r="AH96" s="315" t="n">
        <f aca="false">IF(AND(Projects!$G$17="Yes",29&gt;=Projects!$C$17,29&lt;Projects!$C$17+Projects!$D$17),Projects!$B$17*INDEX(Curves!$B$4:$AR$4,1,29-Projects!$C$17+1),0)+IF(AND(Projects!$G$18="Yes",29&gt;=Projects!$C$18,29&lt;Projects!$C$18+Projects!$D$18),Projects!$B$18*INDEX(Curves!$B$4:$AR$4,1,29-Projects!$C$18+1),0)+IF(AND(Projects!$G$19="Yes",29&gt;=Projects!$C$19,29&lt;Projects!$C$19+Projects!$D$19),Projects!$B$19*INDEX(Curves!$B$4:$AR$4,1,29-Projects!$C$19+1),0)+IF(AND(Projects!$G$20="Yes",29&gt;=Projects!$C$20,29&lt;Projects!$C$20+Projects!$D$20),Projects!$B$20*INDEX(Curves!$B$4:$AR$4,1,29-Projects!$C$20+1),0)+IF(AND(Projects!$G$21="Yes",29&gt;=Projects!$C$21,29&lt;Projects!$C$21+Projects!$D$21),Projects!$B$21*INDEX(Curves!$B$4:$AR$4,1,29-Projects!$C$21+1),0)+IF(AND(Projects!$G$22="Yes",29&gt;=Projects!$C$22,29&lt;Projects!$C$22+Projects!$D$22),Projects!$B$22*INDEX(Curves!$B$4:$AR$4,1,29-Projects!$C$22+1),0)+IF(AND(Projects!$G$23="Yes",29&gt;=Projects!$C$23,29&lt;Projects!$C$23+Projects!$D$23),Projects!$B$23*INDEX(Curves!$B$4:$AR$4,1,29-Projects!$C$23+1),0)+IF(AND(Projects!$G$24="Yes",29&gt;=Projects!$C$24,29&lt;Projects!$C$24+Projects!$D$24),Projects!$B$24*INDEX(Curves!$B$4:$AR$4,1,29-Projects!$C$24+1),0)+IF(AND(Projects!$G$25="Yes",29&gt;=Projects!$C$25,29&lt;Projects!$C$25+Projects!$D$25),Projects!$B$25*INDEX(Curves!$B$4:$AR$4,1,29-Projects!$C$25+1),0)+IF(AND(Projects!$G$26="Yes",29&gt;=Projects!$C$26,29&lt;Projects!$C$26+Projects!$D$26),Projects!$B$26*INDEX(Curves!$B$4:$AR$4,1,29-Projects!$C$26+1),0)+IF(AND(Projects!$G$27="Yes",29&gt;=Projects!$C$27,29&lt;Projects!$C$27+Projects!$D$27),Projects!$B$27*INDEX(Curves!$B$4:$AR$4,1,29-Projects!$C$27+1),0)+IF(AND(Projects!$G$28="Yes",29&gt;=Projects!$C$28,29&lt;Projects!$C$28+Projects!$D$28),Projects!$B$28*INDEX(Curves!$B$4:$AR$4,1,29-Projects!$C$28+1),0)+IF(AND(Projects!$G$29="Yes",29&gt;=Projects!$C$29,29&lt;Projects!$C$29+Projects!$D$29),Projects!$B$29*INDEX(Curves!$B$4:$AR$4,1,29-Projects!$C$29+1),0)+IF(AND(Projects!$G$30="Yes",29&gt;=Projects!$C$30,29&lt;Projects!$C$30+Projects!$D$30),Projects!$B$30*INDEX(Curves!$B$4:$AR$4,1,29-Projects!$C$30+1),0)+IF(AND(Projects!$G$31="Yes",29&gt;=Projects!$C$31,29&lt;Projects!$C$31+Projects!$D$31),Projects!$B$31*INDEX(Curves!$B$4:$AR$4,1,29-Projects!$C$31+1),0)+IF(AND(Projects!$G$32="Yes",29&gt;=Projects!$C$32,29&lt;Projects!$C$32+Projects!$D$32),Projects!$B$32*INDEX(Curves!$B$4:$AR$4,1,29-Projects!$C$32+1),0)+IF(AND(Projects!$G$33="Yes",29&gt;=Projects!$C$33,29&lt;Projects!$C$33+Projects!$D$33),Projects!$B$33*INDEX(Curves!$B$4:$AR$4,1,29-Projects!$C$33+1),0)+IF(AND(Projects!$G$34="Yes",29&gt;=Projects!$C$34,29&lt;Projects!$C$34+Projects!$D$34),Projects!$B$34*INDEX(Curves!$B$4:$AR$4,1,29-Projects!$C$34+1),0)+IF(AND(Projects!$G$35="Yes",29&gt;=Projects!$C$35,29&lt;Projects!$C$35+Projects!$D$35),Projects!$B$35*INDEX(Curves!$B$4:$AR$4,1,29-Projects!$C$35+1),0)+IF(AND(Projects!$G$36="Yes",29&gt;=Projects!$C$36,29&lt;Projects!$C$36+Projects!$D$36),Projects!$B$36*INDEX(Curves!$B$4:$AR$4,1,29-Projects!$C$36+1),0)+IF(AND(Projects!$G$37="Yes",29&gt;=Projects!$C$37,29&lt;Projects!$C$37+Projects!$D$37),Projects!$B$37*INDEX(Curves!$B$4:$AR$4,1,29-Projects!$C$37+1),0)+IF(AND(Projects!$G$38="Yes",29&gt;=Projects!$C$38,29&lt;Projects!$C$38+Projects!$D$38),Projects!$B$38*INDEX(Curves!$B$4:$AR$4,1,29-Projects!$C$38+1),0)+IF(AND(Projects!$G$39="Yes",29&gt;=Projects!$C$39,29&lt;Projects!$C$39+Projects!$D$39),Projects!$B$39*INDEX(Curves!$B$4:$AR$4,1,29-Projects!$C$39+1),0)+IF(AND(Projects!$G$40="Yes",29&gt;=Projects!$C$40,29&lt;Projects!$C$40+Projects!$D$40),Projects!$B$40*INDEX(Curves!$B$4:$AR$4,1,29-Projects!$C$40+1),0)+IF(AND(Projects!$G$41="Yes",29&gt;=Projects!$C$41,29&lt;Projects!$C$41+Projects!$D$41),Projects!$B$41*INDEX(Curves!$B$4:$AR$4,1,29-Projects!$C$41+1),0)+IF(AND(Projects!$G$42="Yes",29&gt;=Projects!$C$42,29&lt;Projects!$C$42+Projects!$D$42),Projects!$B$42*INDEX(Curves!$B$4:$AR$4,1,29-Projects!$C$42+1),0)+IF(AND(Projects!$G$43="Yes",29&gt;=Projects!$C$43,29&lt;Projects!$C$43+Projects!$D$43),Projects!$B$43*INDEX(Curves!$B$4:$AR$4,1,29-Projects!$C$43+1),0)+IF(AND(Projects!$G$44="Yes",29&gt;=Projects!$C$44,29&lt;Projects!$C$44+Projects!$D$44),Projects!$B$44*INDEX(Curves!$B$4:$AR$4,1,29-Projects!$C$44+1),0)+IF(AND(Projects!$G$45="Yes",29&gt;=Projects!$C$45,29&lt;Projects!$C$45+Projects!$D$45),Projects!$B$45*INDEX(Curves!$B$4:$AR$4,1,29-Projects!$C$45+1),0)+IF(AND(Projects!$G$46="Yes",29&gt;=Projects!$C$46,29&lt;Projects!$C$46+Projects!$D$46),Projects!$B$46*INDEX(Curves!$B$4:$AR$4,1,29-Projects!$C$46+1),0)</f>
        <v>4228548.3695534</v>
      </c>
      <c r="AI96" s="315" t="n">
        <f aca="false">IF(AND(Projects!$G$17="Yes",30&gt;=Projects!$C$17,30&lt;Projects!$C$17+Projects!$D$17),Projects!$B$17*INDEX(Curves!$B$4:$AR$4,1,30-Projects!$C$17+1),0)+IF(AND(Projects!$G$18="Yes",30&gt;=Projects!$C$18,30&lt;Projects!$C$18+Projects!$D$18),Projects!$B$18*INDEX(Curves!$B$4:$AR$4,1,30-Projects!$C$18+1),0)+IF(AND(Projects!$G$19="Yes",30&gt;=Projects!$C$19,30&lt;Projects!$C$19+Projects!$D$19),Projects!$B$19*INDEX(Curves!$B$4:$AR$4,1,30-Projects!$C$19+1),0)+IF(AND(Projects!$G$20="Yes",30&gt;=Projects!$C$20,30&lt;Projects!$C$20+Projects!$D$20),Projects!$B$20*INDEX(Curves!$B$4:$AR$4,1,30-Projects!$C$20+1),0)+IF(AND(Projects!$G$21="Yes",30&gt;=Projects!$C$21,30&lt;Projects!$C$21+Projects!$D$21),Projects!$B$21*INDEX(Curves!$B$4:$AR$4,1,30-Projects!$C$21+1),0)+IF(AND(Projects!$G$22="Yes",30&gt;=Projects!$C$22,30&lt;Projects!$C$22+Projects!$D$22),Projects!$B$22*INDEX(Curves!$B$4:$AR$4,1,30-Projects!$C$22+1),0)+IF(AND(Projects!$G$23="Yes",30&gt;=Projects!$C$23,30&lt;Projects!$C$23+Projects!$D$23),Projects!$B$23*INDEX(Curves!$B$4:$AR$4,1,30-Projects!$C$23+1),0)+IF(AND(Projects!$G$24="Yes",30&gt;=Projects!$C$24,30&lt;Projects!$C$24+Projects!$D$24),Projects!$B$24*INDEX(Curves!$B$4:$AR$4,1,30-Projects!$C$24+1),0)+IF(AND(Projects!$G$25="Yes",30&gt;=Projects!$C$25,30&lt;Projects!$C$25+Projects!$D$25),Projects!$B$25*INDEX(Curves!$B$4:$AR$4,1,30-Projects!$C$25+1),0)+IF(AND(Projects!$G$26="Yes",30&gt;=Projects!$C$26,30&lt;Projects!$C$26+Projects!$D$26),Projects!$B$26*INDEX(Curves!$B$4:$AR$4,1,30-Projects!$C$26+1),0)+IF(AND(Projects!$G$27="Yes",30&gt;=Projects!$C$27,30&lt;Projects!$C$27+Projects!$D$27),Projects!$B$27*INDEX(Curves!$B$4:$AR$4,1,30-Projects!$C$27+1),0)+IF(AND(Projects!$G$28="Yes",30&gt;=Projects!$C$28,30&lt;Projects!$C$28+Projects!$D$28),Projects!$B$28*INDEX(Curves!$B$4:$AR$4,1,30-Projects!$C$28+1),0)+IF(AND(Projects!$G$29="Yes",30&gt;=Projects!$C$29,30&lt;Projects!$C$29+Projects!$D$29),Projects!$B$29*INDEX(Curves!$B$4:$AR$4,1,30-Projects!$C$29+1),0)+IF(AND(Projects!$G$30="Yes",30&gt;=Projects!$C$30,30&lt;Projects!$C$30+Projects!$D$30),Projects!$B$30*INDEX(Curves!$B$4:$AR$4,1,30-Projects!$C$30+1),0)+IF(AND(Projects!$G$31="Yes",30&gt;=Projects!$C$31,30&lt;Projects!$C$31+Projects!$D$31),Projects!$B$31*INDEX(Curves!$B$4:$AR$4,1,30-Projects!$C$31+1),0)+IF(AND(Projects!$G$32="Yes",30&gt;=Projects!$C$32,30&lt;Projects!$C$32+Projects!$D$32),Projects!$B$32*INDEX(Curves!$B$4:$AR$4,1,30-Projects!$C$32+1),0)+IF(AND(Projects!$G$33="Yes",30&gt;=Projects!$C$33,30&lt;Projects!$C$33+Projects!$D$33),Projects!$B$33*INDEX(Curves!$B$4:$AR$4,1,30-Projects!$C$33+1),0)+IF(AND(Projects!$G$34="Yes",30&gt;=Projects!$C$34,30&lt;Projects!$C$34+Projects!$D$34),Projects!$B$34*INDEX(Curves!$B$4:$AR$4,1,30-Projects!$C$34+1),0)+IF(AND(Projects!$G$35="Yes",30&gt;=Projects!$C$35,30&lt;Projects!$C$35+Projects!$D$35),Projects!$B$35*INDEX(Curves!$B$4:$AR$4,1,30-Projects!$C$35+1),0)+IF(AND(Projects!$G$36="Yes",30&gt;=Projects!$C$36,30&lt;Projects!$C$36+Projects!$D$36),Projects!$B$36*INDEX(Curves!$B$4:$AR$4,1,30-Projects!$C$36+1),0)+IF(AND(Projects!$G$37="Yes",30&gt;=Projects!$C$37,30&lt;Projects!$C$37+Projects!$D$37),Projects!$B$37*INDEX(Curves!$B$4:$AR$4,1,30-Projects!$C$37+1),0)+IF(AND(Projects!$G$38="Yes",30&gt;=Projects!$C$38,30&lt;Projects!$C$38+Projects!$D$38),Projects!$B$38*INDEX(Curves!$B$4:$AR$4,1,30-Projects!$C$38+1),0)+IF(AND(Projects!$G$39="Yes",30&gt;=Projects!$C$39,30&lt;Projects!$C$39+Projects!$D$39),Projects!$B$39*INDEX(Curves!$B$4:$AR$4,1,30-Projects!$C$39+1),0)+IF(AND(Projects!$G$40="Yes",30&gt;=Projects!$C$40,30&lt;Projects!$C$40+Projects!$D$40),Projects!$B$40*INDEX(Curves!$B$4:$AR$4,1,30-Projects!$C$40+1),0)+IF(AND(Projects!$G$41="Yes",30&gt;=Projects!$C$41,30&lt;Projects!$C$41+Projects!$D$41),Projects!$B$41*INDEX(Curves!$B$4:$AR$4,1,30-Projects!$C$41+1),0)+IF(AND(Projects!$G$42="Yes",30&gt;=Projects!$C$42,30&lt;Projects!$C$42+Projects!$D$42),Projects!$B$42*INDEX(Curves!$B$4:$AR$4,1,30-Projects!$C$42+1),0)+IF(AND(Projects!$G$43="Yes",30&gt;=Projects!$C$43,30&lt;Projects!$C$43+Projects!$D$43),Projects!$B$43*INDEX(Curves!$B$4:$AR$4,1,30-Projects!$C$43+1),0)+IF(AND(Projects!$G$44="Yes",30&gt;=Projects!$C$44,30&lt;Projects!$C$44+Projects!$D$44),Projects!$B$44*INDEX(Curves!$B$4:$AR$4,1,30-Projects!$C$44+1),0)+IF(AND(Projects!$G$45="Yes",30&gt;=Projects!$C$45,30&lt;Projects!$C$45+Projects!$D$45),Projects!$B$45*INDEX(Curves!$B$4:$AR$4,1,30-Projects!$C$45+1),0)+IF(AND(Projects!$G$46="Yes",30&gt;=Projects!$C$46,30&lt;Projects!$C$46+Projects!$D$46),Projects!$B$46*INDEX(Curves!$B$4:$AR$4,1,30-Projects!$C$46+1),0)</f>
        <v>3906645.40265656</v>
      </c>
      <c r="AJ96" s="315" t="n">
        <f aca="false">IF(AND(Projects!$G$17="Yes",31&gt;=Projects!$C$17,31&lt;Projects!$C$17+Projects!$D$17),Projects!$B$17*INDEX(Curves!$B$4:$AR$4,1,31-Projects!$C$17+1),0)+IF(AND(Projects!$G$18="Yes",31&gt;=Projects!$C$18,31&lt;Projects!$C$18+Projects!$D$18),Projects!$B$18*INDEX(Curves!$B$4:$AR$4,1,31-Projects!$C$18+1),0)+IF(AND(Projects!$G$19="Yes",31&gt;=Projects!$C$19,31&lt;Projects!$C$19+Projects!$D$19),Projects!$B$19*INDEX(Curves!$B$4:$AR$4,1,31-Projects!$C$19+1),0)+IF(AND(Projects!$G$20="Yes",31&gt;=Projects!$C$20,31&lt;Projects!$C$20+Projects!$D$20),Projects!$B$20*INDEX(Curves!$B$4:$AR$4,1,31-Projects!$C$20+1),0)+IF(AND(Projects!$G$21="Yes",31&gt;=Projects!$C$21,31&lt;Projects!$C$21+Projects!$D$21),Projects!$B$21*INDEX(Curves!$B$4:$AR$4,1,31-Projects!$C$21+1),0)+IF(AND(Projects!$G$22="Yes",31&gt;=Projects!$C$22,31&lt;Projects!$C$22+Projects!$D$22),Projects!$B$22*INDEX(Curves!$B$4:$AR$4,1,31-Projects!$C$22+1),0)+IF(AND(Projects!$G$23="Yes",31&gt;=Projects!$C$23,31&lt;Projects!$C$23+Projects!$D$23),Projects!$B$23*INDEX(Curves!$B$4:$AR$4,1,31-Projects!$C$23+1),0)+IF(AND(Projects!$G$24="Yes",31&gt;=Projects!$C$24,31&lt;Projects!$C$24+Projects!$D$24),Projects!$B$24*INDEX(Curves!$B$4:$AR$4,1,31-Projects!$C$24+1),0)+IF(AND(Projects!$G$25="Yes",31&gt;=Projects!$C$25,31&lt;Projects!$C$25+Projects!$D$25),Projects!$B$25*INDEX(Curves!$B$4:$AR$4,1,31-Projects!$C$25+1),0)+IF(AND(Projects!$G$26="Yes",31&gt;=Projects!$C$26,31&lt;Projects!$C$26+Projects!$D$26),Projects!$B$26*INDEX(Curves!$B$4:$AR$4,1,31-Projects!$C$26+1),0)+IF(AND(Projects!$G$27="Yes",31&gt;=Projects!$C$27,31&lt;Projects!$C$27+Projects!$D$27),Projects!$B$27*INDEX(Curves!$B$4:$AR$4,1,31-Projects!$C$27+1),0)+IF(AND(Projects!$G$28="Yes",31&gt;=Projects!$C$28,31&lt;Projects!$C$28+Projects!$D$28),Projects!$B$28*INDEX(Curves!$B$4:$AR$4,1,31-Projects!$C$28+1),0)+IF(AND(Projects!$G$29="Yes",31&gt;=Projects!$C$29,31&lt;Projects!$C$29+Projects!$D$29),Projects!$B$29*INDEX(Curves!$B$4:$AR$4,1,31-Projects!$C$29+1),0)+IF(AND(Projects!$G$30="Yes",31&gt;=Projects!$C$30,31&lt;Projects!$C$30+Projects!$D$30),Projects!$B$30*INDEX(Curves!$B$4:$AR$4,1,31-Projects!$C$30+1),0)+IF(AND(Projects!$G$31="Yes",31&gt;=Projects!$C$31,31&lt;Projects!$C$31+Projects!$D$31),Projects!$B$31*INDEX(Curves!$B$4:$AR$4,1,31-Projects!$C$31+1),0)+IF(AND(Projects!$G$32="Yes",31&gt;=Projects!$C$32,31&lt;Projects!$C$32+Projects!$D$32),Projects!$B$32*INDEX(Curves!$B$4:$AR$4,1,31-Projects!$C$32+1),0)+IF(AND(Projects!$G$33="Yes",31&gt;=Projects!$C$33,31&lt;Projects!$C$33+Projects!$D$33),Projects!$B$33*INDEX(Curves!$B$4:$AR$4,1,31-Projects!$C$33+1),0)+IF(AND(Projects!$G$34="Yes",31&gt;=Projects!$C$34,31&lt;Projects!$C$34+Projects!$D$34),Projects!$B$34*INDEX(Curves!$B$4:$AR$4,1,31-Projects!$C$34+1),0)+IF(AND(Projects!$G$35="Yes",31&gt;=Projects!$C$35,31&lt;Projects!$C$35+Projects!$D$35),Projects!$B$35*INDEX(Curves!$B$4:$AR$4,1,31-Projects!$C$35+1),0)+IF(AND(Projects!$G$36="Yes",31&gt;=Projects!$C$36,31&lt;Projects!$C$36+Projects!$D$36),Projects!$B$36*INDEX(Curves!$B$4:$AR$4,1,31-Projects!$C$36+1),0)+IF(AND(Projects!$G$37="Yes",31&gt;=Projects!$C$37,31&lt;Projects!$C$37+Projects!$D$37),Projects!$B$37*INDEX(Curves!$B$4:$AR$4,1,31-Projects!$C$37+1),0)+IF(AND(Projects!$G$38="Yes",31&gt;=Projects!$C$38,31&lt;Projects!$C$38+Projects!$D$38),Projects!$B$38*INDEX(Curves!$B$4:$AR$4,1,31-Projects!$C$38+1),0)+IF(AND(Projects!$G$39="Yes",31&gt;=Projects!$C$39,31&lt;Projects!$C$39+Projects!$D$39),Projects!$B$39*INDEX(Curves!$B$4:$AR$4,1,31-Projects!$C$39+1),0)+IF(AND(Projects!$G$40="Yes",31&gt;=Projects!$C$40,31&lt;Projects!$C$40+Projects!$D$40),Projects!$B$40*INDEX(Curves!$B$4:$AR$4,1,31-Projects!$C$40+1),0)+IF(AND(Projects!$G$41="Yes",31&gt;=Projects!$C$41,31&lt;Projects!$C$41+Projects!$D$41),Projects!$B$41*INDEX(Curves!$B$4:$AR$4,1,31-Projects!$C$41+1),0)+IF(AND(Projects!$G$42="Yes",31&gt;=Projects!$C$42,31&lt;Projects!$C$42+Projects!$D$42),Projects!$B$42*INDEX(Curves!$B$4:$AR$4,1,31-Projects!$C$42+1),0)+IF(AND(Projects!$G$43="Yes",31&gt;=Projects!$C$43,31&lt;Projects!$C$43+Projects!$D$43),Projects!$B$43*INDEX(Curves!$B$4:$AR$4,1,31-Projects!$C$43+1),0)+IF(AND(Projects!$G$44="Yes",31&gt;=Projects!$C$44,31&lt;Projects!$C$44+Projects!$D$44),Projects!$B$44*INDEX(Curves!$B$4:$AR$4,1,31-Projects!$C$44+1),0)+IF(AND(Projects!$G$45="Yes",31&gt;=Projects!$C$45,31&lt;Projects!$C$45+Projects!$D$45),Projects!$B$45*INDEX(Curves!$B$4:$AR$4,1,31-Projects!$C$45+1),0)+IF(AND(Projects!$G$46="Yes",31&gt;=Projects!$C$46,31&lt;Projects!$C$46+Projects!$D$46),Projects!$B$46*INDEX(Curves!$B$4:$AR$4,1,31-Projects!$C$46+1),0)</f>
        <v>3533986.30521332</v>
      </c>
      <c r="AK96" s="315" t="n">
        <f aca="false">IF(AND(Projects!$G$17="Yes",32&gt;=Projects!$C$17,32&lt;Projects!$C$17+Projects!$D$17),Projects!$B$17*INDEX(Curves!$B$4:$AR$4,1,32-Projects!$C$17+1),0)+IF(AND(Projects!$G$18="Yes",32&gt;=Projects!$C$18,32&lt;Projects!$C$18+Projects!$D$18),Projects!$B$18*INDEX(Curves!$B$4:$AR$4,1,32-Projects!$C$18+1),0)+IF(AND(Projects!$G$19="Yes",32&gt;=Projects!$C$19,32&lt;Projects!$C$19+Projects!$D$19),Projects!$B$19*INDEX(Curves!$B$4:$AR$4,1,32-Projects!$C$19+1),0)+IF(AND(Projects!$G$20="Yes",32&gt;=Projects!$C$20,32&lt;Projects!$C$20+Projects!$D$20),Projects!$B$20*INDEX(Curves!$B$4:$AR$4,1,32-Projects!$C$20+1),0)+IF(AND(Projects!$G$21="Yes",32&gt;=Projects!$C$21,32&lt;Projects!$C$21+Projects!$D$21),Projects!$B$21*INDEX(Curves!$B$4:$AR$4,1,32-Projects!$C$21+1),0)+IF(AND(Projects!$G$22="Yes",32&gt;=Projects!$C$22,32&lt;Projects!$C$22+Projects!$D$22),Projects!$B$22*INDEX(Curves!$B$4:$AR$4,1,32-Projects!$C$22+1),0)+IF(AND(Projects!$G$23="Yes",32&gt;=Projects!$C$23,32&lt;Projects!$C$23+Projects!$D$23),Projects!$B$23*INDEX(Curves!$B$4:$AR$4,1,32-Projects!$C$23+1),0)+IF(AND(Projects!$G$24="Yes",32&gt;=Projects!$C$24,32&lt;Projects!$C$24+Projects!$D$24),Projects!$B$24*INDEX(Curves!$B$4:$AR$4,1,32-Projects!$C$24+1),0)+IF(AND(Projects!$G$25="Yes",32&gt;=Projects!$C$25,32&lt;Projects!$C$25+Projects!$D$25),Projects!$B$25*INDEX(Curves!$B$4:$AR$4,1,32-Projects!$C$25+1),0)+IF(AND(Projects!$G$26="Yes",32&gt;=Projects!$C$26,32&lt;Projects!$C$26+Projects!$D$26),Projects!$B$26*INDEX(Curves!$B$4:$AR$4,1,32-Projects!$C$26+1),0)+IF(AND(Projects!$G$27="Yes",32&gt;=Projects!$C$27,32&lt;Projects!$C$27+Projects!$D$27),Projects!$B$27*INDEX(Curves!$B$4:$AR$4,1,32-Projects!$C$27+1),0)+IF(AND(Projects!$G$28="Yes",32&gt;=Projects!$C$28,32&lt;Projects!$C$28+Projects!$D$28),Projects!$B$28*INDEX(Curves!$B$4:$AR$4,1,32-Projects!$C$28+1),0)+IF(AND(Projects!$G$29="Yes",32&gt;=Projects!$C$29,32&lt;Projects!$C$29+Projects!$D$29),Projects!$B$29*INDEX(Curves!$B$4:$AR$4,1,32-Projects!$C$29+1),0)+IF(AND(Projects!$G$30="Yes",32&gt;=Projects!$C$30,32&lt;Projects!$C$30+Projects!$D$30),Projects!$B$30*INDEX(Curves!$B$4:$AR$4,1,32-Projects!$C$30+1),0)+IF(AND(Projects!$G$31="Yes",32&gt;=Projects!$C$31,32&lt;Projects!$C$31+Projects!$D$31),Projects!$B$31*INDEX(Curves!$B$4:$AR$4,1,32-Projects!$C$31+1),0)+IF(AND(Projects!$G$32="Yes",32&gt;=Projects!$C$32,32&lt;Projects!$C$32+Projects!$D$32),Projects!$B$32*INDEX(Curves!$B$4:$AR$4,1,32-Projects!$C$32+1),0)+IF(AND(Projects!$G$33="Yes",32&gt;=Projects!$C$33,32&lt;Projects!$C$33+Projects!$D$33),Projects!$B$33*INDEX(Curves!$B$4:$AR$4,1,32-Projects!$C$33+1),0)+IF(AND(Projects!$G$34="Yes",32&gt;=Projects!$C$34,32&lt;Projects!$C$34+Projects!$D$34),Projects!$B$34*INDEX(Curves!$B$4:$AR$4,1,32-Projects!$C$34+1),0)+IF(AND(Projects!$G$35="Yes",32&gt;=Projects!$C$35,32&lt;Projects!$C$35+Projects!$D$35),Projects!$B$35*INDEX(Curves!$B$4:$AR$4,1,32-Projects!$C$35+1),0)+IF(AND(Projects!$G$36="Yes",32&gt;=Projects!$C$36,32&lt;Projects!$C$36+Projects!$D$36),Projects!$B$36*INDEX(Curves!$B$4:$AR$4,1,32-Projects!$C$36+1),0)+IF(AND(Projects!$G$37="Yes",32&gt;=Projects!$C$37,32&lt;Projects!$C$37+Projects!$D$37),Projects!$B$37*INDEX(Curves!$B$4:$AR$4,1,32-Projects!$C$37+1),0)+IF(AND(Projects!$G$38="Yes",32&gt;=Projects!$C$38,32&lt;Projects!$C$38+Projects!$D$38),Projects!$B$38*INDEX(Curves!$B$4:$AR$4,1,32-Projects!$C$38+1),0)+IF(AND(Projects!$G$39="Yes",32&gt;=Projects!$C$39,32&lt;Projects!$C$39+Projects!$D$39),Projects!$B$39*INDEX(Curves!$B$4:$AR$4,1,32-Projects!$C$39+1),0)+IF(AND(Projects!$G$40="Yes",32&gt;=Projects!$C$40,32&lt;Projects!$C$40+Projects!$D$40),Projects!$B$40*INDEX(Curves!$B$4:$AR$4,1,32-Projects!$C$40+1),0)+IF(AND(Projects!$G$41="Yes",32&gt;=Projects!$C$41,32&lt;Projects!$C$41+Projects!$D$41),Projects!$B$41*INDEX(Curves!$B$4:$AR$4,1,32-Projects!$C$41+1),0)+IF(AND(Projects!$G$42="Yes",32&gt;=Projects!$C$42,32&lt;Projects!$C$42+Projects!$D$42),Projects!$B$42*INDEX(Curves!$B$4:$AR$4,1,32-Projects!$C$42+1),0)+IF(AND(Projects!$G$43="Yes",32&gt;=Projects!$C$43,32&lt;Projects!$C$43+Projects!$D$43),Projects!$B$43*INDEX(Curves!$B$4:$AR$4,1,32-Projects!$C$43+1),0)+IF(AND(Projects!$G$44="Yes",32&gt;=Projects!$C$44,32&lt;Projects!$C$44+Projects!$D$44),Projects!$B$44*INDEX(Curves!$B$4:$AR$4,1,32-Projects!$C$44+1),0)+IF(AND(Projects!$G$45="Yes",32&gt;=Projects!$C$45,32&lt;Projects!$C$45+Projects!$D$45),Projects!$B$45*INDEX(Curves!$B$4:$AR$4,1,32-Projects!$C$45+1),0)+IF(AND(Projects!$G$46="Yes",32&gt;=Projects!$C$46,32&lt;Projects!$C$46+Projects!$D$46),Projects!$B$46*INDEX(Curves!$B$4:$AR$4,1,32-Projects!$C$46+1),0)</f>
        <v>3130195.85427146</v>
      </c>
      <c r="AL96" s="315" t="n">
        <f aca="false">IF(AND(Projects!$G$17="Yes",33&gt;=Projects!$C$17,33&lt;Projects!$C$17+Projects!$D$17),Projects!$B$17*INDEX(Curves!$B$4:$AR$4,1,33-Projects!$C$17+1),0)+IF(AND(Projects!$G$18="Yes",33&gt;=Projects!$C$18,33&lt;Projects!$C$18+Projects!$D$18),Projects!$B$18*INDEX(Curves!$B$4:$AR$4,1,33-Projects!$C$18+1),0)+IF(AND(Projects!$G$19="Yes",33&gt;=Projects!$C$19,33&lt;Projects!$C$19+Projects!$D$19),Projects!$B$19*INDEX(Curves!$B$4:$AR$4,1,33-Projects!$C$19+1),0)+IF(AND(Projects!$G$20="Yes",33&gt;=Projects!$C$20,33&lt;Projects!$C$20+Projects!$D$20),Projects!$B$20*INDEX(Curves!$B$4:$AR$4,1,33-Projects!$C$20+1),0)+IF(AND(Projects!$G$21="Yes",33&gt;=Projects!$C$21,33&lt;Projects!$C$21+Projects!$D$21),Projects!$B$21*INDEX(Curves!$B$4:$AR$4,1,33-Projects!$C$21+1),0)+IF(AND(Projects!$G$22="Yes",33&gt;=Projects!$C$22,33&lt;Projects!$C$22+Projects!$D$22),Projects!$B$22*INDEX(Curves!$B$4:$AR$4,1,33-Projects!$C$22+1),0)+IF(AND(Projects!$G$23="Yes",33&gt;=Projects!$C$23,33&lt;Projects!$C$23+Projects!$D$23),Projects!$B$23*INDEX(Curves!$B$4:$AR$4,1,33-Projects!$C$23+1),0)+IF(AND(Projects!$G$24="Yes",33&gt;=Projects!$C$24,33&lt;Projects!$C$24+Projects!$D$24),Projects!$B$24*INDEX(Curves!$B$4:$AR$4,1,33-Projects!$C$24+1),0)+IF(AND(Projects!$G$25="Yes",33&gt;=Projects!$C$25,33&lt;Projects!$C$25+Projects!$D$25),Projects!$B$25*INDEX(Curves!$B$4:$AR$4,1,33-Projects!$C$25+1),0)+IF(AND(Projects!$G$26="Yes",33&gt;=Projects!$C$26,33&lt;Projects!$C$26+Projects!$D$26),Projects!$B$26*INDEX(Curves!$B$4:$AR$4,1,33-Projects!$C$26+1),0)+IF(AND(Projects!$G$27="Yes",33&gt;=Projects!$C$27,33&lt;Projects!$C$27+Projects!$D$27),Projects!$B$27*INDEX(Curves!$B$4:$AR$4,1,33-Projects!$C$27+1),0)+IF(AND(Projects!$G$28="Yes",33&gt;=Projects!$C$28,33&lt;Projects!$C$28+Projects!$D$28),Projects!$B$28*INDEX(Curves!$B$4:$AR$4,1,33-Projects!$C$28+1),0)+IF(AND(Projects!$G$29="Yes",33&gt;=Projects!$C$29,33&lt;Projects!$C$29+Projects!$D$29),Projects!$B$29*INDEX(Curves!$B$4:$AR$4,1,33-Projects!$C$29+1),0)+IF(AND(Projects!$G$30="Yes",33&gt;=Projects!$C$30,33&lt;Projects!$C$30+Projects!$D$30),Projects!$B$30*INDEX(Curves!$B$4:$AR$4,1,33-Projects!$C$30+1),0)+IF(AND(Projects!$G$31="Yes",33&gt;=Projects!$C$31,33&lt;Projects!$C$31+Projects!$D$31),Projects!$B$31*INDEX(Curves!$B$4:$AR$4,1,33-Projects!$C$31+1),0)+IF(AND(Projects!$G$32="Yes",33&gt;=Projects!$C$32,33&lt;Projects!$C$32+Projects!$D$32),Projects!$B$32*INDEX(Curves!$B$4:$AR$4,1,33-Projects!$C$32+1),0)+IF(AND(Projects!$G$33="Yes",33&gt;=Projects!$C$33,33&lt;Projects!$C$33+Projects!$D$33),Projects!$B$33*INDEX(Curves!$B$4:$AR$4,1,33-Projects!$C$33+1),0)+IF(AND(Projects!$G$34="Yes",33&gt;=Projects!$C$34,33&lt;Projects!$C$34+Projects!$D$34),Projects!$B$34*INDEX(Curves!$B$4:$AR$4,1,33-Projects!$C$34+1),0)+IF(AND(Projects!$G$35="Yes",33&gt;=Projects!$C$35,33&lt;Projects!$C$35+Projects!$D$35),Projects!$B$35*INDEX(Curves!$B$4:$AR$4,1,33-Projects!$C$35+1),0)+IF(AND(Projects!$G$36="Yes",33&gt;=Projects!$C$36,33&lt;Projects!$C$36+Projects!$D$36),Projects!$B$36*INDEX(Curves!$B$4:$AR$4,1,33-Projects!$C$36+1),0)+IF(AND(Projects!$G$37="Yes",33&gt;=Projects!$C$37,33&lt;Projects!$C$37+Projects!$D$37),Projects!$B$37*INDEX(Curves!$B$4:$AR$4,1,33-Projects!$C$37+1),0)+IF(AND(Projects!$G$38="Yes",33&gt;=Projects!$C$38,33&lt;Projects!$C$38+Projects!$D$38),Projects!$B$38*INDEX(Curves!$B$4:$AR$4,1,33-Projects!$C$38+1),0)+IF(AND(Projects!$G$39="Yes",33&gt;=Projects!$C$39,33&lt;Projects!$C$39+Projects!$D$39),Projects!$B$39*INDEX(Curves!$B$4:$AR$4,1,33-Projects!$C$39+1),0)+IF(AND(Projects!$G$40="Yes",33&gt;=Projects!$C$40,33&lt;Projects!$C$40+Projects!$D$40),Projects!$B$40*INDEX(Curves!$B$4:$AR$4,1,33-Projects!$C$40+1),0)+IF(AND(Projects!$G$41="Yes",33&gt;=Projects!$C$41,33&lt;Projects!$C$41+Projects!$D$41),Projects!$B$41*INDEX(Curves!$B$4:$AR$4,1,33-Projects!$C$41+1),0)+IF(AND(Projects!$G$42="Yes",33&gt;=Projects!$C$42,33&lt;Projects!$C$42+Projects!$D$42),Projects!$B$42*INDEX(Curves!$B$4:$AR$4,1,33-Projects!$C$42+1),0)+IF(AND(Projects!$G$43="Yes",33&gt;=Projects!$C$43,33&lt;Projects!$C$43+Projects!$D$43),Projects!$B$43*INDEX(Curves!$B$4:$AR$4,1,33-Projects!$C$43+1),0)+IF(AND(Projects!$G$44="Yes",33&gt;=Projects!$C$44,33&lt;Projects!$C$44+Projects!$D$44),Projects!$B$44*INDEX(Curves!$B$4:$AR$4,1,33-Projects!$C$44+1),0)+IF(AND(Projects!$G$45="Yes",33&gt;=Projects!$C$45,33&lt;Projects!$C$45+Projects!$D$45),Projects!$B$45*INDEX(Curves!$B$4:$AR$4,1,33-Projects!$C$45+1),0)+IF(AND(Projects!$G$46="Yes",33&gt;=Projects!$C$46,33&lt;Projects!$C$46+Projects!$D$46),Projects!$B$46*INDEX(Curves!$B$4:$AR$4,1,33-Projects!$C$46+1),0)</f>
        <v>2393923.90203676</v>
      </c>
      <c r="AM96" s="315" t="n">
        <f aca="false">IF(AND(Projects!$G$17="Yes",34&gt;=Projects!$C$17,34&lt;Projects!$C$17+Projects!$D$17),Projects!$B$17*INDEX(Curves!$B$4:$AR$4,1,34-Projects!$C$17+1),0)+IF(AND(Projects!$G$18="Yes",34&gt;=Projects!$C$18,34&lt;Projects!$C$18+Projects!$D$18),Projects!$B$18*INDEX(Curves!$B$4:$AR$4,1,34-Projects!$C$18+1),0)+IF(AND(Projects!$G$19="Yes",34&gt;=Projects!$C$19,34&lt;Projects!$C$19+Projects!$D$19),Projects!$B$19*INDEX(Curves!$B$4:$AR$4,1,34-Projects!$C$19+1),0)+IF(AND(Projects!$G$20="Yes",34&gt;=Projects!$C$20,34&lt;Projects!$C$20+Projects!$D$20),Projects!$B$20*INDEX(Curves!$B$4:$AR$4,1,34-Projects!$C$20+1),0)+IF(AND(Projects!$G$21="Yes",34&gt;=Projects!$C$21,34&lt;Projects!$C$21+Projects!$D$21),Projects!$B$21*INDEX(Curves!$B$4:$AR$4,1,34-Projects!$C$21+1),0)+IF(AND(Projects!$G$22="Yes",34&gt;=Projects!$C$22,34&lt;Projects!$C$22+Projects!$D$22),Projects!$B$22*INDEX(Curves!$B$4:$AR$4,1,34-Projects!$C$22+1),0)+IF(AND(Projects!$G$23="Yes",34&gt;=Projects!$C$23,34&lt;Projects!$C$23+Projects!$D$23),Projects!$B$23*INDEX(Curves!$B$4:$AR$4,1,34-Projects!$C$23+1),0)+IF(AND(Projects!$G$24="Yes",34&gt;=Projects!$C$24,34&lt;Projects!$C$24+Projects!$D$24),Projects!$B$24*INDEX(Curves!$B$4:$AR$4,1,34-Projects!$C$24+1),0)+IF(AND(Projects!$G$25="Yes",34&gt;=Projects!$C$25,34&lt;Projects!$C$25+Projects!$D$25),Projects!$B$25*INDEX(Curves!$B$4:$AR$4,1,34-Projects!$C$25+1),0)+IF(AND(Projects!$G$26="Yes",34&gt;=Projects!$C$26,34&lt;Projects!$C$26+Projects!$D$26),Projects!$B$26*INDEX(Curves!$B$4:$AR$4,1,34-Projects!$C$26+1),0)+IF(AND(Projects!$G$27="Yes",34&gt;=Projects!$C$27,34&lt;Projects!$C$27+Projects!$D$27),Projects!$B$27*INDEX(Curves!$B$4:$AR$4,1,34-Projects!$C$27+1),0)+IF(AND(Projects!$G$28="Yes",34&gt;=Projects!$C$28,34&lt;Projects!$C$28+Projects!$D$28),Projects!$B$28*INDEX(Curves!$B$4:$AR$4,1,34-Projects!$C$28+1),0)+IF(AND(Projects!$G$29="Yes",34&gt;=Projects!$C$29,34&lt;Projects!$C$29+Projects!$D$29),Projects!$B$29*INDEX(Curves!$B$4:$AR$4,1,34-Projects!$C$29+1),0)+IF(AND(Projects!$G$30="Yes",34&gt;=Projects!$C$30,34&lt;Projects!$C$30+Projects!$D$30),Projects!$B$30*INDEX(Curves!$B$4:$AR$4,1,34-Projects!$C$30+1),0)+IF(AND(Projects!$G$31="Yes",34&gt;=Projects!$C$31,34&lt;Projects!$C$31+Projects!$D$31),Projects!$B$31*INDEX(Curves!$B$4:$AR$4,1,34-Projects!$C$31+1),0)+IF(AND(Projects!$G$32="Yes",34&gt;=Projects!$C$32,34&lt;Projects!$C$32+Projects!$D$32),Projects!$B$32*INDEX(Curves!$B$4:$AR$4,1,34-Projects!$C$32+1),0)+IF(AND(Projects!$G$33="Yes",34&gt;=Projects!$C$33,34&lt;Projects!$C$33+Projects!$D$33),Projects!$B$33*INDEX(Curves!$B$4:$AR$4,1,34-Projects!$C$33+1),0)+IF(AND(Projects!$G$34="Yes",34&gt;=Projects!$C$34,34&lt;Projects!$C$34+Projects!$D$34),Projects!$B$34*INDEX(Curves!$B$4:$AR$4,1,34-Projects!$C$34+1),0)+IF(AND(Projects!$G$35="Yes",34&gt;=Projects!$C$35,34&lt;Projects!$C$35+Projects!$D$35),Projects!$B$35*INDEX(Curves!$B$4:$AR$4,1,34-Projects!$C$35+1),0)+IF(AND(Projects!$G$36="Yes",34&gt;=Projects!$C$36,34&lt;Projects!$C$36+Projects!$D$36),Projects!$B$36*INDEX(Curves!$B$4:$AR$4,1,34-Projects!$C$36+1),0)+IF(AND(Projects!$G$37="Yes",34&gt;=Projects!$C$37,34&lt;Projects!$C$37+Projects!$D$37),Projects!$B$37*INDEX(Curves!$B$4:$AR$4,1,34-Projects!$C$37+1),0)+IF(AND(Projects!$G$38="Yes",34&gt;=Projects!$C$38,34&lt;Projects!$C$38+Projects!$D$38),Projects!$B$38*INDEX(Curves!$B$4:$AR$4,1,34-Projects!$C$38+1),0)+IF(AND(Projects!$G$39="Yes",34&gt;=Projects!$C$39,34&lt;Projects!$C$39+Projects!$D$39),Projects!$B$39*INDEX(Curves!$B$4:$AR$4,1,34-Projects!$C$39+1),0)+IF(AND(Projects!$G$40="Yes",34&gt;=Projects!$C$40,34&lt;Projects!$C$40+Projects!$D$40),Projects!$B$40*INDEX(Curves!$B$4:$AR$4,1,34-Projects!$C$40+1),0)+IF(AND(Projects!$G$41="Yes",34&gt;=Projects!$C$41,34&lt;Projects!$C$41+Projects!$D$41),Projects!$B$41*INDEX(Curves!$B$4:$AR$4,1,34-Projects!$C$41+1),0)+IF(AND(Projects!$G$42="Yes",34&gt;=Projects!$C$42,34&lt;Projects!$C$42+Projects!$D$42),Projects!$B$42*INDEX(Curves!$B$4:$AR$4,1,34-Projects!$C$42+1),0)+IF(AND(Projects!$G$43="Yes",34&gt;=Projects!$C$43,34&lt;Projects!$C$43+Projects!$D$43),Projects!$B$43*INDEX(Curves!$B$4:$AR$4,1,34-Projects!$C$43+1),0)+IF(AND(Projects!$G$44="Yes",34&gt;=Projects!$C$44,34&lt;Projects!$C$44+Projects!$D$44),Projects!$B$44*INDEX(Curves!$B$4:$AR$4,1,34-Projects!$C$44+1),0)+IF(AND(Projects!$G$45="Yes",34&gt;=Projects!$C$45,34&lt;Projects!$C$45+Projects!$D$45),Projects!$B$45*INDEX(Curves!$B$4:$AR$4,1,34-Projects!$C$45+1),0)+IF(AND(Projects!$G$46="Yes",34&gt;=Projects!$C$46,34&lt;Projects!$C$46+Projects!$D$46),Projects!$B$46*INDEX(Curves!$B$4:$AR$4,1,34-Projects!$C$46+1),0)</f>
        <v>1820898.16637944</v>
      </c>
      <c r="AN96" s="315" t="n">
        <f aca="false">IF(AND(Projects!$G$17="Yes",35&gt;=Projects!$C$17,35&lt;Projects!$C$17+Projects!$D$17),Projects!$B$17*INDEX(Curves!$B$4:$AR$4,1,35-Projects!$C$17+1),0)+IF(AND(Projects!$G$18="Yes",35&gt;=Projects!$C$18,35&lt;Projects!$C$18+Projects!$D$18),Projects!$B$18*INDEX(Curves!$B$4:$AR$4,1,35-Projects!$C$18+1),0)+IF(AND(Projects!$G$19="Yes",35&gt;=Projects!$C$19,35&lt;Projects!$C$19+Projects!$D$19),Projects!$B$19*INDEX(Curves!$B$4:$AR$4,1,35-Projects!$C$19+1),0)+IF(AND(Projects!$G$20="Yes",35&gt;=Projects!$C$20,35&lt;Projects!$C$20+Projects!$D$20),Projects!$B$20*INDEX(Curves!$B$4:$AR$4,1,35-Projects!$C$20+1),0)+IF(AND(Projects!$G$21="Yes",35&gt;=Projects!$C$21,35&lt;Projects!$C$21+Projects!$D$21),Projects!$B$21*INDEX(Curves!$B$4:$AR$4,1,35-Projects!$C$21+1),0)+IF(AND(Projects!$G$22="Yes",35&gt;=Projects!$C$22,35&lt;Projects!$C$22+Projects!$D$22),Projects!$B$22*INDEX(Curves!$B$4:$AR$4,1,35-Projects!$C$22+1),0)+IF(AND(Projects!$G$23="Yes",35&gt;=Projects!$C$23,35&lt;Projects!$C$23+Projects!$D$23),Projects!$B$23*INDEX(Curves!$B$4:$AR$4,1,35-Projects!$C$23+1),0)+IF(AND(Projects!$G$24="Yes",35&gt;=Projects!$C$24,35&lt;Projects!$C$24+Projects!$D$24),Projects!$B$24*INDEX(Curves!$B$4:$AR$4,1,35-Projects!$C$24+1),0)+IF(AND(Projects!$G$25="Yes",35&gt;=Projects!$C$25,35&lt;Projects!$C$25+Projects!$D$25),Projects!$B$25*INDEX(Curves!$B$4:$AR$4,1,35-Projects!$C$25+1),0)+IF(AND(Projects!$G$26="Yes",35&gt;=Projects!$C$26,35&lt;Projects!$C$26+Projects!$D$26),Projects!$B$26*INDEX(Curves!$B$4:$AR$4,1,35-Projects!$C$26+1),0)+IF(AND(Projects!$G$27="Yes",35&gt;=Projects!$C$27,35&lt;Projects!$C$27+Projects!$D$27),Projects!$B$27*INDEX(Curves!$B$4:$AR$4,1,35-Projects!$C$27+1),0)+IF(AND(Projects!$G$28="Yes",35&gt;=Projects!$C$28,35&lt;Projects!$C$28+Projects!$D$28),Projects!$B$28*INDEX(Curves!$B$4:$AR$4,1,35-Projects!$C$28+1),0)+IF(AND(Projects!$G$29="Yes",35&gt;=Projects!$C$29,35&lt;Projects!$C$29+Projects!$D$29),Projects!$B$29*INDEX(Curves!$B$4:$AR$4,1,35-Projects!$C$29+1),0)+IF(AND(Projects!$G$30="Yes",35&gt;=Projects!$C$30,35&lt;Projects!$C$30+Projects!$D$30),Projects!$B$30*INDEX(Curves!$B$4:$AR$4,1,35-Projects!$C$30+1),0)+IF(AND(Projects!$G$31="Yes",35&gt;=Projects!$C$31,35&lt;Projects!$C$31+Projects!$D$31),Projects!$B$31*INDEX(Curves!$B$4:$AR$4,1,35-Projects!$C$31+1),0)+IF(AND(Projects!$G$32="Yes",35&gt;=Projects!$C$32,35&lt;Projects!$C$32+Projects!$D$32),Projects!$B$32*INDEX(Curves!$B$4:$AR$4,1,35-Projects!$C$32+1),0)+IF(AND(Projects!$G$33="Yes",35&gt;=Projects!$C$33,35&lt;Projects!$C$33+Projects!$D$33),Projects!$B$33*INDEX(Curves!$B$4:$AR$4,1,35-Projects!$C$33+1),0)+IF(AND(Projects!$G$34="Yes",35&gt;=Projects!$C$34,35&lt;Projects!$C$34+Projects!$D$34),Projects!$B$34*INDEX(Curves!$B$4:$AR$4,1,35-Projects!$C$34+1),0)+IF(AND(Projects!$G$35="Yes",35&gt;=Projects!$C$35,35&lt;Projects!$C$35+Projects!$D$35),Projects!$B$35*INDEX(Curves!$B$4:$AR$4,1,35-Projects!$C$35+1),0)+IF(AND(Projects!$G$36="Yes",35&gt;=Projects!$C$36,35&lt;Projects!$C$36+Projects!$D$36),Projects!$B$36*INDEX(Curves!$B$4:$AR$4,1,35-Projects!$C$36+1),0)+IF(AND(Projects!$G$37="Yes",35&gt;=Projects!$C$37,35&lt;Projects!$C$37+Projects!$D$37),Projects!$B$37*INDEX(Curves!$B$4:$AR$4,1,35-Projects!$C$37+1),0)+IF(AND(Projects!$G$38="Yes",35&gt;=Projects!$C$38,35&lt;Projects!$C$38+Projects!$D$38),Projects!$B$38*INDEX(Curves!$B$4:$AR$4,1,35-Projects!$C$38+1),0)+IF(AND(Projects!$G$39="Yes",35&gt;=Projects!$C$39,35&lt;Projects!$C$39+Projects!$D$39),Projects!$B$39*INDEX(Curves!$B$4:$AR$4,1,35-Projects!$C$39+1),0)+IF(AND(Projects!$G$40="Yes",35&gt;=Projects!$C$40,35&lt;Projects!$C$40+Projects!$D$40),Projects!$B$40*INDEX(Curves!$B$4:$AR$4,1,35-Projects!$C$40+1),0)+IF(AND(Projects!$G$41="Yes",35&gt;=Projects!$C$41,35&lt;Projects!$C$41+Projects!$D$41),Projects!$B$41*INDEX(Curves!$B$4:$AR$4,1,35-Projects!$C$41+1),0)+IF(AND(Projects!$G$42="Yes",35&gt;=Projects!$C$42,35&lt;Projects!$C$42+Projects!$D$42),Projects!$B$42*INDEX(Curves!$B$4:$AR$4,1,35-Projects!$C$42+1),0)+IF(AND(Projects!$G$43="Yes",35&gt;=Projects!$C$43,35&lt;Projects!$C$43+Projects!$D$43),Projects!$B$43*INDEX(Curves!$B$4:$AR$4,1,35-Projects!$C$43+1),0)+IF(AND(Projects!$G$44="Yes",35&gt;=Projects!$C$44,35&lt;Projects!$C$44+Projects!$D$44),Projects!$B$44*INDEX(Curves!$B$4:$AR$4,1,35-Projects!$C$44+1),0)+IF(AND(Projects!$G$45="Yes",35&gt;=Projects!$C$45,35&lt;Projects!$C$45+Projects!$D$45),Projects!$B$45*INDEX(Curves!$B$4:$AR$4,1,35-Projects!$C$45+1),0)+IF(AND(Projects!$G$46="Yes",35&gt;=Projects!$C$46,35&lt;Projects!$C$46+Projects!$D$46),Projects!$B$46*INDEX(Curves!$B$4:$AR$4,1,35-Projects!$C$46+1),0)</f>
        <v>1161522.05487896</v>
      </c>
      <c r="AO96" s="315" t="n">
        <f aca="false">IF(AND(Projects!$G$17="Yes",36&gt;=Projects!$C$17,36&lt;Projects!$C$17+Projects!$D$17),Projects!$B$17*INDEX(Curves!$B$4:$AR$4,1,36-Projects!$C$17+1),0)+IF(AND(Projects!$G$18="Yes",36&gt;=Projects!$C$18,36&lt;Projects!$C$18+Projects!$D$18),Projects!$B$18*INDEX(Curves!$B$4:$AR$4,1,36-Projects!$C$18+1),0)+IF(AND(Projects!$G$19="Yes",36&gt;=Projects!$C$19,36&lt;Projects!$C$19+Projects!$D$19),Projects!$B$19*INDEX(Curves!$B$4:$AR$4,1,36-Projects!$C$19+1),0)+IF(AND(Projects!$G$20="Yes",36&gt;=Projects!$C$20,36&lt;Projects!$C$20+Projects!$D$20),Projects!$B$20*INDEX(Curves!$B$4:$AR$4,1,36-Projects!$C$20+1),0)+IF(AND(Projects!$G$21="Yes",36&gt;=Projects!$C$21,36&lt;Projects!$C$21+Projects!$D$21),Projects!$B$21*INDEX(Curves!$B$4:$AR$4,1,36-Projects!$C$21+1),0)+IF(AND(Projects!$G$22="Yes",36&gt;=Projects!$C$22,36&lt;Projects!$C$22+Projects!$D$22),Projects!$B$22*INDEX(Curves!$B$4:$AR$4,1,36-Projects!$C$22+1),0)+IF(AND(Projects!$G$23="Yes",36&gt;=Projects!$C$23,36&lt;Projects!$C$23+Projects!$D$23),Projects!$B$23*INDEX(Curves!$B$4:$AR$4,1,36-Projects!$C$23+1),0)+IF(AND(Projects!$G$24="Yes",36&gt;=Projects!$C$24,36&lt;Projects!$C$24+Projects!$D$24),Projects!$B$24*INDEX(Curves!$B$4:$AR$4,1,36-Projects!$C$24+1),0)+IF(AND(Projects!$G$25="Yes",36&gt;=Projects!$C$25,36&lt;Projects!$C$25+Projects!$D$25),Projects!$B$25*INDEX(Curves!$B$4:$AR$4,1,36-Projects!$C$25+1),0)+IF(AND(Projects!$G$26="Yes",36&gt;=Projects!$C$26,36&lt;Projects!$C$26+Projects!$D$26),Projects!$B$26*INDEX(Curves!$B$4:$AR$4,1,36-Projects!$C$26+1),0)+IF(AND(Projects!$G$27="Yes",36&gt;=Projects!$C$27,36&lt;Projects!$C$27+Projects!$D$27),Projects!$B$27*INDEX(Curves!$B$4:$AR$4,1,36-Projects!$C$27+1),0)+IF(AND(Projects!$G$28="Yes",36&gt;=Projects!$C$28,36&lt;Projects!$C$28+Projects!$D$28),Projects!$B$28*INDEX(Curves!$B$4:$AR$4,1,36-Projects!$C$28+1),0)+IF(AND(Projects!$G$29="Yes",36&gt;=Projects!$C$29,36&lt;Projects!$C$29+Projects!$D$29),Projects!$B$29*INDEX(Curves!$B$4:$AR$4,1,36-Projects!$C$29+1),0)+IF(AND(Projects!$G$30="Yes",36&gt;=Projects!$C$30,36&lt;Projects!$C$30+Projects!$D$30),Projects!$B$30*INDEX(Curves!$B$4:$AR$4,1,36-Projects!$C$30+1),0)+IF(AND(Projects!$G$31="Yes",36&gt;=Projects!$C$31,36&lt;Projects!$C$31+Projects!$D$31),Projects!$B$31*INDEX(Curves!$B$4:$AR$4,1,36-Projects!$C$31+1),0)+IF(AND(Projects!$G$32="Yes",36&gt;=Projects!$C$32,36&lt;Projects!$C$32+Projects!$D$32),Projects!$B$32*INDEX(Curves!$B$4:$AR$4,1,36-Projects!$C$32+1),0)+IF(AND(Projects!$G$33="Yes",36&gt;=Projects!$C$33,36&lt;Projects!$C$33+Projects!$D$33),Projects!$B$33*INDEX(Curves!$B$4:$AR$4,1,36-Projects!$C$33+1),0)+IF(AND(Projects!$G$34="Yes",36&gt;=Projects!$C$34,36&lt;Projects!$C$34+Projects!$D$34),Projects!$B$34*INDEX(Curves!$B$4:$AR$4,1,36-Projects!$C$34+1),0)+IF(AND(Projects!$G$35="Yes",36&gt;=Projects!$C$35,36&lt;Projects!$C$35+Projects!$D$35),Projects!$B$35*INDEX(Curves!$B$4:$AR$4,1,36-Projects!$C$35+1),0)+IF(AND(Projects!$G$36="Yes",36&gt;=Projects!$C$36,36&lt;Projects!$C$36+Projects!$D$36),Projects!$B$36*INDEX(Curves!$B$4:$AR$4,1,36-Projects!$C$36+1),0)+IF(AND(Projects!$G$37="Yes",36&gt;=Projects!$C$37,36&lt;Projects!$C$37+Projects!$D$37),Projects!$B$37*INDEX(Curves!$B$4:$AR$4,1,36-Projects!$C$37+1),0)+IF(AND(Projects!$G$38="Yes",36&gt;=Projects!$C$38,36&lt;Projects!$C$38+Projects!$D$38),Projects!$B$38*INDEX(Curves!$B$4:$AR$4,1,36-Projects!$C$38+1),0)+IF(AND(Projects!$G$39="Yes",36&gt;=Projects!$C$39,36&lt;Projects!$C$39+Projects!$D$39),Projects!$B$39*INDEX(Curves!$B$4:$AR$4,1,36-Projects!$C$39+1),0)+IF(AND(Projects!$G$40="Yes",36&gt;=Projects!$C$40,36&lt;Projects!$C$40+Projects!$D$40),Projects!$B$40*INDEX(Curves!$B$4:$AR$4,1,36-Projects!$C$40+1),0)+IF(AND(Projects!$G$41="Yes",36&gt;=Projects!$C$41,36&lt;Projects!$C$41+Projects!$D$41),Projects!$B$41*INDEX(Curves!$B$4:$AR$4,1,36-Projects!$C$41+1),0)+IF(AND(Projects!$G$42="Yes",36&gt;=Projects!$C$42,36&lt;Projects!$C$42+Projects!$D$42),Projects!$B$42*INDEX(Curves!$B$4:$AR$4,1,36-Projects!$C$42+1),0)+IF(AND(Projects!$G$43="Yes",36&gt;=Projects!$C$43,36&lt;Projects!$C$43+Projects!$D$43),Projects!$B$43*INDEX(Curves!$B$4:$AR$4,1,36-Projects!$C$43+1),0)+IF(AND(Projects!$G$44="Yes",36&gt;=Projects!$C$44,36&lt;Projects!$C$44+Projects!$D$44),Projects!$B$44*INDEX(Curves!$B$4:$AR$4,1,36-Projects!$C$44+1),0)+IF(AND(Projects!$G$45="Yes",36&gt;=Projects!$C$45,36&lt;Projects!$C$45+Projects!$D$45),Projects!$B$45*INDEX(Curves!$B$4:$AR$4,1,36-Projects!$C$45+1),0)+IF(AND(Projects!$G$46="Yes",36&gt;=Projects!$C$46,36&lt;Projects!$C$46+Projects!$D$46),Projects!$B$46*INDEX(Curves!$B$4:$AR$4,1,36-Projects!$C$46+1),0)</f>
        <v>988089.58395956</v>
      </c>
      <c r="AP96" s="315" t="n">
        <f aca="false">IF(AND(Projects!$G$17="Yes",37&gt;=Projects!$C$17,37&lt;Projects!$C$17+Projects!$D$17),Projects!$B$17*INDEX(Curves!$B$4:$AR$4,1,37-Projects!$C$17+1),0)+IF(AND(Projects!$G$18="Yes",37&gt;=Projects!$C$18,37&lt;Projects!$C$18+Projects!$D$18),Projects!$B$18*INDEX(Curves!$B$4:$AR$4,1,37-Projects!$C$18+1),0)+IF(AND(Projects!$G$19="Yes",37&gt;=Projects!$C$19,37&lt;Projects!$C$19+Projects!$D$19),Projects!$B$19*INDEX(Curves!$B$4:$AR$4,1,37-Projects!$C$19+1),0)+IF(AND(Projects!$G$20="Yes",37&gt;=Projects!$C$20,37&lt;Projects!$C$20+Projects!$D$20),Projects!$B$20*INDEX(Curves!$B$4:$AR$4,1,37-Projects!$C$20+1),0)+IF(AND(Projects!$G$21="Yes",37&gt;=Projects!$C$21,37&lt;Projects!$C$21+Projects!$D$21),Projects!$B$21*INDEX(Curves!$B$4:$AR$4,1,37-Projects!$C$21+1),0)+IF(AND(Projects!$G$22="Yes",37&gt;=Projects!$C$22,37&lt;Projects!$C$22+Projects!$D$22),Projects!$B$22*INDEX(Curves!$B$4:$AR$4,1,37-Projects!$C$22+1),0)+IF(AND(Projects!$G$23="Yes",37&gt;=Projects!$C$23,37&lt;Projects!$C$23+Projects!$D$23),Projects!$B$23*INDEX(Curves!$B$4:$AR$4,1,37-Projects!$C$23+1),0)+IF(AND(Projects!$G$24="Yes",37&gt;=Projects!$C$24,37&lt;Projects!$C$24+Projects!$D$24),Projects!$B$24*INDEX(Curves!$B$4:$AR$4,1,37-Projects!$C$24+1),0)+IF(AND(Projects!$G$25="Yes",37&gt;=Projects!$C$25,37&lt;Projects!$C$25+Projects!$D$25),Projects!$B$25*INDEX(Curves!$B$4:$AR$4,1,37-Projects!$C$25+1),0)+IF(AND(Projects!$G$26="Yes",37&gt;=Projects!$C$26,37&lt;Projects!$C$26+Projects!$D$26),Projects!$B$26*INDEX(Curves!$B$4:$AR$4,1,37-Projects!$C$26+1),0)+IF(AND(Projects!$G$27="Yes",37&gt;=Projects!$C$27,37&lt;Projects!$C$27+Projects!$D$27),Projects!$B$27*INDEX(Curves!$B$4:$AR$4,1,37-Projects!$C$27+1),0)+IF(AND(Projects!$G$28="Yes",37&gt;=Projects!$C$28,37&lt;Projects!$C$28+Projects!$D$28),Projects!$B$28*INDEX(Curves!$B$4:$AR$4,1,37-Projects!$C$28+1),0)+IF(AND(Projects!$G$29="Yes",37&gt;=Projects!$C$29,37&lt;Projects!$C$29+Projects!$D$29),Projects!$B$29*INDEX(Curves!$B$4:$AR$4,1,37-Projects!$C$29+1),0)+IF(AND(Projects!$G$30="Yes",37&gt;=Projects!$C$30,37&lt;Projects!$C$30+Projects!$D$30),Projects!$B$30*INDEX(Curves!$B$4:$AR$4,1,37-Projects!$C$30+1),0)+IF(AND(Projects!$G$31="Yes",37&gt;=Projects!$C$31,37&lt;Projects!$C$31+Projects!$D$31),Projects!$B$31*INDEX(Curves!$B$4:$AR$4,1,37-Projects!$C$31+1),0)+IF(AND(Projects!$G$32="Yes",37&gt;=Projects!$C$32,37&lt;Projects!$C$32+Projects!$D$32),Projects!$B$32*INDEX(Curves!$B$4:$AR$4,1,37-Projects!$C$32+1),0)+IF(AND(Projects!$G$33="Yes",37&gt;=Projects!$C$33,37&lt;Projects!$C$33+Projects!$D$33),Projects!$B$33*INDEX(Curves!$B$4:$AR$4,1,37-Projects!$C$33+1),0)+IF(AND(Projects!$G$34="Yes",37&gt;=Projects!$C$34,37&lt;Projects!$C$34+Projects!$D$34),Projects!$B$34*INDEX(Curves!$B$4:$AR$4,1,37-Projects!$C$34+1),0)+IF(AND(Projects!$G$35="Yes",37&gt;=Projects!$C$35,37&lt;Projects!$C$35+Projects!$D$35),Projects!$B$35*INDEX(Curves!$B$4:$AR$4,1,37-Projects!$C$35+1),0)+IF(AND(Projects!$G$36="Yes",37&gt;=Projects!$C$36,37&lt;Projects!$C$36+Projects!$D$36),Projects!$B$36*INDEX(Curves!$B$4:$AR$4,1,37-Projects!$C$36+1),0)+IF(AND(Projects!$G$37="Yes",37&gt;=Projects!$C$37,37&lt;Projects!$C$37+Projects!$D$37),Projects!$B$37*INDEX(Curves!$B$4:$AR$4,1,37-Projects!$C$37+1),0)+IF(AND(Projects!$G$38="Yes",37&gt;=Projects!$C$38,37&lt;Projects!$C$38+Projects!$D$38),Projects!$B$38*INDEX(Curves!$B$4:$AR$4,1,37-Projects!$C$38+1),0)+IF(AND(Projects!$G$39="Yes",37&gt;=Projects!$C$39,37&lt;Projects!$C$39+Projects!$D$39),Projects!$B$39*INDEX(Curves!$B$4:$AR$4,1,37-Projects!$C$39+1),0)+IF(AND(Projects!$G$40="Yes",37&gt;=Projects!$C$40,37&lt;Projects!$C$40+Projects!$D$40),Projects!$B$40*INDEX(Curves!$B$4:$AR$4,1,37-Projects!$C$40+1),0)+IF(AND(Projects!$G$41="Yes",37&gt;=Projects!$C$41,37&lt;Projects!$C$41+Projects!$D$41),Projects!$B$41*INDEX(Curves!$B$4:$AR$4,1,37-Projects!$C$41+1),0)+IF(AND(Projects!$G$42="Yes",37&gt;=Projects!$C$42,37&lt;Projects!$C$42+Projects!$D$42),Projects!$B$42*INDEX(Curves!$B$4:$AR$4,1,37-Projects!$C$42+1),0)+IF(AND(Projects!$G$43="Yes",37&gt;=Projects!$C$43,37&lt;Projects!$C$43+Projects!$D$43),Projects!$B$43*INDEX(Curves!$B$4:$AR$4,1,37-Projects!$C$43+1),0)+IF(AND(Projects!$G$44="Yes",37&gt;=Projects!$C$44,37&lt;Projects!$C$44+Projects!$D$44),Projects!$B$44*INDEX(Curves!$B$4:$AR$4,1,37-Projects!$C$44+1),0)+IF(AND(Projects!$G$45="Yes",37&gt;=Projects!$C$45,37&lt;Projects!$C$45+Projects!$D$45),Projects!$B$45*INDEX(Curves!$B$4:$AR$4,1,37-Projects!$C$45+1),0)+IF(AND(Projects!$G$46="Yes",37&gt;=Projects!$C$46,37&lt;Projects!$C$46+Projects!$D$46),Projects!$B$46*INDEX(Curves!$B$4:$AR$4,1,37-Projects!$C$46+1),0)</f>
        <v>819887.61613138</v>
      </c>
      <c r="AQ96" s="315" t="n">
        <f aca="false">IF(AND(Projects!$G$17="Yes",38&gt;=Projects!$C$17,38&lt;Projects!$C$17+Projects!$D$17),Projects!$B$17*INDEX(Curves!$B$4:$AR$4,1,38-Projects!$C$17+1),0)+IF(AND(Projects!$G$18="Yes",38&gt;=Projects!$C$18,38&lt;Projects!$C$18+Projects!$D$18),Projects!$B$18*INDEX(Curves!$B$4:$AR$4,1,38-Projects!$C$18+1),0)+IF(AND(Projects!$G$19="Yes",38&gt;=Projects!$C$19,38&lt;Projects!$C$19+Projects!$D$19),Projects!$B$19*INDEX(Curves!$B$4:$AR$4,1,38-Projects!$C$19+1),0)+IF(AND(Projects!$G$20="Yes",38&gt;=Projects!$C$20,38&lt;Projects!$C$20+Projects!$D$20),Projects!$B$20*INDEX(Curves!$B$4:$AR$4,1,38-Projects!$C$20+1),0)+IF(AND(Projects!$G$21="Yes",38&gt;=Projects!$C$21,38&lt;Projects!$C$21+Projects!$D$21),Projects!$B$21*INDEX(Curves!$B$4:$AR$4,1,38-Projects!$C$21+1),0)+IF(AND(Projects!$G$22="Yes",38&gt;=Projects!$C$22,38&lt;Projects!$C$22+Projects!$D$22),Projects!$B$22*INDEX(Curves!$B$4:$AR$4,1,38-Projects!$C$22+1),0)+IF(AND(Projects!$G$23="Yes",38&gt;=Projects!$C$23,38&lt;Projects!$C$23+Projects!$D$23),Projects!$B$23*INDEX(Curves!$B$4:$AR$4,1,38-Projects!$C$23+1),0)+IF(AND(Projects!$G$24="Yes",38&gt;=Projects!$C$24,38&lt;Projects!$C$24+Projects!$D$24),Projects!$B$24*INDEX(Curves!$B$4:$AR$4,1,38-Projects!$C$24+1),0)+IF(AND(Projects!$G$25="Yes",38&gt;=Projects!$C$25,38&lt;Projects!$C$25+Projects!$D$25),Projects!$B$25*INDEX(Curves!$B$4:$AR$4,1,38-Projects!$C$25+1),0)+IF(AND(Projects!$G$26="Yes",38&gt;=Projects!$C$26,38&lt;Projects!$C$26+Projects!$D$26),Projects!$B$26*INDEX(Curves!$B$4:$AR$4,1,38-Projects!$C$26+1),0)+IF(AND(Projects!$G$27="Yes",38&gt;=Projects!$C$27,38&lt;Projects!$C$27+Projects!$D$27),Projects!$B$27*INDEX(Curves!$B$4:$AR$4,1,38-Projects!$C$27+1),0)+IF(AND(Projects!$G$28="Yes",38&gt;=Projects!$C$28,38&lt;Projects!$C$28+Projects!$D$28),Projects!$B$28*INDEX(Curves!$B$4:$AR$4,1,38-Projects!$C$28+1),0)+IF(AND(Projects!$G$29="Yes",38&gt;=Projects!$C$29,38&lt;Projects!$C$29+Projects!$D$29),Projects!$B$29*INDEX(Curves!$B$4:$AR$4,1,38-Projects!$C$29+1),0)+IF(AND(Projects!$G$30="Yes",38&gt;=Projects!$C$30,38&lt;Projects!$C$30+Projects!$D$30),Projects!$B$30*INDEX(Curves!$B$4:$AR$4,1,38-Projects!$C$30+1),0)+IF(AND(Projects!$G$31="Yes",38&gt;=Projects!$C$31,38&lt;Projects!$C$31+Projects!$D$31),Projects!$B$31*INDEX(Curves!$B$4:$AR$4,1,38-Projects!$C$31+1),0)+IF(AND(Projects!$G$32="Yes",38&gt;=Projects!$C$32,38&lt;Projects!$C$32+Projects!$D$32),Projects!$B$32*INDEX(Curves!$B$4:$AR$4,1,38-Projects!$C$32+1),0)+IF(AND(Projects!$G$33="Yes",38&gt;=Projects!$C$33,38&lt;Projects!$C$33+Projects!$D$33),Projects!$B$33*INDEX(Curves!$B$4:$AR$4,1,38-Projects!$C$33+1),0)+IF(AND(Projects!$G$34="Yes",38&gt;=Projects!$C$34,38&lt;Projects!$C$34+Projects!$D$34),Projects!$B$34*INDEX(Curves!$B$4:$AR$4,1,38-Projects!$C$34+1),0)+IF(AND(Projects!$G$35="Yes",38&gt;=Projects!$C$35,38&lt;Projects!$C$35+Projects!$D$35),Projects!$B$35*INDEX(Curves!$B$4:$AR$4,1,38-Projects!$C$35+1),0)+IF(AND(Projects!$G$36="Yes",38&gt;=Projects!$C$36,38&lt;Projects!$C$36+Projects!$D$36),Projects!$B$36*INDEX(Curves!$B$4:$AR$4,1,38-Projects!$C$36+1),0)+IF(AND(Projects!$G$37="Yes",38&gt;=Projects!$C$37,38&lt;Projects!$C$37+Projects!$D$37),Projects!$B$37*INDEX(Curves!$B$4:$AR$4,1,38-Projects!$C$37+1),0)+IF(AND(Projects!$G$38="Yes",38&gt;=Projects!$C$38,38&lt;Projects!$C$38+Projects!$D$38),Projects!$B$38*INDEX(Curves!$B$4:$AR$4,1,38-Projects!$C$38+1),0)+IF(AND(Projects!$G$39="Yes",38&gt;=Projects!$C$39,38&lt;Projects!$C$39+Projects!$D$39),Projects!$B$39*INDEX(Curves!$B$4:$AR$4,1,38-Projects!$C$39+1),0)+IF(AND(Projects!$G$40="Yes",38&gt;=Projects!$C$40,38&lt;Projects!$C$40+Projects!$D$40),Projects!$B$40*INDEX(Curves!$B$4:$AR$4,1,38-Projects!$C$40+1),0)+IF(AND(Projects!$G$41="Yes",38&gt;=Projects!$C$41,38&lt;Projects!$C$41+Projects!$D$41),Projects!$B$41*INDEX(Curves!$B$4:$AR$4,1,38-Projects!$C$41+1),0)+IF(AND(Projects!$G$42="Yes",38&gt;=Projects!$C$42,38&lt;Projects!$C$42+Projects!$D$42),Projects!$B$42*INDEX(Curves!$B$4:$AR$4,1,38-Projects!$C$42+1),0)+IF(AND(Projects!$G$43="Yes",38&gt;=Projects!$C$43,38&lt;Projects!$C$43+Projects!$D$43),Projects!$B$43*INDEX(Curves!$B$4:$AR$4,1,38-Projects!$C$43+1),0)+IF(AND(Projects!$G$44="Yes",38&gt;=Projects!$C$44,38&lt;Projects!$C$44+Projects!$D$44),Projects!$B$44*INDEX(Curves!$B$4:$AR$4,1,38-Projects!$C$44+1),0)+IF(AND(Projects!$G$45="Yes",38&gt;=Projects!$C$45,38&lt;Projects!$C$45+Projects!$D$45),Projects!$B$45*INDEX(Curves!$B$4:$AR$4,1,38-Projects!$C$45+1),0)+IF(AND(Projects!$G$46="Yes",38&gt;=Projects!$C$46,38&lt;Projects!$C$46+Projects!$D$46),Projects!$B$46*INDEX(Curves!$B$4:$AR$4,1,38-Projects!$C$46+1),0)</f>
        <v>663623.20798986</v>
      </c>
      <c r="AR96" s="315" t="n">
        <f aca="false">IF(AND(Projects!$G$17="Yes",39&gt;=Projects!$C$17,39&lt;Projects!$C$17+Projects!$D$17),Projects!$B$17*INDEX(Curves!$B$4:$AR$4,1,39-Projects!$C$17+1),0)+IF(AND(Projects!$G$18="Yes",39&gt;=Projects!$C$18,39&lt;Projects!$C$18+Projects!$D$18),Projects!$B$18*INDEX(Curves!$B$4:$AR$4,1,39-Projects!$C$18+1),0)+IF(AND(Projects!$G$19="Yes",39&gt;=Projects!$C$19,39&lt;Projects!$C$19+Projects!$D$19),Projects!$B$19*INDEX(Curves!$B$4:$AR$4,1,39-Projects!$C$19+1),0)+IF(AND(Projects!$G$20="Yes",39&gt;=Projects!$C$20,39&lt;Projects!$C$20+Projects!$D$20),Projects!$B$20*INDEX(Curves!$B$4:$AR$4,1,39-Projects!$C$20+1),0)+IF(AND(Projects!$G$21="Yes",39&gt;=Projects!$C$21,39&lt;Projects!$C$21+Projects!$D$21),Projects!$B$21*INDEX(Curves!$B$4:$AR$4,1,39-Projects!$C$21+1),0)+IF(AND(Projects!$G$22="Yes",39&gt;=Projects!$C$22,39&lt;Projects!$C$22+Projects!$D$22),Projects!$B$22*INDEX(Curves!$B$4:$AR$4,1,39-Projects!$C$22+1),0)+IF(AND(Projects!$G$23="Yes",39&gt;=Projects!$C$23,39&lt;Projects!$C$23+Projects!$D$23),Projects!$B$23*INDEX(Curves!$B$4:$AR$4,1,39-Projects!$C$23+1),0)+IF(AND(Projects!$G$24="Yes",39&gt;=Projects!$C$24,39&lt;Projects!$C$24+Projects!$D$24),Projects!$B$24*INDEX(Curves!$B$4:$AR$4,1,39-Projects!$C$24+1),0)+IF(AND(Projects!$G$25="Yes",39&gt;=Projects!$C$25,39&lt;Projects!$C$25+Projects!$D$25),Projects!$B$25*INDEX(Curves!$B$4:$AR$4,1,39-Projects!$C$25+1),0)+IF(AND(Projects!$G$26="Yes",39&gt;=Projects!$C$26,39&lt;Projects!$C$26+Projects!$D$26),Projects!$B$26*INDEX(Curves!$B$4:$AR$4,1,39-Projects!$C$26+1),0)+IF(AND(Projects!$G$27="Yes",39&gt;=Projects!$C$27,39&lt;Projects!$C$27+Projects!$D$27),Projects!$B$27*INDEX(Curves!$B$4:$AR$4,1,39-Projects!$C$27+1),0)+IF(AND(Projects!$G$28="Yes",39&gt;=Projects!$C$28,39&lt;Projects!$C$28+Projects!$D$28),Projects!$B$28*INDEX(Curves!$B$4:$AR$4,1,39-Projects!$C$28+1),0)+IF(AND(Projects!$G$29="Yes",39&gt;=Projects!$C$29,39&lt;Projects!$C$29+Projects!$D$29),Projects!$B$29*INDEX(Curves!$B$4:$AR$4,1,39-Projects!$C$29+1),0)+IF(AND(Projects!$G$30="Yes",39&gt;=Projects!$C$30,39&lt;Projects!$C$30+Projects!$D$30),Projects!$B$30*INDEX(Curves!$B$4:$AR$4,1,39-Projects!$C$30+1),0)+IF(AND(Projects!$G$31="Yes",39&gt;=Projects!$C$31,39&lt;Projects!$C$31+Projects!$D$31),Projects!$B$31*INDEX(Curves!$B$4:$AR$4,1,39-Projects!$C$31+1),0)+IF(AND(Projects!$G$32="Yes",39&gt;=Projects!$C$32,39&lt;Projects!$C$32+Projects!$D$32),Projects!$B$32*INDEX(Curves!$B$4:$AR$4,1,39-Projects!$C$32+1),0)+IF(AND(Projects!$G$33="Yes",39&gt;=Projects!$C$33,39&lt;Projects!$C$33+Projects!$D$33),Projects!$B$33*INDEX(Curves!$B$4:$AR$4,1,39-Projects!$C$33+1),0)+IF(AND(Projects!$G$34="Yes",39&gt;=Projects!$C$34,39&lt;Projects!$C$34+Projects!$D$34),Projects!$B$34*INDEX(Curves!$B$4:$AR$4,1,39-Projects!$C$34+1),0)+IF(AND(Projects!$G$35="Yes",39&gt;=Projects!$C$35,39&lt;Projects!$C$35+Projects!$D$35),Projects!$B$35*INDEX(Curves!$B$4:$AR$4,1,39-Projects!$C$35+1),0)+IF(AND(Projects!$G$36="Yes",39&gt;=Projects!$C$36,39&lt;Projects!$C$36+Projects!$D$36),Projects!$B$36*INDEX(Curves!$B$4:$AR$4,1,39-Projects!$C$36+1),0)+IF(AND(Projects!$G$37="Yes",39&gt;=Projects!$C$37,39&lt;Projects!$C$37+Projects!$D$37),Projects!$B$37*INDEX(Curves!$B$4:$AR$4,1,39-Projects!$C$37+1),0)+IF(AND(Projects!$G$38="Yes",39&gt;=Projects!$C$38,39&lt;Projects!$C$38+Projects!$D$38),Projects!$B$38*INDEX(Curves!$B$4:$AR$4,1,39-Projects!$C$38+1),0)+IF(AND(Projects!$G$39="Yes",39&gt;=Projects!$C$39,39&lt;Projects!$C$39+Projects!$D$39),Projects!$B$39*INDEX(Curves!$B$4:$AR$4,1,39-Projects!$C$39+1),0)+IF(AND(Projects!$G$40="Yes",39&gt;=Projects!$C$40,39&lt;Projects!$C$40+Projects!$D$40),Projects!$B$40*INDEX(Curves!$B$4:$AR$4,1,39-Projects!$C$40+1),0)+IF(AND(Projects!$G$41="Yes",39&gt;=Projects!$C$41,39&lt;Projects!$C$41+Projects!$D$41),Projects!$B$41*INDEX(Curves!$B$4:$AR$4,1,39-Projects!$C$41+1),0)+IF(AND(Projects!$G$42="Yes",39&gt;=Projects!$C$42,39&lt;Projects!$C$42+Projects!$D$42),Projects!$B$42*INDEX(Curves!$B$4:$AR$4,1,39-Projects!$C$42+1),0)+IF(AND(Projects!$G$43="Yes",39&gt;=Projects!$C$43,39&lt;Projects!$C$43+Projects!$D$43),Projects!$B$43*INDEX(Curves!$B$4:$AR$4,1,39-Projects!$C$43+1),0)+IF(AND(Projects!$G$44="Yes",39&gt;=Projects!$C$44,39&lt;Projects!$C$44+Projects!$D$44),Projects!$B$44*INDEX(Curves!$B$4:$AR$4,1,39-Projects!$C$44+1),0)+IF(AND(Projects!$G$45="Yes",39&gt;=Projects!$C$45,39&lt;Projects!$C$45+Projects!$D$45),Projects!$B$45*INDEX(Curves!$B$4:$AR$4,1,39-Projects!$C$45+1),0)+IF(AND(Projects!$G$46="Yes",39&gt;=Projects!$C$46,39&lt;Projects!$C$46+Projects!$D$46),Projects!$B$46*INDEX(Curves!$B$4:$AR$4,1,39-Projects!$C$46+1),0)</f>
        <v>0</v>
      </c>
      <c r="AS96" s="315" t="n">
        <f aca="false">IF(AND(Projects!$G$17="Yes",40&gt;=Projects!$C$17,40&lt;Projects!$C$17+Projects!$D$17),Projects!$B$17*INDEX(Curves!$B$4:$AR$4,1,40-Projects!$C$17+1),0)+IF(AND(Projects!$G$18="Yes",40&gt;=Projects!$C$18,40&lt;Projects!$C$18+Projects!$D$18),Projects!$B$18*INDEX(Curves!$B$4:$AR$4,1,40-Projects!$C$18+1),0)+IF(AND(Projects!$G$19="Yes",40&gt;=Projects!$C$19,40&lt;Projects!$C$19+Projects!$D$19),Projects!$B$19*INDEX(Curves!$B$4:$AR$4,1,40-Projects!$C$19+1),0)+IF(AND(Projects!$G$20="Yes",40&gt;=Projects!$C$20,40&lt;Projects!$C$20+Projects!$D$20),Projects!$B$20*INDEX(Curves!$B$4:$AR$4,1,40-Projects!$C$20+1),0)+IF(AND(Projects!$G$21="Yes",40&gt;=Projects!$C$21,40&lt;Projects!$C$21+Projects!$D$21),Projects!$B$21*INDEX(Curves!$B$4:$AR$4,1,40-Projects!$C$21+1),0)+IF(AND(Projects!$G$22="Yes",40&gt;=Projects!$C$22,40&lt;Projects!$C$22+Projects!$D$22),Projects!$B$22*INDEX(Curves!$B$4:$AR$4,1,40-Projects!$C$22+1),0)+IF(AND(Projects!$G$23="Yes",40&gt;=Projects!$C$23,40&lt;Projects!$C$23+Projects!$D$23),Projects!$B$23*INDEX(Curves!$B$4:$AR$4,1,40-Projects!$C$23+1),0)+IF(AND(Projects!$G$24="Yes",40&gt;=Projects!$C$24,40&lt;Projects!$C$24+Projects!$D$24),Projects!$B$24*INDEX(Curves!$B$4:$AR$4,1,40-Projects!$C$24+1),0)+IF(AND(Projects!$G$25="Yes",40&gt;=Projects!$C$25,40&lt;Projects!$C$25+Projects!$D$25),Projects!$B$25*INDEX(Curves!$B$4:$AR$4,1,40-Projects!$C$25+1),0)+IF(AND(Projects!$G$26="Yes",40&gt;=Projects!$C$26,40&lt;Projects!$C$26+Projects!$D$26),Projects!$B$26*INDEX(Curves!$B$4:$AR$4,1,40-Projects!$C$26+1),0)+IF(AND(Projects!$G$27="Yes",40&gt;=Projects!$C$27,40&lt;Projects!$C$27+Projects!$D$27),Projects!$B$27*INDEX(Curves!$B$4:$AR$4,1,40-Projects!$C$27+1),0)+IF(AND(Projects!$G$28="Yes",40&gt;=Projects!$C$28,40&lt;Projects!$C$28+Projects!$D$28),Projects!$B$28*INDEX(Curves!$B$4:$AR$4,1,40-Projects!$C$28+1),0)+IF(AND(Projects!$G$29="Yes",40&gt;=Projects!$C$29,40&lt;Projects!$C$29+Projects!$D$29),Projects!$B$29*INDEX(Curves!$B$4:$AR$4,1,40-Projects!$C$29+1),0)+IF(AND(Projects!$G$30="Yes",40&gt;=Projects!$C$30,40&lt;Projects!$C$30+Projects!$D$30),Projects!$B$30*INDEX(Curves!$B$4:$AR$4,1,40-Projects!$C$30+1),0)+IF(AND(Projects!$G$31="Yes",40&gt;=Projects!$C$31,40&lt;Projects!$C$31+Projects!$D$31),Projects!$B$31*INDEX(Curves!$B$4:$AR$4,1,40-Projects!$C$31+1),0)+IF(AND(Projects!$G$32="Yes",40&gt;=Projects!$C$32,40&lt;Projects!$C$32+Projects!$D$32),Projects!$B$32*INDEX(Curves!$B$4:$AR$4,1,40-Projects!$C$32+1),0)+IF(AND(Projects!$G$33="Yes",40&gt;=Projects!$C$33,40&lt;Projects!$C$33+Projects!$D$33),Projects!$B$33*INDEX(Curves!$B$4:$AR$4,1,40-Projects!$C$33+1),0)+IF(AND(Projects!$G$34="Yes",40&gt;=Projects!$C$34,40&lt;Projects!$C$34+Projects!$D$34),Projects!$B$34*INDEX(Curves!$B$4:$AR$4,1,40-Projects!$C$34+1),0)+IF(AND(Projects!$G$35="Yes",40&gt;=Projects!$C$35,40&lt;Projects!$C$35+Projects!$D$35),Projects!$B$35*INDEX(Curves!$B$4:$AR$4,1,40-Projects!$C$35+1),0)+IF(AND(Projects!$G$36="Yes",40&gt;=Projects!$C$36,40&lt;Projects!$C$36+Projects!$D$36),Projects!$B$36*INDEX(Curves!$B$4:$AR$4,1,40-Projects!$C$36+1),0)+IF(AND(Projects!$G$37="Yes",40&gt;=Projects!$C$37,40&lt;Projects!$C$37+Projects!$D$37),Projects!$B$37*INDEX(Curves!$B$4:$AR$4,1,40-Projects!$C$37+1),0)+IF(AND(Projects!$G$38="Yes",40&gt;=Projects!$C$38,40&lt;Projects!$C$38+Projects!$D$38),Projects!$B$38*INDEX(Curves!$B$4:$AR$4,1,40-Projects!$C$38+1),0)+IF(AND(Projects!$G$39="Yes",40&gt;=Projects!$C$39,40&lt;Projects!$C$39+Projects!$D$39),Projects!$B$39*INDEX(Curves!$B$4:$AR$4,1,40-Projects!$C$39+1),0)+IF(AND(Projects!$G$40="Yes",40&gt;=Projects!$C$40,40&lt;Projects!$C$40+Projects!$D$40),Projects!$B$40*INDEX(Curves!$B$4:$AR$4,1,40-Projects!$C$40+1),0)+IF(AND(Projects!$G$41="Yes",40&gt;=Projects!$C$41,40&lt;Projects!$C$41+Projects!$D$41),Projects!$B$41*INDEX(Curves!$B$4:$AR$4,1,40-Projects!$C$41+1),0)+IF(AND(Projects!$G$42="Yes",40&gt;=Projects!$C$42,40&lt;Projects!$C$42+Projects!$D$42),Projects!$B$42*INDEX(Curves!$B$4:$AR$4,1,40-Projects!$C$42+1),0)+IF(AND(Projects!$G$43="Yes",40&gt;=Projects!$C$43,40&lt;Projects!$C$43+Projects!$D$43),Projects!$B$43*INDEX(Curves!$B$4:$AR$4,1,40-Projects!$C$43+1),0)+IF(AND(Projects!$G$44="Yes",40&gt;=Projects!$C$44,40&lt;Projects!$C$44+Projects!$D$44),Projects!$B$44*INDEX(Curves!$B$4:$AR$4,1,40-Projects!$C$44+1),0)+IF(AND(Projects!$G$45="Yes",40&gt;=Projects!$C$45,40&lt;Projects!$C$45+Projects!$D$45),Projects!$B$45*INDEX(Curves!$B$4:$AR$4,1,40-Projects!$C$45+1),0)+IF(AND(Projects!$G$46="Yes",40&gt;=Projects!$C$46,40&lt;Projects!$C$46+Projects!$D$46),Projects!$B$46*INDEX(Curves!$B$4:$AR$4,1,40-Projects!$C$46+1),0)</f>
        <v>0</v>
      </c>
      <c r="AT96" s="315" t="n">
        <f aca="false">IF(AND(Projects!$G$17="Yes",41&gt;=Projects!$C$17,41&lt;Projects!$C$17+Projects!$D$17),Projects!$B$17*INDEX(Curves!$B$4:$AR$4,1,41-Projects!$C$17+1),0)+IF(AND(Projects!$G$18="Yes",41&gt;=Projects!$C$18,41&lt;Projects!$C$18+Projects!$D$18),Projects!$B$18*INDEX(Curves!$B$4:$AR$4,1,41-Projects!$C$18+1),0)+IF(AND(Projects!$G$19="Yes",41&gt;=Projects!$C$19,41&lt;Projects!$C$19+Projects!$D$19),Projects!$B$19*INDEX(Curves!$B$4:$AR$4,1,41-Projects!$C$19+1),0)+IF(AND(Projects!$G$20="Yes",41&gt;=Projects!$C$20,41&lt;Projects!$C$20+Projects!$D$20),Projects!$B$20*INDEX(Curves!$B$4:$AR$4,1,41-Projects!$C$20+1),0)+IF(AND(Projects!$G$21="Yes",41&gt;=Projects!$C$21,41&lt;Projects!$C$21+Projects!$D$21),Projects!$B$21*INDEX(Curves!$B$4:$AR$4,1,41-Projects!$C$21+1),0)+IF(AND(Projects!$G$22="Yes",41&gt;=Projects!$C$22,41&lt;Projects!$C$22+Projects!$D$22),Projects!$B$22*INDEX(Curves!$B$4:$AR$4,1,41-Projects!$C$22+1),0)+IF(AND(Projects!$G$23="Yes",41&gt;=Projects!$C$23,41&lt;Projects!$C$23+Projects!$D$23),Projects!$B$23*INDEX(Curves!$B$4:$AR$4,1,41-Projects!$C$23+1),0)+IF(AND(Projects!$G$24="Yes",41&gt;=Projects!$C$24,41&lt;Projects!$C$24+Projects!$D$24),Projects!$B$24*INDEX(Curves!$B$4:$AR$4,1,41-Projects!$C$24+1),0)+IF(AND(Projects!$G$25="Yes",41&gt;=Projects!$C$25,41&lt;Projects!$C$25+Projects!$D$25),Projects!$B$25*INDEX(Curves!$B$4:$AR$4,1,41-Projects!$C$25+1),0)+IF(AND(Projects!$G$26="Yes",41&gt;=Projects!$C$26,41&lt;Projects!$C$26+Projects!$D$26),Projects!$B$26*INDEX(Curves!$B$4:$AR$4,1,41-Projects!$C$26+1),0)+IF(AND(Projects!$G$27="Yes",41&gt;=Projects!$C$27,41&lt;Projects!$C$27+Projects!$D$27),Projects!$B$27*INDEX(Curves!$B$4:$AR$4,1,41-Projects!$C$27+1),0)+IF(AND(Projects!$G$28="Yes",41&gt;=Projects!$C$28,41&lt;Projects!$C$28+Projects!$D$28),Projects!$B$28*INDEX(Curves!$B$4:$AR$4,1,41-Projects!$C$28+1),0)+IF(AND(Projects!$G$29="Yes",41&gt;=Projects!$C$29,41&lt;Projects!$C$29+Projects!$D$29),Projects!$B$29*INDEX(Curves!$B$4:$AR$4,1,41-Projects!$C$29+1),0)+IF(AND(Projects!$G$30="Yes",41&gt;=Projects!$C$30,41&lt;Projects!$C$30+Projects!$D$30),Projects!$B$30*INDEX(Curves!$B$4:$AR$4,1,41-Projects!$C$30+1),0)+IF(AND(Projects!$G$31="Yes",41&gt;=Projects!$C$31,41&lt;Projects!$C$31+Projects!$D$31),Projects!$B$31*INDEX(Curves!$B$4:$AR$4,1,41-Projects!$C$31+1),0)+IF(AND(Projects!$G$32="Yes",41&gt;=Projects!$C$32,41&lt;Projects!$C$32+Projects!$D$32),Projects!$B$32*INDEX(Curves!$B$4:$AR$4,1,41-Projects!$C$32+1),0)+IF(AND(Projects!$G$33="Yes",41&gt;=Projects!$C$33,41&lt;Projects!$C$33+Projects!$D$33),Projects!$B$33*INDEX(Curves!$B$4:$AR$4,1,41-Projects!$C$33+1),0)+IF(AND(Projects!$G$34="Yes",41&gt;=Projects!$C$34,41&lt;Projects!$C$34+Projects!$D$34),Projects!$B$34*INDEX(Curves!$B$4:$AR$4,1,41-Projects!$C$34+1),0)+IF(AND(Projects!$G$35="Yes",41&gt;=Projects!$C$35,41&lt;Projects!$C$35+Projects!$D$35),Projects!$B$35*INDEX(Curves!$B$4:$AR$4,1,41-Projects!$C$35+1),0)+IF(AND(Projects!$G$36="Yes",41&gt;=Projects!$C$36,41&lt;Projects!$C$36+Projects!$D$36),Projects!$B$36*INDEX(Curves!$B$4:$AR$4,1,41-Projects!$C$36+1),0)+IF(AND(Projects!$G$37="Yes",41&gt;=Projects!$C$37,41&lt;Projects!$C$37+Projects!$D$37),Projects!$B$37*INDEX(Curves!$B$4:$AR$4,1,41-Projects!$C$37+1),0)+IF(AND(Projects!$G$38="Yes",41&gt;=Projects!$C$38,41&lt;Projects!$C$38+Projects!$D$38),Projects!$B$38*INDEX(Curves!$B$4:$AR$4,1,41-Projects!$C$38+1),0)+IF(AND(Projects!$G$39="Yes",41&gt;=Projects!$C$39,41&lt;Projects!$C$39+Projects!$D$39),Projects!$B$39*INDEX(Curves!$B$4:$AR$4,1,41-Projects!$C$39+1),0)+IF(AND(Projects!$G$40="Yes",41&gt;=Projects!$C$40,41&lt;Projects!$C$40+Projects!$D$40),Projects!$B$40*INDEX(Curves!$B$4:$AR$4,1,41-Projects!$C$40+1),0)+IF(AND(Projects!$G$41="Yes",41&gt;=Projects!$C$41,41&lt;Projects!$C$41+Projects!$D$41),Projects!$B$41*INDEX(Curves!$B$4:$AR$4,1,41-Projects!$C$41+1),0)+IF(AND(Projects!$G$42="Yes",41&gt;=Projects!$C$42,41&lt;Projects!$C$42+Projects!$D$42),Projects!$B$42*INDEX(Curves!$B$4:$AR$4,1,41-Projects!$C$42+1),0)+IF(AND(Projects!$G$43="Yes",41&gt;=Projects!$C$43,41&lt;Projects!$C$43+Projects!$D$43),Projects!$B$43*INDEX(Curves!$B$4:$AR$4,1,41-Projects!$C$43+1),0)+IF(AND(Projects!$G$44="Yes",41&gt;=Projects!$C$44,41&lt;Projects!$C$44+Projects!$D$44),Projects!$B$44*INDEX(Curves!$B$4:$AR$4,1,41-Projects!$C$44+1),0)+IF(AND(Projects!$G$45="Yes",41&gt;=Projects!$C$45,41&lt;Projects!$C$45+Projects!$D$45),Projects!$B$45*INDEX(Curves!$B$4:$AR$4,1,41-Projects!$C$45+1),0)+IF(AND(Projects!$G$46="Yes",41&gt;=Projects!$C$46,41&lt;Projects!$C$46+Projects!$D$46),Projects!$B$46*INDEX(Curves!$B$4:$AR$4,1,41-Projects!$C$46+1),0)</f>
        <v>0</v>
      </c>
      <c r="AU96" s="315" t="n">
        <f aca="false">IF(AND(Projects!$G$17="Yes",42&gt;=Projects!$C$17,42&lt;Projects!$C$17+Projects!$D$17),Projects!$B$17*INDEX(Curves!$B$4:$AR$4,1,42-Projects!$C$17+1),0)+IF(AND(Projects!$G$18="Yes",42&gt;=Projects!$C$18,42&lt;Projects!$C$18+Projects!$D$18),Projects!$B$18*INDEX(Curves!$B$4:$AR$4,1,42-Projects!$C$18+1),0)+IF(AND(Projects!$G$19="Yes",42&gt;=Projects!$C$19,42&lt;Projects!$C$19+Projects!$D$19),Projects!$B$19*INDEX(Curves!$B$4:$AR$4,1,42-Projects!$C$19+1),0)+IF(AND(Projects!$G$20="Yes",42&gt;=Projects!$C$20,42&lt;Projects!$C$20+Projects!$D$20),Projects!$B$20*INDEX(Curves!$B$4:$AR$4,1,42-Projects!$C$20+1),0)+IF(AND(Projects!$G$21="Yes",42&gt;=Projects!$C$21,42&lt;Projects!$C$21+Projects!$D$21),Projects!$B$21*INDEX(Curves!$B$4:$AR$4,1,42-Projects!$C$21+1),0)+IF(AND(Projects!$G$22="Yes",42&gt;=Projects!$C$22,42&lt;Projects!$C$22+Projects!$D$22),Projects!$B$22*INDEX(Curves!$B$4:$AR$4,1,42-Projects!$C$22+1),0)+IF(AND(Projects!$G$23="Yes",42&gt;=Projects!$C$23,42&lt;Projects!$C$23+Projects!$D$23),Projects!$B$23*INDEX(Curves!$B$4:$AR$4,1,42-Projects!$C$23+1),0)+IF(AND(Projects!$G$24="Yes",42&gt;=Projects!$C$24,42&lt;Projects!$C$24+Projects!$D$24),Projects!$B$24*INDEX(Curves!$B$4:$AR$4,1,42-Projects!$C$24+1),0)+IF(AND(Projects!$G$25="Yes",42&gt;=Projects!$C$25,42&lt;Projects!$C$25+Projects!$D$25),Projects!$B$25*INDEX(Curves!$B$4:$AR$4,1,42-Projects!$C$25+1),0)+IF(AND(Projects!$G$26="Yes",42&gt;=Projects!$C$26,42&lt;Projects!$C$26+Projects!$D$26),Projects!$B$26*INDEX(Curves!$B$4:$AR$4,1,42-Projects!$C$26+1),0)+IF(AND(Projects!$G$27="Yes",42&gt;=Projects!$C$27,42&lt;Projects!$C$27+Projects!$D$27),Projects!$B$27*INDEX(Curves!$B$4:$AR$4,1,42-Projects!$C$27+1),0)+IF(AND(Projects!$G$28="Yes",42&gt;=Projects!$C$28,42&lt;Projects!$C$28+Projects!$D$28),Projects!$B$28*INDEX(Curves!$B$4:$AR$4,1,42-Projects!$C$28+1),0)+IF(AND(Projects!$G$29="Yes",42&gt;=Projects!$C$29,42&lt;Projects!$C$29+Projects!$D$29),Projects!$B$29*INDEX(Curves!$B$4:$AR$4,1,42-Projects!$C$29+1),0)+IF(AND(Projects!$G$30="Yes",42&gt;=Projects!$C$30,42&lt;Projects!$C$30+Projects!$D$30),Projects!$B$30*INDEX(Curves!$B$4:$AR$4,1,42-Projects!$C$30+1),0)+IF(AND(Projects!$G$31="Yes",42&gt;=Projects!$C$31,42&lt;Projects!$C$31+Projects!$D$31),Projects!$B$31*INDEX(Curves!$B$4:$AR$4,1,42-Projects!$C$31+1),0)+IF(AND(Projects!$G$32="Yes",42&gt;=Projects!$C$32,42&lt;Projects!$C$32+Projects!$D$32),Projects!$B$32*INDEX(Curves!$B$4:$AR$4,1,42-Projects!$C$32+1),0)+IF(AND(Projects!$G$33="Yes",42&gt;=Projects!$C$33,42&lt;Projects!$C$33+Projects!$D$33),Projects!$B$33*INDEX(Curves!$B$4:$AR$4,1,42-Projects!$C$33+1),0)+IF(AND(Projects!$G$34="Yes",42&gt;=Projects!$C$34,42&lt;Projects!$C$34+Projects!$D$34),Projects!$B$34*INDEX(Curves!$B$4:$AR$4,1,42-Projects!$C$34+1),0)+IF(AND(Projects!$G$35="Yes",42&gt;=Projects!$C$35,42&lt;Projects!$C$35+Projects!$D$35),Projects!$B$35*INDEX(Curves!$B$4:$AR$4,1,42-Projects!$C$35+1),0)+IF(AND(Projects!$G$36="Yes",42&gt;=Projects!$C$36,42&lt;Projects!$C$36+Projects!$D$36),Projects!$B$36*INDEX(Curves!$B$4:$AR$4,1,42-Projects!$C$36+1),0)+IF(AND(Projects!$G$37="Yes",42&gt;=Projects!$C$37,42&lt;Projects!$C$37+Projects!$D$37),Projects!$B$37*INDEX(Curves!$B$4:$AR$4,1,42-Projects!$C$37+1),0)+IF(AND(Projects!$G$38="Yes",42&gt;=Projects!$C$38,42&lt;Projects!$C$38+Projects!$D$38),Projects!$B$38*INDEX(Curves!$B$4:$AR$4,1,42-Projects!$C$38+1),0)+IF(AND(Projects!$G$39="Yes",42&gt;=Projects!$C$39,42&lt;Projects!$C$39+Projects!$D$39),Projects!$B$39*INDEX(Curves!$B$4:$AR$4,1,42-Projects!$C$39+1),0)+IF(AND(Projects!$G$40="Yes",42&gt;=Projects!$C$40,42&lt;Projects!$C$40+Projects!$D$40),Projects!$B$40*INDEX(Curves!$B$4:$AR$4,1,42-Projects!$C$40+1),0)+IF(AND(Projects!$G$41="Yes",42&gt;=Projects!$C$41,42&lt;Projects!$C$41+Projects!$D$41),Projects!$B$41*INDEX(Curves!$B$4:$AR$4,1,42-Projects!$C$41+1),0)+IF(AND(Projects!$G$42="Yes",42&gt;=Projects!$C$42,42&lt;Projects!$C$42+Projects!$D$42),Projects!$B$42*INDEX(Curves!$B$4:$AR$4,1,42-Projects!$C$42+1),0)+IF(AND(Projects!$G$43="Yes",42&gt;=Projects!$C$43,42&lt;Projects!$C$43+Projects!$D$43),Projects!$B$43*INDEX(Curves!$B$4:$AR$4,1,42-Projects!$C$43+1),0)+IF(AND(Projects!$G$44="Yes",42&gt;=Projects!$C$44,42&lt;Projects!$C$44+Projects!$D$44),Projects!$B$44*INDEX(Curves!$B$4:$AR$4,1,42-Projects!$C$44+1),0)+IF(AND(Projects!$G$45="Yes",42&gt;=Projects!$C$45,42&lt;Projects!$C$45+Projects!$D$45),Projects!$B$45*INDEX(Curves!$B$4:$AR$4,1,42-Projects!$C$45+1),0)+IF(AND(Projects!$G$46="Yes",42&gt;=Projects!$C$46,42&lt;Projects!$C$46+Projects!$D$46),Projects!$B$46*INDEX(Curves!$B$4:$AR$4,1,42-Projects!$C$46+1),0)</f>
        <v>0</v>
      </c>
      <c r="AV96" s="315" t="n">
        <f aca="false">IF(AND(Projects!$G$17="Yes",43&gt;=Projects!$C$17,43&lt;Projects!$C$17+Projects!$D$17),Projects!$B$17*INDEX(Curves!$B$4:$AR$4,1,43-Projects!$C$17+1),0)+IF(AND(Projects!$G$18="Yes",43&gt;=Projects!$C$18,43&lt;Projects!$C$18+Projects!$D$18),Projects!$B$18*INDEX(Curves!$B$4:$AR$4,1,43-Projects!$C$18+1),0)+IF(AND(Projects!$G$19="Yes",43&gt;=Projects!$C$19,43&lt;Projects!$C$19+Projects!$D$19),Projects!$B$19*INDEX(Curves!$B$4:$AR$4,1,43-Projects!$C$19+1),0)+IF(AND(Projects!$G$20="Yes",43&gt;=Projects!$C$20,43&lt;Projects!$C$20+Projects!$D$20),Projects!$B$20*INDEX(Curves!$B$4:$AR$4,1,43-Projects!$C$20+1),0)+IF(AND(Projects!$G$21="Yes",43&gt;=Projects!$C$21,43&lt;Projects!$C$21+Projects!$D$21),Projects!$B$21*INDEX(Curves!$B$4:$AR$4,1,43-Projects!$C$21+1),0)+IF(AND(Projects!$G$22="Yes",43&gt;=Projects!$C$22,43&lt;Projects!$C$22+Projects!$D$22),Projects!$B$22*INDEX(Curves!$B$4:$AR$4,1,43-Projects!$C$22+1),0)+IF(AND(Projects!$G$23="Yes",43&gt;=Projects!$C$23,43&lt;Projects!$C$23+Projects!$D$23),Projects!$B$23*INDEX(Curves!$B$4:$AR$4,1,43-Projects!$C$23+1),0)+IF(AND(Projects!$G$24="Yes",43&gt;=Projects!$C$24,43&lt;Projects!$C$24+Projects!$D$24),Projects!$B$24*INDEX(Curves!$B$4:$AR$4,1,43-Projects!$C$24+1),0)+IF(AND(Projects!$G$25="Yes",43&gt;=Projects!$C$25,43&lt;Projects!$C$25+Projects!$D$25),Projects!$B$25*INDEX(Curves!$B$4:$AR$4,1,43-Projects!$C$25+1),0)+IF(AND(Projects!$G$26="Yes",43&gt;=Projects!$C$26,43&lt;Projects!$C$26+Projects!$D$26),Projects!$B$26*INDEX(Curves!$B$4:$AR$4,1,43-Projects!$C$26+1),0)+IF(AND(Projects!$G$27="Yes",43&gt;=Projects!$C$27,43&lt;Projects!$C$27+Projects!$D$27),Projects!$B$27*INDEX(Curves!$B$4:$AR$4,1,43-Projects!$C$27+1),0)+IF(AND(Projects!$G$28="Yes",43&gt;=Projects!$C$28,43&lt;Projects!$C$28+Projects!$D$28),Projects!$B$28*INDEX(Curves!$B$4:$AR$4,1,43-Projects!$C$28+1),0)+IF(AND(Projects!$G$29="Yes",43&gt;=Projects!$C$29,43&lt;Projects!$C$29+Projects!$D$29),Projects!$B$29*INDEX(Curves!$B$4:$AR$4,1,43-Projects!$C$29+1),0)+IF(AND(Projects!$G$30="Yes",43&gt;=Projects!$C$30,43&lt;Projects!$C$30+Projects!$D$30),Projects!$B$30*INDEX(Curves!$B$4:$AR$4,1,43-Projects!$C$30+1),0)+IF(AND(Projects!$G$31="Yes",43&gt;=Projects!$C$31,43&lt;Projects!$C$31+Projects!$D$31),Projects!$B$31*INDEX(Curves!$B$4:$AR$4,1,43-Projects!$C$31+1),0)+IF(AND(Projects!$G$32="Yes",43&gt;=Projects!$C$32,43&lt;Projects!$C$32+Projects!$D$32),Projects!$B$32*INDEX(Curves!$B$4:$AR$4,1,43-Projects!$C$32+1),0)+IF(AND(Projects!$G$33="Yes",43&gt;=Projects!$C$33,43&lt;Projects!$C$33+Projects!$D$33),Projects!$B$33*INDEX(Curves!$B$4:$AR$4,1,43-Projects!$C$33+1),0)+IF(AND(Projects!$G$34="Yes",43&gt;=Projects!$C$34,43&lt;Projects!$C$34+Projects!$D$34),Projects!$B$34*INDEX(Curves!$B$4:$AR$4,1,43-Projects!$C$34+1),0)+IF(AND(Projects!$G$35="Yes",43&gt;=Projects!$C$35,43&lt;Projects!$C$35+Projects!$D$35),Projects!$B$35*INDEX(Curves!$B$4:$AR$4,1,43-Projects!$C$35+1),0)+IF(AND(Projects!$G$36="Yes",43&gt;=Projects!$C$36,43&lt;Projects!$C$36+Projects!$D$36),Projects!$B$36*INDEX(Curves!$B$4:$AR$4,1,43-Projects!$C$36+1),0)+IF(AND(Projects!$G$37="Yes",43&gt;=Projects!$C$37,43&lt;Projects!$C$37+Projects!$D$37),Projects!$B$37*INDEX(Curves!$B$4:$AR$4,1,43-Projects!$C$37+1),0)+IF(AND(Projects!$G$38="Yes",43&gt;=Projects!$C$38,43&lt;Projects!$C$38+Projects!$D$38),Projects!$B$38*INDEX(Curves!$B$4:$AR$4,1,43-Projects!$C$38+1),0)+IF(AND(Projects!$G$39="Yes",43&gt;=Projects!$C$39,43&lt;Projects!$C$39+Projects!$D$39),Projects!$B$39*INDEX(Curves!$B$4:$AR$4,1,43-Projects!$C$39+1),0)+IF(AND(Projects!$G$40="Yes",43&gt;=Projects!$C$40,43&lt;Projects!$C$40+Projects!$D$40),Projects!$B$40*INDEX(Curves!$B$4:$AR$4,1,43-Projects!$C$40+1),0)+IF(AND(Projects!$G$41="Yes",43&gt;=Projects!$C$41,43&lt;Projects!$C$41+Projects!$D$41),Projects!$B$41*INDEX(Curves!$B$4:$AR$4,1,43-Projects!$C$41+1),0)+IF(AND(Projects!$G$42="Yes",43&gt;=Projects!$C$42,43&lt;Projects!$C$42+Projects!$D$42),Projects!$B$42*INDEX(Curves!$B$4:$AR$4,1,43-Projects!$C$42+1),0)+IF(AND(Projects!$G$43="Yes",43&gt;=Projects!$C$43,43&lt;Projects!$C$43+Projects!$D$43),Projects!$B$43*INDEX(Curves!$B$4:$AR$4,1,43-Projects!$C$43+1),0)+IF(AND(Projects!$G$44="Yes",43&gt;=Projects!$C$44,43&lt;Projects!$C$44+Projects!$D$44),Projects!$B$44*INDEX(Curves!$B$4:$AR$4,1,43-Projects!$C$44+1),0)+IF(AND(Projects!$G$45="Yes",43&gt;=Projects!$C$45,43&lt;Projects!$C$45+Projects!$D$45),Projects!$B$45*INDEX(Curves!$B$4:$AR$4,1,43-Projects!$C$45+1),0)+IF(AND(Projects!$G$46="Yes",43&gt;=Projects!$C$46,43&lt;Projects!$C$46+Projects!$D$46),Projects!$B$46*INDEX(Curves!$B$4:$AR$4,1,43-Projects!$C$46+1),0)</f>
        <v>0</v>
      </c>
      <c r="AW96" s="315" t="n">
        <f aca="false">IF(AND(Projects!$G$17="Yes",44&gt;=Projects!$C$17,44&lt;Projects!$C$17+Projects!$D$17),Projects!$B$17*INDEX(Curves!$B$4:$AR$4,1,44-Projects!$C$17+1),0)+IF(AND(Projects!$G$18="Yes",44&gt;=Projects!$C$18,44&lt;Projects!$C$18+Projects!$D$18),Projects!$B$18*INDEX(Curves!$B$4:$AR$4,1,44-Projects!$C$18+1),0)+IF(AND(Projects!$G$19="Yes",44&gt;=Projects!$C$19,44&lt;Projects!$C$19+Projects!$D$19),Projects!$B$19*INDEX(Curves!$B$4:$AR$4,1,44-Projects!$C$19+1),0)+IF(AND(Projects!$G$20="Yes",44&gt;=Projects!$C$20,44&lt;Projects!$C$20+Projects!$D$20),Projects!$B$20*INDEX(Curves!$B$4:$AR$4,1,44-Projects!$C$20+1),0)+IF(AND(Projects!$G$21="Yes",44&gt;=Projects!$C$21,44&lt;Projects!$C$21+Projects!$D$21),Projects!$B$21*INDEX(Curves!$B$4:$AR$4,1,44-Projects!$C$21+1),0)+IF(AND(Projects!$G$22="Yes",44&gt;=Projects!$C$22,44&lt;Projects!$C$22+Projects!$D$22),Projects!$B$22*INDEX(Curves!$B$4:$AR$4,1,44-Projects!$C$22+1),0)+IF(AND(Projects!$G$23="Yes",44&gt;=Projects!$C$23,44&lt;Projects!$C$23+Projects!$D$23),Projects!$B$23*INDEX(Curves!$B$4:$AR$4,1,44-Projects!$C$23+1),0)+IF(AND(Projects!$G$24="Yes",44&gt;=Projects!$C$24,44&lt;Projects!$C$24+Projects!$D$24),Projects!$B$24*INDEX(Curves!$B$4:$AR$4,1,44-Projects!$C$24+1),0)+IF(AND(Projects!$G$25="Yes",44&gt;=Projects!$C$25,44&lt;Projects!$C$25+Projects!$D$25),Projects!$B$25*INDEX(Curves!$B$4:$AR$4,1,44-Projects!$C$25+1),0)+IF(AND(Projects!$G$26="Yes",44&gt;=Projects!$C$26,44&lt;Projects!$C$26+Projects!$D$26),Projects!$B$26*INDEX(Curves!$B$4:$AR$4,1,44-Projects!$C$26+1),0)+IF(AND(Projects!$G$27="Yes",44&gt;=Projects!$C$27,44&lt;Projects!$C$27+Projects!$D$27),Projects!$B$27*INDEX(Curves!$B$4:$AR$4,1,44-Projects!$C$27+1),0)+IF(AND(Projects!$G$28="Yes",44&gt;=Projects!$C$28,44&lt;Projects!$C$28+Projects!$D$28),Projects!$B$28*INDEX(Curves!$B$4:$AR$4,1,44-Projects!$C$28+1),0)+IF(AND(Projects!$G$29="Yes",44&gt;=Projects!$C$29,44&lt;Projects!$C$29+Projects!$D$29),Projects!$B$29*INDEX(Curves!$B$4:$AR$4,1,44-Projects!$C$29+1),0)+IF(AND(Projects!$G$30="Yes",44&gt;=Projects!$C$30,44&lt;Projects!$C$30+Projects!$D$30),Projects!$B$30*INDEX(Curves!$B$4:$AR$4,1,44-Projects!$C$30+1),0)+IF(AND(Projects!$G$31="Yes",44&gt;=Projects!$C$31,44&lt;Projects!$C$31+Projects!$D$31),Projects!$B$31*INDEX(Curves!$B$4:$AR$4,1,44-Projects!$C$31+1),0)+IF(AND(Projects!$G$32="Yes",44&gt;=Projects!$C$32,44&lt;Projects!$C$32+Projects!$D$32),Projects!$B$32*INDEX(Curves!$B$4:$AR$4,1,44-Projects!$C$32+1),0)+IF(AND(Projects!$G$33="Yes",44&gt;=Projects!$C$33,44&lt;Projects!$C$33+Projects!$D$33),Projects!$B$33*INDEX(Curves!$B$4:$AR$4,1,44-Projects!$C$33+1),0)+IF(AND(Projects!$G$34="Yes",44&gt;=Projects!$C$34,44&lt;Projects!$C$34+Projects!$D$34),Projects!$B$34*INDEX(Curves!$B$4:$AR$4,1,44-Projects!$C$34+1),0)+IF(AND(Projects!$G$35="Yes",44&gt;=Projects!$C$35,44&lt;Projects!$C$35+Projects!$D$35),Projects!$B$35*INDEX(Curves!$B$4:$AR$4,1,44-Projects!$C$35+1),0)+IF(AND(Projects!$G$36="Yes",44&gt;=Projects!$C$36,44&lt;Projects!$C$36+Projects!$D$36),Projects!$B$36*INDEX(Curves!$B$4:$AR$4,1,44-Projects!$C$36+1),0)+IF(AND(Projects!$G$37="Yes",44&gt;=Projects!$C$37,44&lt;Projects!$C$37+Projects!$D$37),Projects!$B$37*INDEX(Curves!$B$4:$AR$4,1,44-Projects!$C$37+1),0)+IF(AND(Projects!$G$38="Yes",44&gt;=Projects!$C$38,44&lt;Projects!$C$38+Projects!$D$38),Projects!$B$38*INDEX(Curves!$B$4:$AR$4,1,44-Projects!$C$38+1),0)+IF(AND(Projects!$G$39="Yes",44&gt;=Projects!$C$39,44&lt;Projects!$C$39+Projects!$D$39),Projects!$B$39*INDEX(Curves!$B$4:$AR$4,1,44-Projects!$C$39+1),0)+IF(AND(Projects!$G$40="Yes",44&gt;=Projects!$C$40,44&lt;Projects!$C$40+Projects!$D$40),Projects!$B$40*INDEX(Curves!$B$4:$AR$4,1,44-Projects!$C$40+1),0)+IF(AND(Projects!$G$41="Yes",44&gt;=Projects!$C$41,44&lt;Projects!$C$41+Projects!$D$41),Projects!$B$41*INDEX(Curves!$B$4:$AR$4,1,44-Projects!$C$41+1),0)+IF(AND(Projects!$G$42="Yes",44&gt;=Projects!$C$42,44&lt;Projects!$C$42+Projects!$D$42),Projects!$B$42*INDEX(Curves!$B$4:$AR$4,1,44-Projects!$C$42+1),0)+IF(AND(Projects!$G$43="Yes",44&gt;=Projects!$C$43,44&lt;Projects!$C$43+Projects!$D$43),Projects!$B$43*INDEX(Curves!$B$4:$AR$4,1,44-Projects!$C$43+1),0)+IF(AND(Projects!$G$44="Yes",44&gt;=Projects!$C$44,44&lt;Projects!$C$44+Projects!$D$44),Projects!$B$44*INDEX(Curves!$B$4:$AR$4,1,44-Projects!$C$44+1),0)+IF(AND(Projects!$G$45="Yes",44&gt;=Projects!$C$45,44&lt;Projects!$C$45+Projects!$D$45),Projects!$B$45*INDEX(Curves!$B$4:$AR$4,1,44-Projects!$C$45+1),0)+IF(AND(Projects!$G$46="Yes",44&gt;=Projects!$C$46,44&lt;Projects!$C$46+Projects!$D$46),Projects!$B$46*INDEX(Curves!$B$4:$AR$4,1,44-Projects!$C$46+1),0)</f>
        <v>0</v>
      </c>
      <c r="AX96" s="315" t="n">
        <f aca="false">IF(AND(Projects!$G$17="Yes",45&gt;=Projects!$C$17,45&lt;Projects!$C$17+Projects!$D$17),Projects!$B$17*INDEX(Curves!$B$4:$AR$4,1,45-Projects!$C$17+1),0)+IF(AND(Projects!$G$18="Yes",45&gt;=Projects!$C$18,45&lt;Projects!$C$18+Projects!$D$18),Projects!$B$18*INDEX(Curves!$B$4:$AR$4,1,45-Projects!$C$18+1),0)+IF(AND(Projects!$G$19="Yes",45&gt;=Projects!$C$19,45&lt;Projects!$C$19+Projects!$D$19),Projects!$B$19*INDEX(Curves!$B$4:$AR$4,1,45-Projects!$C$19+1),0)+IF(AND(Projects!$G$20="Yes",45&gt;=Projects!$C$20,45&lt;Projects!$C$20+Projects!$D$20),Projects!$B$20*INDEX(Curves!$B$4:$AR$4,1,45-Projects!$C$20+1),0)+IF(AND(Projects!$G$21="Yes",45&gt;=Projects!$C$21,45&lt;Projects!$C$21+Projects!$D$21),Projects!$B$21*INDEX(Curves!$B$4:$AR$4,1,45-Projects!$C$21+1),0)+IF(AND(Projects!$G$22="Yes",45&gt;=Projects!$C$22,45&lt;Projects!$C$22+Projects!$D$22),Projects!$B$22*INDEX(Curves!$B$4:$AR$4,1,45-Projects!$C$22+1),0)+IF(AND(Projects!$G$23="Yes",45&gt;=Projects!$C$23,45&lt;Projects!$C$23+Projects!$D$23),Projects!$B$23*INDEX(Curves!$B$4:$AR$4,1,45-Projects!$C$23+1),0)+IF(AND(Projects!$G$24="Yes",45&gt;=Projects!$C$24,45&lt;Projects!$C$24+Projects!$D$24),Projects!$B$24*INDEX(Curves!$B$4:$AR$4,1,45-Projects!$C$24+1),0)+IF(AND(Projects!$G$25="Yes",45&gt;=Projects!$C$25,45&lt;Projects!$C$25+Projects!$D$25),Projects!$B$25*INDEX(Curves!$B$4:$AR$4,1,45-Projects!$C$25+1),0)+IF(AND(Projects!$G$26="Yes",45&gt;=Projects!$C$26,45&lt;Projects!$C$26+Projects!$D$26),Projects!$B$26*INDEX(Curves!$B$4:$AR$4,1,45-Projects!$C$26+1),0)+IF(AND(Projects!$G$27="Yes",45&gt;=Projects!$C$27,45&lt;Projects!$C$27+Projects!$D$27),Projects!$B$27*INDEX(Curves!$B$4:$AR$4,1,45-Projects!$C$27+1),0)+IF(AND(Projects!$G$28="Yes",45&gt;=Projects!$C$28,45&lt;Projects!$C$28+Projects!$D$28),Projects!$B$28*INDEX(Curves!$B$4:$AR$4,1,45-Projects!$C$28+1),0)+IF(AND(Projects!$G$29="Yes",45&gt;=Projects!$C$29,45&lt;Projects!$C$29+Projects!$D$29),Projects!$B$29*INDEX(Curves!$B$4:$AR$4,1,45-Projects!$C$29+1),0)+IF(AND(Projects!$G$30="Yes",45&gt;=Projects!$C$30,45&lt;Projects!$C$30+Projects!$D$30),Projects!$B$30*INDEX(Curves!$B$4:$AR$4,1,45-Projects!$C$30+1),0)+IF(AND(Projects!$G$31="Yes",45&gt;=Projects!$C$31,45&lt;Projects!$C$31+Projects!$D$31),Projects!$B$31*INDEX(Curves!$B$4:$AR$4,1,45-Projects!$C$31+1),0)+IF(AND(Projects!$G$32="Yes",45&gt;=Projects!$C$32,45&lt;Projects!$C$32+Projects!$D$32),Projects!$B$32*INDEX(Curves!$B$4:$AR$4,1,45-Projects!$C$32+1),0)+IF(AND(Projects!$G$33="Yes",45&gt;=Projects!$C$33,45&lt;Projects!$C$33+Projects!$D$33),Projects!$B$33*INDEX(Curves!$B$4:$AR$4,1,45-Projects!$C$33+1),0)+IF(AND(Projects!$G$34="Yes",45&gt;=Projects!$C$34,45&lt;Projects!$C$34+Projects!$D$34),Projects!$B$34*INDEX(Curves!$B$4:$AR$4,1,45-Projects!$C$34+1),0)+IF(AND(Projects!$G$35="Yes",45&gt;=Projects!$C$35,45&lt;Projects!$C$35+Projects!$D$35),Projects!$B$35*INDEX(Curves!$B$4:$AR$4,1,45-Projects!$C$35+1),0)+IF(AND(Projects!$G$36="Yes",45&gt;=Projects!$C$36,45&lt;Projects!$C$36+Projects!$D$36),Projects!$B$36*INDEX(Curves!$B$4:$AR$4,1,45-Projects!$C$36+1),0)+IF(AND(Projects!$G$37="Yes",45&gt;=Projects!$C$37,45&lt;Projects!$C$37+Projects!$D$37),Projects!$B$37*INDEX(Curves!$B$4:$AR$4,1,45-Projects!$C$37+1),0)+IF(AND(Projects!$G$38="Yes",45&gt;=Projects!$C$38,45&lt;Projects!$C$38+Projects!$D$38),Projects!$B$38*INDEX(Curves!$B$4:$AR$4,1,45-Projects!$C$38+1),0)+IF(AND(Projects!$G$39="Yes",45&gt;=Projects!$C$39,45&lt;Projects!$C$39+Projects!$D$39),Projects!$B$39*INDEX(Curves!$B$4:$AR$4,1,45-Projects!$C$39+1),0)+IF(AND(Projects!$G$40="Yes",45&gt;=Projects!$C$40,45&lt;Projects!$C$40+Projects!$D$40),Projects!$B$40*INDEX(Curves!$B$4:$AR$4,1,45-Projects!$C$40+1),0)+IF(AND(Projects!$G$41="Yes",45&gt;=Projects!$C$41,45&lt;Projects!$C$41+Projects!$D$41),Projects!$B$41*INDEX(Curves!$B$4:$AR$4,1,45-Projects!$C$41+1),0)+IF(AND(Projects!$G$42="Yes",45&gt;=Projects!$C$42,45&lt;Projects!$C$42+Projects!$D$42),Projects!$B$42*INDEX(Curves!$B$4:$AR$4,1,45-Projects!$C$42+1),0)+IF(AND(Projects!$G$43="Yes",45&gt;=Projects!$C$43,45&lt;Projects!$C$43+Projects!$D$43),Projects!$B$43*INDEX(Curves!$B$4:$AR$4,1,45-Projects!$C$43+1),0)+IF(AND(Projects!$G$44="Yes",45&gt;=Projects!$C$44,45&lt;Projects!$C$44+Projects!$D$44),Projects!$B$44*INDEX(Curves!$B$4:$AR$4,1,45-Projects!$C$44+1),0)+IF(AND(Projects!$G$45="Yes",45&gt;=Projects!$C$45,45&lt;Projects!$C$45+Projects!$D$45),Projects!$B$45*INDEX(Curves!$B$4:$AR$4,1,45-Projects!$C$45+1),0)+IF(AND(Projects!$G$46="Yes",45&gt;=Projects!$C$46,45&lt;Projects!$C$46+Projects!$D$46),Projects!$B$46*INDEX(Curves!$B$4:$AR$4,1,45-Projects!$C$46+1),0)</f>
        <v>0</v>
      </c>
      <c r="AY96" s="315" t="n">
        <f aca="false">IF(AND(Projects!$G$17="Yes",46&gt;=Projects!$C$17,46&lt;Projects!$C$17+Projects!$D$17),Projects!$B$17*INDEX(Curves!$B$4:$AR$4,1,46-Projects!$C$17+1),0)+IF(AND(Projects!$G$18="Yes",46&gt;=Projects!$C$18,46&lt;Projects!$C$18+Projects!$D$18),Projects!$B$18*INDEX(Curves!$B$4:$AR$4,1,46-Projects!$C$18+1),0)+IF(AND(Projects!$G$19="Yes",46&gt;=Projects!$C$19,46&lt;Projects!$C$19+Projects!$D$19),Projects!$B$19*INDEX(Curves!$B$4:$AR$4,1,46-Projects!$C$19+1),0)+IF(AND(Projects!$G$20="Yes",46&gt;=Projects!$C$20,46&lt;Projects!$C$20+Projects!$D$20),Projects!$B$20*INDEX(Curves!$B$4:$AR$4,1,46-Projects!$C$20+1),0)+IF(AND(Projects!$G$21="Yes",46&gt;=Projects!$C$21,46&lt;Projects!$C$21+Projects!$D$21),Projects!$B$21*INDEX(Curves!$B$4:$AR$4,1,46-Projects!$C$21+1),0)+IF(AND(Projects!$G$22="Yes",46&gt;=Projects!$C$22,46&lt;Projects!$C$22+Projects!$D$22),Projects!$B$22*INDEX(Curves!$B$4:$AR$4,1,46-Projects!$C$22+1),0)+IF(AND(Projects!$G$23="Yes",46&gt;=Projects!$C$23,46&lt;Projects!$C$23+Projects!$D$23),Projects!$B$23*INDEX(Curves!$B$4:$AR$4,1,46-Projects!$C$23+1),0)+IF(AND(Projects!$G$24="Yes",46&gt;=Projects!$C$24,46&lt;Projects!$C$24+Projects!$D$24),Projects!$B$24*INDEX(Curves!$B$4:$AR$4,1,46-Projects!$C$24+1),0)+IF(AND(Projects!$G$25="Yes",46&gt;=Projects!$C$25,46&lt;Projects!$C$25+Projects!$D$25),Projects!$B$25*INDEX(Curves!$B$4:$AR$4,1,46-Projects!$C$25+1),0)+IF(AND(Projects!$G$26="Yes",46&gt;=Projects!$C$26,46&lt;Projects!$C$26+Projects!$D$26),Projects!$B$26*INDEX(Curves!$B$4:$AR$4,1,46-Projects!$C$26+1),0)+IF(AND(Projects!$G$27="Yes",46&gt;=Projects!$C$27,46&lt;Projects!$C$27+Projects!$D$27),Projects!$B$27*INDEX(Curves!$B$4:$AR$4,1,46-Projects!$C$27+1),0)+IF(AND(Projects!$G$28="Yes",46&gt;=Projects!$C$28,46&lt;Projects!$C$28+Projects!$D$28),Projects!$B$28*INDEX(Curves!$B$4:$AR$4,1,46-Projects!$C$28+1),0)+IF(AND(Projects!$G$29="Yes",46&gt;=Projects!$C$29,46&lt;Projects!$C$29+Projects!$D$29),Projects!$B$29*INDEX(Curves!$B$4:$AR$4,1,46-Projects!$C$29+1),0)+IF(AND(Projects!$G$30="Yes",46&gt;=Projects!$C$30,46&lt;Projects!$C$30+Projects!$D$30),Projects!$B$30*INDEX(Curves!$B$4:$AR$4,1,46-Projects!$C$30+1),0)+IF(AND(Projects!$G$31="Yes",46&gt;=Projects!$C$31,46&lt;Projects!$C$31+Projects!$D$31),Projects!$B$31*INDEX(Curves!$B$4:$AR$4,1,46-Projects!$C$31+1),0)+IF(AND(Projects!$G$32="Yes",46&gt;=Projects!$C$32,46&lt;Projects!$C$32+Projects!$D$32),Projects!$B$32*INDEX(Curves!$B$4:$AR$4,1,46-Projects!$C$32+1),0)+IF(AND(Projects!$G$33="Yes",46&gt;=Projects!$C$33,46&lt;Projects!$C$33+Projects!$D$33),Projects!$B$33*INDEX(Curves!$B$4:$AR$4,1,46-Projects!$C$33+1),0)+IF(AND(Projects!$G$34="Yes",46&gt;=Projects!$C$34,46&lt;Projects!$C$34+Projects!$D$34),Projects!$B$34*INDEX(Curves!$B$4:$AR$4,1,46-Projects!$C$34+1),0)+IF(AND(Projects!$G$35="Yes",46&gt;=Projects!$C$35,46&lt;Projects!$C$35+Projects!$D$35),Projects!$B$35*INDEX(Curves!$B$4:$AR$4,1,46-Projects!$C$35+1),0)+IF(AND(Projects!$G$36="Yes",46&gt;=Projects!$C$36,46&lt;Projects!$C$36+Projects!$D$36),Projects!$B$36*INDEX(Curves!$B$4:$AR$4,1,46-Projects!$C$36+1),0)+IF(AND(Projects!$G$37="Yes",46&gt;=Projects!$C$37,46&lt;Projects!$C$37+Projects!$D$37),Projects!$B$37*INDEX(Curves!$B$4:$AR$4,1,46-Projects!$C$37+1),0)+IF(AND(Projects!$G$38="Yes",46&gt;=Projects!$C$38,46&lt;Projects!$C$38+Projects!$D$38),Projects!$B$38*INDEX(Curves!$B$4:$AR$4,1,46-Projects!$C$38+1),0)+IF(AND(Projects!$G$39="Yes",46&gt;=Projects!$C$39,46&lt;Projects!$C$39+Projects!$D$39),Projects!$B$39*INDEX(Curves!$B$4:$AR$4,1,46-Projects!$C$39+1),0)+IF(AND(Projects!$G$40="Yes",46&gt;=Projects!$C$40,46&lt;Projects!$C$40+Projects!$D$40),Projects!$B$40*INDEX(Curves!$B$4:$AR$4,1,46-Projects!$C$40+1),0)+IF(AND(Projects!$G$41="Yes",46&gt;=Projects!$C$41,46&lt;Projects!$C$41+Projects!$D$41),Projects!$B$41*INDEX(Curves!$B$4:$AR$4,1,46-Projects!$C$41+1),0)+IF(AND(Projects!$G$42="Yes",46&gt;=Projects!$C$42,46&lt;Projects!$C$42+Projects!$D$42),Projects!$B$42*INDEX(Curves!$B$4:$AR$4,1,46-Projects!$C$42+1),0)+IF(AND(Projects!$G$43="Yes",46&gt;=Projects!$C$43,46&lt;Projects!$C$43+Projects!$D$43),Projects!$B$43*INDEX(Curves!$B$4:$AR$4,1,46-Projects!$C$43+1),0)+IF(AND(Projects!$G$44="Yes",46&gt;=Projects!$C$44,46&lt;Projects!$C$44+Projects!$D$44),Projects!$B$44*INDEX(Curves!$B$4:$AR$4,1,46-Projects!$C$44+1),0)+IF(AND(Projects!$G$45="Yes",46&gt;=Projects!$C$45,46&lt;Projects!$C$45+Projects!$D$45),Projects!$B$45*INDEX(Curves!$B$4:$AR$4,1,46-Projects!$C$45+1),0)+IF(AND(Projects!$G$46="Yes",46&gt;=Projects!$C$46,46&lt;Projects!$C$46+Projects!$D$46),Projects!$B$46*INDEX(Curves!$B$4:$AR$4,1,46-Projects!$C$46+1),0)</f>
        <v>0</v>
      </c>
      <c r="AZ96" s="315" t="n">
        <f aca="false">IF(AND(Projects!$G$17="Yes",47&gt;=Projects!$C$17,47&lt;Projects!$C$17+Projects!$D$17),Projects!$B$17*INDEX(Curves!$B$4:$AR$4,1,47-Projects!$C$17+1),0)+IF(AND(Projects!$G$18="Yes",47&gt;=Projects!$C$18,47&lt;Projects!$C$18+Projects!$D$18),Projects!$B$18*INDEX(Curves!$B$4:$AR$4,1,47-Projects!$C$18+1),0)+IF(AND(Projects!$G$19="Yes",47&gt;=Projects!$C$19,47&lt;Projects!$C$19+Projects!$D$19),Projects!$B$19*INDEX(Curves!$B$4:$AR$4,1,47-Projects!$C$19+1),0)+IF(AND(Projects!$G$20="Yes",47&gt;=Projects!$C$20,47&lt;Projects!$C$20+Projects!$D$20),Projects!$B$20*INDEX(Curves!$B$4:$AR$4,1,47-Projects!$C$20+1),0)+IF(AND(Projects!$G$21="Yes",47&gt;=Projects!$C$21,47&lt;Projects!$C$21+Projects!$D$21),Projects!$B$21*INDEX(Curves!$B$4:$AR$4,1,47-Projects!$C$21+1),0)+IF(AND(Projects!$G$22="Yes",47&gt;=Projects!$C$22,47&lt;Projects!$C$22+Projects!$D$22),Projects!$B$22*INDEX(Curves!$B$4:$AR$4,1,47-Projects!$C$22+1),0)+IF(AND(Projects!$G$23="Yes",47&gt;=Projects!$C$23,47&lt;Projects!$C$23+Projects!$D$23),Projects!$B$23*INDEX(Curves!$B$4:$AR$4,1,47-Projects!$C$23+1),0)+IF(AND(Projects!$G$24="Yes",47&gt;=Projects!$C$24,47&lt;Projects!$C$24+Projects!$D$24),Projects!$B$24*INDEX(Curves!$B$4:$AR$4,1,47-Projects!$C$24+1),0)+IF(AND(Projects!$G$25="Yes",47&gt;=Projects!$C$25,47&lt;Projects!$C$25+Projects!$D$25),Projects!$B$25*INDEX(Curves!$B$4:$AR$4,1,47-Projects!$C$25+1),0)+IF(AND(Projects!$G$26="Yes",47&gt;=Projects!$C$26,47&lt;Projects!$C$26+Projects!$D$26),Projects!$B$26*INDEX(Curves!$B$4:$AR$4,1,47-Projects!$C$26+1),0)+IF(AND(Projects!$G$27="Yes",47&gt;=Projects!$C$27,47&lt;Projects!$C$27+Projects!$D$27),Projects!$B$27*INDEX(Curves!$B$4:$AR$4,1,47-Projects!$C$27+1),0)+IF(AND(Projects!$G$28="Yes",47&gt;=Projects!$C$28,47&lt;Projects!$C$28+Projects!$D$28),Projects!$B$28*INDEX(Curves!$B$4:$AR$4,1,47-Projects!$C$28+1),0)+IF(AND(Projects!$G$29="Yes",47&gt;=Projects!$C$29,47&lt;Projects!$C$29+Projects!$D$29),Projects!$B$29*INDEX(Curves!$B$4:$AR$4,1,47-Projects!$C$29+1),0)+IF(AND(Projects!$G$30="Yes",47&gt;=Projects!$C$30,47&lt;Projects!$C$30+Projects!$D$30),Projects!$B$30*INDEX(Curves!$B$4:$AR$4,1,47-Projects!$C$30+1),0)+IF(AND(Projects!$G$31="Yes",47&gt;=Projects!$C$31,47&lt;Projects!$C$31+Projects!$D$31),Projects!$B$31*INDEX(Curves!$B$4:$AR$4,1,47-Projects!$C$31+1),0)+IF(AND(Projects!$G$32="Yes",47&gt;=Projects!$C$32,47&lt;Projects!$C$32+Projects!$D$32),Projects!$B$32*INDEX(Curves!$B$4:$AR$4,1,47-Projects!$C$32+1),0)+IF(AND(Projects!$G$33="Yes",47&gt;=Projects!$C$33,47&lt;Projects!$C$33+Projects!$D$33),Projects!$B$33*INDEX(Curves!$B$4:$AR$4,1,47-Projects!$C$33+1),0)+IF(AND(Projects!$G$34="Yes",47&gt;=Projects!$C$34,47&lt;Projects!$C$34+Projects!$D$34),Projects!$B$34*INDEX(Curves!$B$4:$AR$4,1,47-Projects!$C$34+1),0)+IF(AND(Projects!$G$35="Yes",47&gt;=Projects!$C$35,47&lt;Projects!$C$35+Projects!$D$35),Projects!$B$35*INDEX(Curves!$B$4:$AR$4,1,47-Projects!$C$35+1),0)+IF(AND(Projects!$G$36="Yes",47&gt;=Projects!$C$36,47&lt;Projects!$C$36+Projects!$D$36),Projects!$B$36*INDEX(Curves!$B$4:$AR$4,1,47-Projects!$C$36+1),0)+IF(AND(Projects!$G$37="Yes",47&gt;=Projects!$C$37,47&lt;Projects!$C$37+Projects!$D$37),Projects!$B$37*INDEX(Curves!$B$4:$AR$4,1,47-Projects!$C$37+1),0)+IF(AND(Projects!$G$38="Yes",47&gt;=Projects!$C$38,47&lt;Projects!$C$38+Projects!$D$38),Projects!$B$38*INDEX(Curves!$B$4:$AR$4,1,47-Projects!$C$38+1),0)+IF(AND(Projects!$G$39="Yes",47&gt;=Projects!$C$39,47&lt;Projects!$C$39+Projects!$D$39),Projects!$B$39*INDEX(Curves!$B$4:$AR$4,1,47-Projects!$C$39+1),0)+IF(AND(Projects!$G$40="Yes",47&gt;=Projects!$C$40,47&lt;Projects!$C$40+Projects!$D$40),Projects!$B$40*INDEX(Curves!$B$4:$AR$4,1,47-Projects!$C$40+1),0)+IF(AND(Projects!$G$41="Yes",47&gt;=Projects!$C$41,47&lt;Projects!$C$41+Projects!$D$41),Projects!$B$41*INDEX(Curves!$B$4:$AR$4,1,47-Projects!$C$41+1),0)+IF(AND(Projects!$G$42="Yes",47&gt;=Projects!$C$42,47&lt;Projects!$C$42+Projects!$D$42),Projects!$B$42*INDEX(Curves!$B$4:$AR$4,1,47-Projects!$C$42+1),0)+IF(AND(Projects!$G$43="Yes",47&gt;=Projects!$C$43,47&lt;Projects!$C$43+Projects!$D$43),Projects!$B$43*INDEX(Curves!$B$4:$AR$4,1,47-Projects!$C$43+1),0)+IF(AND(Projects!$G$44="Yes",47&gt;=Projects!$C$44,47&lt;Projects!$C$44+Projects!$D$44),Projects!$B$44*INDEX(Curves!$B$4:$AR$4,1,47-Projects!$C$44+1),0)+IF(AND(Projects!$G$45="Yes",47&gt;=Projects!$C$45,47&lt;Projects!$C$45+Projects!$D$45),Projects!$B$45*INDEX(Curves!$B$4:$AR$4,1,47-Projects!$C$45+1),0)+IF(AND(Projects!$G$46="Yes",47&gt;=Projects!$C$46,47&lt;Projects!$C$46+Projects!$D$46),Projects!$B$46*INDEX(Curves!$B$4:$AR$4,1,47-Projects!$C$46+1),0)</f>
        <v>0</v>
      </c>
      <c r="BA96" s="315" t="n">
        <f aca="false">IF(AND(Projects!$G$17="Yes",48&gt;=Projects!$C$17,48&lt;Projects!$C$17+Projects!$D$17),Projects!$B$17*INDEX(Curves!$B$4:$AR$4,1,48-Projects!$C$17+1),0)+IF(AND(Projects!$G$18="Yes",48&gt;=Projects!$C$18,48&lt;Projects!$C$18+Projects!$D$18),Projects!$B$18*INDEX(Curves!$B$4:$AR$4,1,48-Projects!$C$18+1),0)+IF(AND(Projects!$G$19="Yes",48&gt;=Projects!$C$19,48&lt;Projects!$C$19+Projects!$D$19),Projects!$B$19*INDEX(Curves!$B$4:$AR$4,1,48-Projects!$C$19+1),0)+IF(AND(Projects!$G$20="Yes",48&gt;=Projects!$C$20,48&lt;Projects!$C$20+Projects!$D$20),Projects!$B$20*INDEX(Curves!$B$4:$AR$4,1,48-Projects!$C$20+1),0)+IF(AND(Projects!$G$21="Yes",48&gt;=Projects!$C$21,48&lt;Projects!$C$21+Projects!$D$21),Projects!$B$21*INDEX(Curves!$B$4:$AR$4,1,48-Projects!$C$21+1),0)+IF(AND(Projects!$G$22="Yes",48&gt;=Projects!$C$22,48&lt;Projects!$C$22+Projects!$D$22),Projects!$B$22*INDEX(Curves!$B$4:$AR$4,1,48-Projects!$C$22+1),0)+IF(AND(Projects!$G$23="Yes",48&gt;=Projects!$C$23,48&lt;Projects!$C$23+Projects!$D$23),Projects!$B$23*INDEX(Curves!$B$4:$AR$4,1,48-Projects!$C$23+1),0)+IF(AND(Projects!$G$24="Yes",48&gt;=Projects!$C$24,48&lt;Projects!$C$24+Projects!$D$24),Projects!$B$24*INDEX(Curves!$B$4:$AR$4,1,48-Projects!$C$24+1),0)+IF(AND(Projects!$G$25="Yes",48&gt;=Projects!$C$25,48&lt;Projects!$C$25+Projects!$D$25),Projects!$B$25*INDEX(Curves!$B$4:$AR$4,1,48-Projects!$C$25+1),0)+IF(AND(Projects!$G$26="Yes",48&gt;=Projects!$C$26,48&lt;Projects!$C$26+Projects!$D$26),Projects!$B$26*INDEX(Curves!$B$4:$AR$4,1,48-Projects!$C$26+1),0)+IF(AND(Projects!$G$27="Yes",48&gt;=Projects!$C$27,48&lt;Projects!$C$27+Projects!$D$27),Projects!$B$27*INDEX(Curves!$B$4:$AR$4,1,48-Projects!$C$27+1),0)+IF(AND(Projects!$G$28="Yes",48&gt;=Projects!$C$28,48&lt;Projects!$C$28+Projects!$D$28),Projects!$B$28*INDEX(Curves!$B$4:$AR$4,1,48-Projects!$C$28+1),0)+IF(AND(Projects!$G$29="Yes",48&gt;=Projects!$C$29,48&lt;Projects!$C$29+Projects!$D$29),Projects!$B$29*INDEX(Curves!$B$4:$AR$4,1,48-Projects!$C$29+1),0)+IF(AND(Projects!$G$30="Yes",48&gt;=Projects!$C$30,48&lt;Projects!$C$30+Projects!$D$30),Projects!$B$30*INDEX(Curves!$B$4:$AR$4,1,48-Projects!$C$30+1),0)+IF(AND(Projects!$G$31="Yes",48&gt;=Projects!$C$31,48&lt;Projects!$C$31+Projects!$D$31),Projects!$B$31*INDEX(Curves!$B$4:$AR$4,1,48-Projects!$C$31+1),0)+IF(AND(Projects!$G$32="Yes",48&gt;=Projects!$C$32,48&lt;Projects!$C$32+Projects!$D$32),Projects!$B$32*INDEX(Curves!$B$4:$AR$4,1,48-Projects!$C$32+1),0)+IF(AND(Projects!$G$33="Yes",48&gt;=Projects!$C$33,48&lt;Projects!$C$33+Projects!$D$33),Projects!$B$33*INDEX(Curves!$B$4:$AR$4,1,48-Projects!$C$33+1),0)+IF(AND(Projects!$G$34="Yes",48&gt;=Projects!$C$34,48&lt;Projects!$C$34+Projects!$D$34),Projects!$B$34*INDEX(Curves!$B$4:$AR$4,1,48-Projects!$C$34+1),0)+IF(AND(Projects!$G$35="Yes",48&gt;=Projects!$C$35,48&lt;Projects!$C$35+Projects!$D$35),Projects!$B$35*INDEX(Curves!$B$4:$AR$4,1,48-Projects!$C$35+1),0)+IF(AND(Projects!$G$36="Yes",48&gt;=Projects!$C$36,48&lt;Projects!$C$36+Projects!$D$36),Projects!$B$36*INDEX(Curves!$B$4:$AR$4,1,48-Projects!$C$36+1),0)+IF(AND(Projects!$G$37="Yes",48&gt;=Projects!$C$37,48&lt;Projects!$C$37+Projects!$D$37),Projects!$B$37*INDEX(Curves!$B$4:$AR$4,1,48-Projects!$C$37+1),0)+IF(AND(Projects!$G$38="Yes",48&gt;=Projects!$C$38,48&lt;Projects!$C$38+Projects!$D$38),Projects!$B$38*INDEX(Curves!$B$4:$AR$4,1,48-Projects!$C$38+1),0)+IF(AND(Projects!$G$39="Yes",48&gt;=Projects!$C$39,48&lt;Projects!$C$39+Projects!$D$39),Projects!$B$39*INDEX(Curves!$B$4:$AR$4,1,48-Projects!$C$39+1),0)+IF(AND(Projects!$G$40="Yes",48&gt;=Projects!$C$40,48&lt;Projects!$C$40+Projects!$D$40),Projects!$B$40*INDEX(Curves!$B$4:$AR$4,1,48-Projects!$C$40+1),0)+IF(AND(Projects!$G$41="Yes",48&gt;=Projects!$C$41,48&lt;Projects!$C$41+Projects!$D$41),Projects!$B$41*INDEX(Curves!$B$4:$AR$4,1,48-Projects!$C$41+1),0)+IF(AND(Projects!$G$42="Yes",48&gt;=Projects!$C$42,48&lt;Projects!$C$42+Projects!$D$42),Projects!$B$42*INDEX(Curves!$B$4:$AR$4,1,48-Projects!$C$42+1),0)+IF(AND(Projects!$G$43="Yes",48&gt;=Projects!$C$43,48&lt;Projects!$C$43+Projects!$D$43),Projects!$B$43*INDEX(Curves!$B$4:$AR$4,1,48-Projects!$C$43+1),0)+IF(AND(Projects!$G$44="Yes",48&gt;=Projects!$C$44,48&lt;Projects!$C$44+Projects!$D$44),Projects!$B$44*INDEX(Curves!$B$4:$AR$4,1,48-Projects!$C$44+1),0)+IF(AND(Projects!$G$45="Yes",48&gt;=Projects!$C$45,48&lt;Projects!$C$45+Projects!$D$45),Projects!$B$45*INDEX(Curves!$B$4:$AR$4,1,48-Projects!$C$45+1),0)+IF(AND(Projects!$G$46="Yes",48&gt;=Projects!$C$46,48&lt;Projects!$C$46+Projects!$D$46),Projects!$B$46*INDEX(Curves!$B$4:$AR$4,1,48-Projects!$C$46+1),0)</f>
        <v>0</v>
      </c>
      <c r="BB96" s="315" t="n">
        <f aca="false">IF(AND(Projects!$G$17="Yes",49&gt;=Projects!$C$17,49&lt;Projects!$C$17+Projects!$D$17),Projects!$B$17*INDEX(Curves!$B$4:$AR$4,1,49-Projects!$C$17+1),0)+IF(AND(Projects!$G$18="Yes",49&gt;=Projects!$C$18,49&lt;Projects!$C$18+Projects!$D$18),Projects!$B$18*INDEX(Curves!$B$4:$AR$4,1,49-Projects!$C$18+1),0)+IF(AND(Projects!$G$19="Yes",49&gt;=Projects!$C$19,49&lt;Projects!$C$19+Projects!$D$19),Projects!$B$19*INDEX(Curves!$B$4:$AR$4,1,49-Projects!$C$19+1),0)+IF(AND(Projects!$G$20="Yes",49&gt;=Projects!$C$20,49&lt;Projects!$C$20+Projects!$D$20),Projects!$B$20*INDEX(Curves!$B$4:$AR$4,1,49-Projects!$C$20+1),0)+IF(AND(Projects!$G$21="Yes",49&gt;=Projects!$C$21,49&lt;Projects!$C$21+Projects!$D$21),Projects!$B$21*INDEX(Curves!$B$4:$AR$4,1,49-Projects!$C$21+1),0)+IF(AND(Projects!$G$22="Yes",49&gt;=Projects!$C$22,49&lt;Projects!$C$22+Projects!$D$22),Projects!$B$22*INDEX(Curves!$B$4:$AR$4,1,49-Projects!$C$22+1),0)+IF(AND(Projects!$G$23="Yes",49&gt;=Projects!$C$23,49&lt;Projects!$C$23+Projects!$D$23),Projects!$B$23*INDEX(Curves!$B$4:$AR$4,1,49-Projects!$C$23+1),0)+IF(AND(Projects!$G$24="Yes",49&gt;=Projects!$C$24,49&lt;Projects!$C$24+Projects!$D$24),Projects!$B$24*INDEX(Curves!$B$4:$AR$4,1,49-Projects!$C$24+1),0)+IF(AND(Projects!$G$25="Yes",49&gt;=Projects!$C$25,49&lt;Projects!$C$25+Projects!$D$25),Projects!$B$25*INDEX(Curves!$B$4:$AR$4,1,49-Projects!$C$25+1),0)+IF(AND(Projects!$G$26="Yes",49&gt;=Projects!$C$26,49&lt;Projects!$C$26+Projects!$D$26),Projects!$B$26*INDEX(Curves!$B$4:$AR$4,1,49-Projects!$C$26+1),0)+IF(AND(Projects!$G$27="Yes",49&gt;=Projects!$C$27,49&lt;Projects!$C$27+Projects!$D$27),Projects!$B$27*INDEX(Curves!$B$4:$AR$4,1,49-Projects!$C$27+1),0)+IF(AND(Projects!$G$28="Yes",49&gt;=Projects!$C$28,49&lt;Projects!$C$28+Projects!$D$28),Projects!$B$28*INDEX(Curves!$B$4:$AR$4,1,49-Projects!$C$28+1),0)+IF(AND(Projects!$G$29="Yes",49&gt;=Projects!$C$29,49&lt;Projects!$C$29+Projects!$D$29),Projects!$B$29*INDEX(Curves!$B$4:$AR$4,1,49-Projects!$C$29+1),0)+IF(AND(Projects!$G$30="Yes",49&gt;=Projects!$C$30,49&lt;Projects!$C$30+Projects!$D$30),Projects!$B$30*INDEX(Curves!$B$4:$AR$4,1,49-Projects!$C$30+1),0)+IF(AND(Projects!$G$31="Yes",49&gt;=Projects!$C$31,49&lt;Projects!$C$31+Projects!$D$31),Projects!$B$31*INDEX(Curves!$B$4:$AR$4,1,49-Projects!$C$31+1),0)+IF(AND(Projects!$G$32="Yes",49&gt;=Projects!$C$32,49&lt;Projects!$C$32+Projects!$D$32),Projects!$B$32*INDEX(Curves!$B$4:$AR$4,1,49-Projects!$C$32+1),0)+IF(AND(Projects!$G$33="Yes",49&gt;=Projects!$C$33,49&lt;Projects!$C$33+Projects!$D$33),Projects!$B$33*INDEX(Curves!$B$4:$AR$4,1,49-Projects!$C$33+1),0)+IF(AND(Projects!$G$34="Yes",49&gt;=Projects!$C$34,49&lt;Projects!$C$34+Projects!$D$34),Projects!$B$34*INDEX(Curves!$B$4:$AR$4,1,49-Projects!$C$34+1),0)+IF(AND(Projects!$G$35="Yes",49&gt;=Projects!$C$35,49&lt;Projects!$C$35+Projects!$D$35),Projects!$B$35*INDEX(Curves!$B$4:$AR$4,1,49-Projects!$C$35+1),0)+IF(AND(Projects!$G$36="Yes",49&gt;=Projects!$C$36,49&lt;Projects!$C$36+Projects!$D$36),Projects!$B$36*INDEX(Curves!$B$4:$AR$4,1,49-Projects!$C$36+1),0)+IF(AND(Projects!$G$37="Yes",49&gt;=Projects!$C$37,49&lt;Projects!$C$37+Projects!$D$37),Projects!$B$37*INDEX(Curves!$B$4:$AR$4,1,49-Projects!$C$37+1),0)+IF(AND(Projects!$G$38="Yes",49&gt;=Projects!$C$38,49&lt;Projects!$C$38+Projects!$D$38),Projects!$B$38*INDEX(Curves!$B$4:$AR$4,1,49-Projects!$C$38+1),0)+IF(AND(Projects!$G$39="Yes",49&gt;=Projects!$C$39,49&lt;Projects!$C$39+Projects!$D$39),Projects!$B$39*INDEX(Curves!$B$4:$AR$4,1,49-Projects!$C$39+1),0)+IF(AND(Projects!$G$40="Yes",49&gt;=Projects!$C$40,49&lt;Projects!$C$40+Projects!$D$40),Projects!$B$40*INDEX(Curves!$B$4:$AR$4,1,49-Projects!$C$40+1),0)+IF(AND(Projects!$G$41="Yes",49&gt;=Projects!$C$41,49&lt;Projects!$C$41+Projects!$D$41),Projects!$B$41*INDEX(Curves!$B$4:$AR$4,1,49-Projects!$C$41+1),0)+IF(AND(Projects!$G$42="Yes",49&gt;=Projects!$C$42,49&lt;Projects!$C$42+Projects!$D$42),Projects!$B$42*INDEX(Curves!$B$4:$AR$4,1,49-Projects!$C$42+1),0)+IF(AND(Projects!$G$43="Yes",49&gt;=Projects!$C$43,49&lt;Projects!$C$43+Projects!$D$43),Projects!$B$43*INDEX(Curves!$B$4:$AR$4,1,49-Projects!$C$43+1),0)+IF(AND(Projects!$G$44="Yes",49&gt;=Projects!$C$44,49&lt;Projects!$C$44+Projects!$D$44),Projects!$B$44*INDEX(Curves!$B$4:$AR$4,1,49-Projects!$C$44+1),0)+IF(AND(Projects!$G$45="Yes",49&gt;=Projects!$C$45,49&lt;Projects!$C$45+Projects!$D$45),Projects!$B$45*INDEX(Curves!$B$4:$AR$4,1,49-Projects!$C$45+1),0)+IF(AND(Projects!$G$46="Yes",49&gt;=Projects!$C$46,49&lt;Projects!$C$46+Projects!$D$46),Projects!$B$46*INDEX(Curves!$B$4:$AR$4,1,49-Projects!$C$46+1),0)</f>
        <v>0</v>
      </c>
      <c r="BC96" s="315" t="n">
        <f aca="false">IF(AND(Projects!$G$17="Yes",50&gt;=Projects!$C$17,50&lt;Projects!$C$17+Projects!$D$17),Projects!$B$17*INDEX(Curves!$B$4:$AR$4,1,50-Projects!$C$17+1),0)+IF(AND(Projects!$G$18="Yes",50&gt;=Projects!$C$18,50&lt;Projects!$C$18+Projects!$D$18),Projects!$B$18*INDEX(Curves!$B$4:$AR$4,1,50-Projects!$C$18+1),0)+IF(AND(Projects!$G$19="Yes",50&gt;=Projects!$C$19,50&lt;Projects!$C$19+Projects!$D$19),Projects!$B$19*INDEX(Curves!$B$4:$AR$4,1,50-Projects!$C$19+1),0)+IF(AND(Projects!$G$20="Yes",50&gt;=Projects!$C$20,50&lt;Projects!$C$20+Projects!$D$20),Projects!$B$20*INDEX(Curves!$B$4:$AR$4,1,50-Projects!$C$20+1),0)+IF(AND(Projects!$G$21="Yes",50&gt;=Projects!$C$21,50&lt;Projects!$C$21+Projects!$D$21),Projects!$B$21*INDEX(Curves!$B$4:$AR$4,1,50-Projects!$C$21+1),0)+IF(AND(Projects!$G$22="Yes",50&gt;=Projects!$C$22,50&lt;Projects!$C$22+Projects!$D$22),Projects!$B$22*INDEX(Curves!$B$4:$AR$4,1,50-Projects!$C$22+1),0)+IF(AND(Projects!$G$23="Yes",50&gt;=Projects!$C$23,50&lt;Projects!$C$23+Projects!$D$23),Projects!$B$23*INDEX(Curves!$B$4:$AR$4,1,50-Projects!$C$23+1),0)+IF(AND(Projects!$G$24="Yes",50&gt;=Projects!$C$24,50&lt;Projects!$C$24+Projects!$D$24),Projects!$B$24*INDEX(Curves!$B$4:$AR$4,1,50-Projects!$C$24+1),0)+IF(AND(Projects!$G$25="Yes",50&gt;=Projects!$C$25,50&lt;Projects!$C$25+Projects!$D$25),Projects!$B$25*INDEX(Curves!$B$4:$AR$4,1,50-Projects!$C$25+1),0)+IF(AND(Projects!$G$26="Yes",50&gt;=Projects!$C$26,50&lt;Projects!$C$26+Projects!$D$26),Projects!$B$26*INDEX(Curves!$B$4:$AR$4,1,50-Projects!$C$26+1),0)+IF(AND(Projects!$G$27="Yes",50&gt;=Projects!$C$27,50&lt;Projects!$C$27+Projects!$D$27),Projects!$B$27*INDEX(Curves!$B$4:$AR$4,1,50-Projects!$C$27+1),0)+IF(AND(Projects!$G$28="Yes",50&gt;=Projects!$C$28,50&lt;Projects!$C$28+Projects!$D$28),Projects!$B$28*INDEX(Curves!$B$4:$AR$4,1,50-Projects!$C$28+1),0)+IF(AND(Projects!$G$29="Yes",50&gt;=Projects!$C$29,50&lt;Projects!$C$29+Projects!$D$29),Projects!$B$29*INDEX(Curves!$B$4:$AR$4,1,50-Projects!$C$29+1),0)+IF(AND(Projects!$G$30="Yes",50&gt;=Projects!$C$30,50&lt;Projects!$C$30+Projects!$D$30),Projects!$B$30*INDEX(Curves!$B$4:$AR$4,1,50-Projects!$C$30+1),0)+IF(AND(Projects!$G$31="Yes",50&gt;=Projects!$C$31,50&lt;Projects!$C$31+Projects!$D$31),Projects!$B$31*INDEX(Curves!$B$4:$AR$4,1,50-Projects!$C$31+1),0)+IF(AND(Projects!$G$32="Yes",50&gt;=Projects!$C$32,50&lt;Projects!$C$32+Projects!$D$32),Projects!$B$32*INDEX(Curves!$B$4:$AR$4,1,50-Projects!$C$32+1),0)+IF(AND(Projects!$G$33="Yes",50&gt;=Projects!$C$33,50&lt;Projects!$C$33+Projects!$D$33),Projects!$B$33*INDEX(Curves!$B$4:$AR$4,1,50-Projects!$C$33+1),0)+IF(AND(Projects!$G$34="Yes",50&gt;=Projects!$C$34,50&lt;Projects!$C$34+Projects!$D$34),Projects!$B$34*INDEX(Curves!$B$4:$AR$4,1,50-Projects!$C$34+1),0)+IF(AND(Projects!$G$35="Yes",50&gt;=Projects!$C$35,50&lt;Projects!$C$35+Projects!$D$35),Projects!$B$35*INDEX(Curves!$B$4:$AR$4,1,50-Projects!$C$35+1),0)+IF(AND(Projects!$G$36="Yes",50&gt;=Projects!$C$36,50&lt;Projects!$C$36+Projects!$D$36),Projects!$B$36*INDEX(Curves!$B$4:$AR$4,1,50-Projects!$C$36+1),0)+IF(AND(Projects!$G$37="Yes",50&gt;=Projects!$C$37,50&lt;Projects!$C$37+Projects!$D$37),Projects!$B$37*INDEX(Curves!$B$4:$AR$4,1,50-Projects!$C$37+1),0)+IF(AND(Projects!$G$38="Yes",50&gt;=Projects!$C$38,50&lt;Projects!$C$38+Projects!$D$38),Projects!$B$38*INDEX(Curves!$B$4:$AR$4,1,50-Projects!$C$38+1),0)+IF(AND(Projects!$G$39="Yes",50&gt;=Projects!$C$39,50&lt;Projects!$C$39+Projects!$D$39),Projects!$B$39*INDEX(Curves!$B$4:$AR$4,1,50-Projects!$C$39+1),0)+IF(AND(Projects!$G$40="Yes",50&gt;=Projects!$C$40,50&lt;Projects!$C$40+Projects!$D$40),Projects!$B$40*INDEX(Curves!$B$4:$AR$4,1,50-Projects!$C$40+1),0)+IF(AND(Projects!$G$41="Yes",50&gt;=Projects!$C$41,50&lt;Projects!$C$41+Projects!$D$41),Projects!$B$41*INDEX(Curves!$B$4:$AR$4,1,50-Projects!$C$41+1),0)+IF(AND(Projects!$G$42="Yes",50&gt;=Projects!$C$42,50&lt;Projects!$C$42+Projects!$D$42),Projects!$B$42*INDEX(Curves!$B$4:$AR$4,1,50-Projects!$C$42+1),0)+IF(AND(Projects!$G$43="Yes",50&gt;=Projects!$C$43,50&lt;Projects!$C$43+Projects!$D$43),Projects!$B$43*INDEX(Curves!$B$4:$AR$4,1,50-Projects!$C$43+1),0)+IF(AND(Projects!$G$44="Yes",50&gt;=Projects!$C$44,50&lt;Projects!$C$44+Projects!$D$44),Projects!$B$44*INDEX(Curves!$B$4:$AR$4,1,50-Projects!$C$44+1),0)+IF(AND(Projects!$G$45="Yes",50&gt;=Projects!$C$45,50&lt;Projects!$C$45+Projects!$D$45),Projects!$B$45*INDEX(Curves!$B$4:$AR$4,1,50-Projects!$C$45+1),0)+IF(AND(Projects!$G$46="Yes",50&gt;=Projects!$C$46,50&lt;Projects!$C$46+Projects!$D$46),Projects!$B$46*INDEX(Curves!$B$4:$AR$4,1,50-Projects!$C$46+1),0)</f>
        <v>0</v>
      </c>
      <c r="BD96" s="315" t="n">
        <f aca="false">IF(AND(Projects!$G$17="Yes",51&gt;=Projects!$C$17,51&lt;Projects!$C$17+Projects!$D$17),Projects!$B$17*INDEX(Curves!$B$4:$AR$4,1,51-Projects!$C$17+1),0)+IF(AND(Projects!$G$18="Yes",51&gt;=Projects!$C$18,51&lt;Projects!$C$18+Projects!$D$18),Projects!$B$18*INDEX(Curves!$B$4:$AR$4,1,51-Projects!$C$18+1),0)+IF(AND(Projects!$G$19="Yes",51&gt;=Projects!$C$19,51&lt;Projects!$C$19+Projects!$D$19),Projects!$B$19*INDEX(Curves!$B$4:$AR$4,1,51-Projects!$C$19+1),0)+IF(AND(Projects!$G$20="Yes",51&gt;=Projects!$C$20,51&lt;Projects!$C$20+Projects!$D$20),Projects!$B$20*INDEX(Curves!$B$4:$AR$4,1,51-Projects!$C$20+1),0)+IF(AND(Projects!$G$21="Yes",51&gt;=Projects!$C$21,51&lt;Projects!$C$21+Projects!$D$21),Projects!$B$21*INDEX(Curves!$B$4:$AR$4,1,51-Projects!$C$21+1),0)+IF(AND(Projects!$G$22="Yes",51&gt;=Projects!$C$22,51&lt;Projects!$C$22+Projects!$D$22),Projects!$B$22*INDEX(Curves!$B$4:$AR$4,1,51-Projects!$C$22+1),0)+IF(AND(Projects!$G$23="Yes",51&gt;=Projects!$C$23,51&lt;Projects!$C$23+Projects!$D$23),Projects!$B$23*INDEX(Curves!$B$4:$AR$4,1,51-Projects!$C$23+1),0)+IF(AND(Projects!$G$24="Yes",51&gt;=Projects!$C$24,51&lt;Projects!$C$24+Projects!$D$24),Projects!$B$24*INDEX(Curves!$B$4:$AR$4,1,51-Projects!$C$24+1),0)+IF(AND(Projects!$G$25="Yes",51&gt;=Projects!$C$25,51&lt;Projects!$C$25+Projects!$D$25),Projects!$B$25*INDEX(Curves!$B$4:$AR$4,1,51-Projects!$C$25+1),0)+IF(AND(Projects!$G$26="Yes",51&gt;=Projects!$C$26,51&lt;Projects!$C$26+Projects!$D$26),Projects!$B$26*INDEX(Curves!$B$4:$AR$4,1,51-Projects!$C$26+1),0)+IF(AND(Projects!$G$27="Yes",51&gt;=Projects!$C$27,51&lt;Projects!$C$27+Projects!$D$27),Projects!$B$27*INDEX(Curves!$B$4:$AR$4,1,51-Projects!$C$27+1),0)+IF(AND(Projects!$G$28="Yes",51&gt;=Projects!$C$28,51&lt;Projects!$C$28+Projects!$D$28),Projects!$B$28*INDEX(Curves!$B$4:$AR$4,1,51-Projects!$C$28+1),0)+IF(AND(Projects!$G$29="Yes",51&gt;=Projects!$C$29,51&lt;Projects!$C$29+Projects!$D$29),Projects!$B$29*INDEX(Curves!$B$4:$AR$4,1,51-Projects!$C$29+1),0)+IF(AND(Projects!$G$30="Yes",51&gt;=Projects!$C$30,51&lt;Projects!$C$30+Projects!$D$30),Projects!$B$30*INDEX(Curves!$B$4:$AR$4,1,51-Projects!$C$30+1),0)+IF(AND(Projects!$G$31="Yes",51&gt;=Projects!$C$31,51&lt;Projects!$C$31+Projects!$D$31),Projects!$B$31*INDEX(Curves!$B$4:$AR$4,1,51-Projects!$C$31+1),0)+IF(AND(Projects!$G$32="Yes",51&gt;=Projects!$C$32,51&lt;Projects!$C$32+Projects!$D$32),Projects!$B$32*INDEX(Curves!$B$4:$AR$4,1,51-Projects!$C$32+1),0)+IF(AND(Projects!$G$33="Yes",51&gt;=Projects!$C$33,51&lt;Projects!$C$33+Projects!$D$33),Projects!$B$33*INDEX(Curves!$B$4:$AR$4,1,51-Projects!$C$33+1),0)+IF(AND(Projects!$G$34="Yes",51&gt;=Projects!$C$34,51&lt;Projects!$C$34+Projects!$D$34),Projects!$B$34*INDEX(Curves!$B$4:$AR$4,1,51-Projects!$C$34+1),0)+IF(AND(Projects!$G$35="Yes",51&gt;=Projects!$C$35,51&lt;Projects!$C$35+Projects!$D$35),Projects!$B$35*INDEX(Curves!$B$4:$AR$4,1,51-Projects!$C$35+1),0)+IF(AND(Projects!$G$36="Yes",51&gt;=Projects!$C$36,51&lt;Projects!$C$36+Projects!$D$36),Projects!$B$36*INDEX(Curves!$B$4:$AR$4,1,51-Projects!$C$36+1),0)+IF(AND(Projects!$G$37="Yes",51&gt;=Projects!$C$37,51&lt;Projects!$C$37+Projects!$D$37),Projects!$B$37*INDEX(Curves!$B$4:$AR$4,1,51-Projects!$C$37+1),0)+IF(AND(Projects!$G$38="Yes",51&gt;=Projects!$C$38,51&lt;Projects!$C$38+Projects!$D$38),Projects!$B$38*INDEX(Curves!$B$4:$AR$4,1,51-Projects!$C$38+1),0)+IF(AND(Projects!$G$39="Yes",51&gt;=Projects!$C$39,51&lt;Projects!$C$39+Projects!$D$39),Projects!$B$39*INDEX(Curves!$B$4:$AR$4,1,51-Projects!$C$39+1),0)+IF(AND(Projects!$G$40="Yes",51&gt;=Projects!$C$40,51&lt;Projects!$C$40+Projects!$D$40),Projects!$B$40*INDEX(Curves!$B$4:$AR$4,1,51-Projects!$C$40+1),0)+IF(AND(Projects!$G$41="Yes",51&gt;=Projects!$C$41,51&lt;Projects!$C$41+Projects!$D$41),Projects!$B$41*INDEX(Curves!$B$4:$AR$4,1,51-Projects!$C$41+1),0)+IF(AND(Projects!$G$42="Yes",51&gt;=Projects!$C$42,51&lt;Projects!$C$42+Projects!$D$42),Projects!$B$42*INDEX(Curves!$B$4:$AR$4,1,51-Projects!$C$42+1),0)+IF(AND(Projects!$G$43="Yes",51&gt;=Projects!$C$43,51&lt;Projects!$C$43+Projects!$D$43),Projects!$B$43*INDEX(Curves!$B$4:$AR$4,1,51-Projects!$C$43+1),0)+IF(AND(Projects!$G$44="Yes",51&gt;=Projects!$C$44,51&lt;Projects!$C$44+Projects!$D$44),Projects!$B$44*INDEX(Curves!$B$4:$AR$4,1,51-Projects!$C$44+1),0)+IF(AND(Projects!$G$45="Yes",51&gt;=Projects!$C$45,51&lt;Projects!$C$45+Projects!$D$45),Projects!$B$45*INDEX(Curves!$B$4:$AR$4,1,51-Projects!$C$45+1),0)+IF(AND(Projects!$G$46="Yes",51&gt;=Projects!$C$46,51&lt;Projects!$C$46+Projects!$D$46),Projects!$B$46*INDEX(Curves!$B$4:$AR$4,1,51-Projects!$C$46+1),0)</f>
        <v>0</v>
      </c>
      <c r="BE96" s="315" t="n">
        <f aca="false">IF(AND(Projects!$G$17="Yes",52&gt;=Projects!$C$17,52&lt;Projects!$C$17+Projects!$D$17),Projects!$B$17*INDEX(Curves!$B$4:$AR$4,1,52-Projects!$C$17+1),0)+IF(AND(Projects!$G$18="Yes",52&gt;=Projects!$C$18,52&lt;Projects!$C$18+Projects!$D$18),Projects!$B$18*INDEX(Curves!$B$4:$AR$4,1,52-Projects!$C$18+1),0)+IF(AND(Projects!$G$19="Yes",52&gt;=Projects!$C$19,52&lt;Projects!$C$19+Projects!$D$19),Projects!$B$19*INDEX(Curves!$B$4:$AR$4,1,52-Projects!$C$19+1),0)+IF(AND(Projects!$G$20="Yes",52&gt;=Projects!$C$20,52&lt;Projects!$C$20+Projects!$D$20),Projects!$B$20*INDEX(Curves!$B$4:$AR$4,1,52-Projects!$C$20+1),0)+IF(AND(Projects!$G$21="Yes",52&gt;=Projects!$C$21,52&lt;Projects!$C$21+Projects!$D$21),Projects!$B$21*INDEX(Curves!$B$4:$AR$4,1,52-Projects!$C$21+1),0)+IF(AND(Projects!$G$22="Yes",52&gt;=Projects!$C$22,52&lt;Projects!$C$22+Projects!$D$22),Projects!$B$22*INDEX(Curves!$B$4:$AR$4,1,52-Projects!$C$22+1),0)+IF(AND(Projects!$G$23="Yes",52&gt;=Projects!$C$23,52&lt;Projects!$C$23+Projects!$D$23),Projects!$B$23*INDEX(Curves!$B$4:$AR$4,1,52-Projects!$C$23+1),0)+IF(AND(Projects!$G$24="Yes",52&gt;=Projects!$C$24,52&lt;Projects!$C$24+Projects!$D$24),Projects!$B$24*INDEX(Curves!$B$4:$AR$4,1,52-Projects!$C$24+1),0)+IF(AND(Projects!$G$25="Yes",52&gt;=Projects!$C$25,52&lt;Projects!$C$25+Projects!$D$25),Projects!$B$25*INDEX(Curves!$B$4:$AR$4,1,52-Projects!$C$25+1),0)+IF(AND(Projects!$G$26="Yes",52&gt;=Projects!$C$26,52&lt;Projects!$C$26+Projects!$D$26),Projects!$B$26*INDEX(Curves!$B$4:$AR$4,1,52-Projects!$C$26+1),0)+IF(AND(Projects!$G$27="Yes",52&gt;=Projects!$C$27,52&lt;Projects!$C$27+Projects!$D$27),Projects!$B$27*INDEX(Curves!$B$4:$AR$4,1,52-Projects!$C$27+1),0)+IF(AND(Projects!$G$28="Yes",52&gt;=Projects!$C$28,52&lt;Projects!$C$28+Projects!$D$28),Projects!$B$28*INDEX(Curves!$B$4:$AR$4,1,52-Projects!$C$28+1),0)+IF(AND(Projects!$G$29="Yes",52&gt;=Projects!$C$29,52&lt;Projects!$C$29+Projects!$D$29),Projects!$B$29*INDEX(Curves!$B$4:$AR$4,1,52-Projects!$C$29+1),0)+IF(AND(Projects!$G$30="Yes",52&gt;=Projects!$C$30,52&lt;Projects!$C$30+Projects!$D$30),Projects!$B$30*INDEX(Curves!$B$4:$AR$4,1,52-Projects!$C$30+1),0)+IF(AND(Projects!$G$31="Yes",52&gt;=Projects!$C$31,52&lt;Projects!$C$31+Projects!$D$31),Projects!$B$31*INDEX(Curves!$B$4:$AR$4,1,52-Projects!$C$31+1),0)+IF(AND(Projects!$G$32="Yes",52&gt;=Projects!$C$32,52&lt;Projects!$C$32+Projects!$D$32),Projects!$B$32*INDEX(Curves!$B$4:$AR$4,1,52-Projects!$C$32+1),0)+IF(AND(Projects!$G$33="Yes",52&gt;=Projects!$C$33,52&lt;Projects!$C$33+Projects!$D$33),Projects!$B$33*INDEX(Curves!$B$4:$AR$4,1,52-Projects!$C$33+1),0)+IF(AND(Projects!$G$34="Yes",52&gt;=Projects!$C$34,52&lt;Projects!$C$34+Projects!$D$34),Projects!$B$34*INDEX(Curves!$B$4:$AR$4,1,52-Projects!$C$34+1),0)+IF(AND(Projects!$G$35="Yes",52&gt;=Projects!$C$35,52&lt;Projects!$C$35+Projects!$D$35),Projects!$B$35*INDEX(Curves!$B$4:$AR$4,1,52-Projects!$C$35+1),0)+IF(AND(Projects!$G$36="Yes",52&gt;=Projects!$C$36,52&lt;Projects!$C$36+Projects!$D$36),Projects!$B$36*INDEX(Curves!$B$4:$AR$4,1,52-Projects!$C$36+1),0)+IF(AND(Projects!$G$37="Yes",52&gt;=Projects!$C$37,52&lt;Projects!$C$37+Projects!$D$37),Projects!$B$37*INDEX(Curves!$B$4:$AR$4,1,52-Projects!$C$37+1),0)+IF(AND(Projects!$G$38="Yes",52&gt;=Projects!$C$38,52&lt;Projects!$C$38+Projects!$D$38),Projects!$B$38*INDEX(Curves!$B$4:$AR$4,1,52-Projects!$C$38+1),0)+IF(AND(Projects!$G$39="Yes",52&gt;=Projects!$C$39,52&lt;Projects!$C$39+Projects!$D$39),Projects!$B$39*INDEX(Curves!$B$4:$AR$4,1,52-Projects!$C$39+1),0)+IF(AND(Projects!$G$40="Yes",52&gt;=Projects!$C$40,52&lt;Projects!$C$40+Projects!$D$40),Projects!$B$40*INDEX(Curves!$B$4:$AR$4,1,52-Projects!$C$40+1),0)+IF(AND(Projects!$G$41="Yes",52&gt;=Projects!$C$41,52&lt;Projects!$C$41+Projects!$D$41),Projects!$B$41*INDEX(Curves!$B$4:$AR$4,1,52-Projects!$C$41+1),0)+IF(AND(Projects!$G$42="Yes",52&gt;=Projects!$C$42,52&lt;Projects!$C$42+Projects!$D$42),Projects!$B$42*INDEX(Curves!$B$4:$AR$4,1,52-Projects!$C$42+1),0)+IF(AND(Projects!$G$43="Yes",52&gt;=Projects!$C$43,52&lt;Projects!$C$43+Projects!$D$43),Projects!$B$43*INDEX(Curves!$B$4:$AR$4,1,52-Projects!$C$43+1),0)+IF(AND(Projects!$G$44="Yes",52&gt;=Projects!$C$44,52&lt;Projects!$C$44+Projects!$D$44),Projects!$B$44*INDEX(Curves!$B$4:$AR$4,1,52-Projects!$C$44+1),0)+IF(AND(Projects!$G$45="Yes",52&gt;=Projects!$C$45,52&lt;Projects!$C$45+Projects!$D$45),Projects!$B$45*INDEX(Curves!$B$4:$AR$4,1,52-Projects!$C$45+1),0)+IF(AND(Projects!$G$46="Yes",52&gt;=Projects!$C$46,52&lt;Projects!$C$46+Projects!$D$46),Projects!$B$46*INDEX(Curves!$B$4:$AR$4,1,52-Projects!$C$46+1),0)</f>
        <v>0</v>
      </c>
      <c r="BF96" s="315" t="n">
        <f aca="false">IF(AND(Projects!$G$17="Yes",53&gt;=Projects!$C$17,53&lt;Projects!$C$17+Projects!$D$17),Projects!$B$17*INDEX(Curves!$B$4:$AR$4,1,53-Projects!$C$17+1),0)+IF(AND(Projects!$G$18="Yes",53&gt;=Projects!$C$18,53&lt;Projects!$C$18+Projects!$D$18),Projects!$B$18*INDEX(Curves!$B$4:$AR$4,1,53-Projects!$C$18+1),0)+IF(AND(Projects!$G$19="Yes",53&gt;=Projects!$C$19,53&lt;Projects!$C$19+Projects!$D$19),Projects!$B$19*INDEX(Curves!$B$4:$AR$4,1,53-Projects!$C$19+1),0)+IF(AND(Projects!$G$20="Yes",53&gt;=Projects!$C$20,53&lt;Projects!$C$20+Projects!$D$20),Projects!$B$20*INDEX(Curves!$B$4:$AR$4,1,53-Projects!$C$20+1),0)+IF(AND(Projects!$G$21="Yes",53&gt;=Projects!$C$21,53&lt;Projects!$C$21+Projects!$D$21),Projects!$B$21*INDEX(Curves!$B$4:$AR$4,1,53-Projects!$C$21+1),0)+IF(AND(Projects!$G$22="Yes",53&gt;=Projects!$C$22,53&lt;Projects!$C$22+Projects!$D$22),Projects!$B$22*INDEX(Curves!$B$4:$AR$4,1,53-Projects!$C$22+1),0)+IF(AND(Projects!$G$23="Yes",53&gt;=Projects!$C$23,53&lt;Projects!$C$23+Projects!$D$23),Projects!$B$23*INDEX(Curves!$B$4:$AR$4,1,53-Projects!$C$23+1),0)+IF(AND(Projects!$G$24="Yes",53&gt;=Projects!$C$24,53&lt;Projects!$C$24+Projects!$D$24),Projects!$B$24*INDEX(Curves!$B$4:$AR$4,1,53-Projects!$C$24+1),0)+IF(AND(Projects!$G$25="Yes",53&gt;=Projects!$C$25,53&lt;Projects!$C$25+Projects!$D$25),Projects!$B$25*INDEX(Curves!$B$4:$AR$4,1,53-Projects!$C$25+1),0)+IF(AND(Projects!$G$26="Yes",53&gt;=Projects!$C$26,53&lt;Projects!$C$26+Projects!$D$26),Projects!$B$26*INDEX(Curves!$B$4:$AR$4,1,53-Projects!$C$26+1),0)+IF(AND(Projects!$G$27="Yes",53&gt;=Projects!$C$27,53&lt;Projects!$C$27+Projects!$D$27),Projects!$B$27*INDEX(Curves!$B$4:$AR$4,1,53-Projects!$C$27+1),0)+IF(AND(Projects!$G$28="Yes",53&gt;=Projects!$C$28,53&lt;Projects!$C$28+Projects!$D$28),Projects!$B$28*INDEX(Curves!$B$4:$AR$4,1,53-Projects!$C$28+1),0)+IF(AND(Projects!$G$29="Yes",53&gt;=Projects!$C$29,53&lt;Projects!$C$29+Projects!$D$29),Projects!$B$29*INDEX(Curves!$B$4:$AR$4,1,53-Projects!$C$29+1),0)+IF(AND(Projects!$G$30="Yes",53&gt;=Projects!$C$30,53&lt;Projects!$C$30+Projects!$D$30),Projects!$B$30*INDEX(Curves!$B$4:$AR$4,1,53-Projects!$C$30+1),0)+IF(AND(Projects!$G$31="Yes",53&gt;=Projects!$C$31,53&lt;Projects!$C$31+Projects!$D$31),Projects!$B$31*INDEX(Curves!$B$4:$AR$4,1,53-Projects!$C$31+1),0)+IF(AND(Projects!$G$32="Yes",53&gt;=Projects!$C$32,53&lt;Projects!$C$32+Projects!$D$32),Projects!$B$32*INDEX(Curves!$B$4:$AR$4,1,53-Projects!$C$32+1),0)+IF(AND(Projects!$G$33="Yes",53&gt;=Projects!$C$33,53&lt;Projects!$C$33+Projects!$D$33),Projects!$B$33*INDEX(Curves!$B$4:$AR$4,1,53-Projects!$C$33+1),0)+IF(AND(Projects!$G$34="Yes",53&gt;=Projects!$C$34,53&lt;Projects!$C$34+Projects!$D$34),Projects!$B$34*INDEX(Curves!$B$4:$AR$4,1,53-Projects!$C$34+1),0)+IF(AND(Projects!$G$35="Yes",53&gt;=Projects!$C$35,53&lt;Projects!$C$35+Projects!$D$35),Projects!$B$35*INDEX(Curves!$B$4:$AR$4,1,53-Projects!$C$35+1),0)+IF(AND(Projects!$G$36="Yes",53&gt;=Projects!$C$36,53&lt;Projects!$C$36+Projects!$D$36),Projects!$B$36*INDEX(Curves!$B$4:$AR$4,1,53-Projects!$C$36+1),0)+IF(AND(Projects!$G$37="Yes",53&gt;=Projects!$C$37,53&lt;Projects!$C$37+Projects!$D$37),Projects!$B$37*INDEX(Curves!$B$4:$AR$4,1,53-Projects!$C$37+1),0)+IF(AND(Projects!$G$38="Yes",53&gt;=Projects!$C$38,53&lt;Projects!$C$38+Projects!$D$38),Projects!$B$38*INDEX(Curves!$B$4:$AR$4,1,53-Projects!$C$38+1),0)+IF(AND(Projects!$G$39="Yes",53&gt;=Projects!$C$39,53&lt;Projects!$C$39+Projects!$D$39),Projects!$B$39*INDEX(Curves!$B$4:$AR$4,1,53-Projects!$C$39+1),0)+IF(AND(Projects!$G$40="Yes",53&gt;=Projects!$C$40,53&lt;Projects!$C$40+Projects!$D$40),Projects!$B$40*INDEX(Curves!$B$4:$AR$4,1,53-Projects!$C$40+1),0)+IF(AND(Projects!$G$41="Yes",53&gt;=Projects!$C$41,53&lt;Projects!$C$41+Projects!$D$41),Projects!$B$41*INDEX(Curves!$B$4:$AR$4,1,53-Projects!$C$41+1),0)+IF(AND(Projects!$G$42="Yes",53&gt;=Projects!$C$42,53&lt;Projects!$C$42+Projects!$D$42),Projects!$B$42*INDEX(Curves!$B$4:$AR$4,1,53-Projects!$C$42+1),0)+IF(AND(Projects!$G$43="Yes",53&gt;=Projects!$C$43,53&lt;Projects!$C$43+Projects!$D$43),Projects!$B$43*INDEX(Curves!$B$4:$AR$4,1,53-Projects!$C$43+1),0)+IF(AND(Projects!$G$44="Yes",53&gt;=Projects!$C$44,53&lt;Projects!$C$44+Projects!$D$44),Projects!$B$44*INDEX(Curves!$B$4:$AR$4,1,53-Projects!$C$44+1),0)+IF(AND(Projects!$G$45="Yes",53&gt;=Projects!$C$45,53&lt;Projects!$C$45+Projects!$D$45),Projects!$B$45*INDEX(Curves!$B$4:$AR$4,1,53-Projects!$C$45+1),0)+IF(AND(Projects!$G$46="Yes",53&gt;=Projects!$C$46,53&lt;Projects!$C$46+Projects!$D$46),Projects!$B$46*INDEX(Curves!$B$4:$AR$4,1,53-Projects!$C$46+1),0)</f>
        <v>0</v>
      </c>
      <c r="BG96" s="315" t="n">
        <f aca="false">IF(AND(Projects!$G$17="Yes",54&gt;=Projects!$C$17,54&lt;Projects!$C$17+Projects!$D$17),Projects!$B$17*INDEX(Curves!$B$4:$AR$4,1,54-Projects!$C$17+1),0)+IF(AND(Projects!$G$18="Yes",54&gt;=Projects!$C$18,54&lt;Projects!$C$18+Projects!$D$18),Projects!$B$18*INDEX(Curves!$B$4:$AR$4,1,54-Projects!$C$18+1),0)+IF(AND(Projects!$G$19="Yes",54&gt;=Projects!$C$19,54&lt;Projects!$C$19+Projects!$D$19),Projects!$B$19*INDEX(Curves!$B$4:$AR$4,1,54-Projects!$C$19+1),0)+IF(AND(Projects!$G$20="Yes",54&gt;=Projects!$C$20,54&lt;Projects!$C$20+Projects!$D$20),Projects!$B$20*INDEX(Curves!$B$4:$AR$4,1,54-Projects!$C$20+1),0)+IF(AND(Projects!$G$21="Yes",54&gt;=Projects!$C$21,54&lt;Projects!$C$21+Projects!$D$21),Projects!$B$21*INDEX(Curves!$B$4:$AR$4,1,54-Projects!$C$21+1),0)+IF(AND(Projects!$G$22="Yes",54&gt;=Projects!$C$22,54&lt;Projects!$C$22+Projects!$D$22),Projects!$B$22*INDEX(Curves!$B$4:$AR$4,1,54-Projects!$C$22+1),0)+IF(AND(Projects!$G$23="Yes",54&gt;=Projects!$C$23,54&lt;Projects!$C$23+Projects!$D$23),Projects!$B$23*INDEX(Curves!$B$4:$AR$4,1,54-Projects!$C$23+1),0)+IF(AND(Projects!$G$24="Yes",54&gt;=Projects!$C$24,54&lt;Projects!$C$24+Projects!$D$24),Projects!$B$24*INDEX(Curves!$B$4:$AR$4,1,54-Projects!$C$24+1),0)+IF(AND(Projects!$G$25="Yes",54&gt;=Projects!$C$25,54&lt;Projects!$C$25+Projects!$D$25),Projects!$B$25*INDEX(Curves!$B$4:$AR$4,1,54-Projects!$C$25+1),0)+IF(AND(Projects!$G$26="Yes",54&gt;=Projects!$C$26,54&lt;Projects!$C$26+Projects!$D$26),Projects!$B$26*INDEX(Curves!$B$4:$AR$4,1,54-Projects!$C$26+1),0)+IF(AND(Projects!$G$27="Yes",54&gt;=Projects!$C$27,54&lt;Projects!$C$27+Projects!$D$27),Projects!$B$27*INDEX(Curves!$B$4:$AR$4,1,54-Projects!$C$27+1),0)+IF(AND(Projects!$G$28="Yes",54&gt;=Projects!$C$28,54&lt;Projects!$C$28+Projects!$D$28),Projects!$B$28*INDEX(Curves!$B$4:$AR$4,1,54-Projects!$C$28+1),0)+IF(AND(Projects!$G$29="Yes",54&gt;=Projects!$C$29,54&lt;Projects!$C$29+Projects!$D$29),Projects!$B$29*INDEX(Curves!$B$4:$AR$4,1,54-Projects!$C$29+1),0)+IF(AND(Projects!$G$30="Yes",54&gt;=Projects!$C$30,54&lt;Projects!$C$30+Projects!$D$30),Projects!$B$30*INDEX(Curves!$B$4:$AR$4,1,54-Projects!$C$30+1),0)+IF(AND(Projects!$G$31="Yes",54&gt;=Projects!$C$31,54&lt;Projects!$C$31+Projects!$D$31),Projects!$B$31*INDEX(Curves!$B$4:$AR$4,1,54-Projects!$C$31+1),0)+IF(AND(Projects!$G$32="Yes",54&gt;=Projects!$C$32,54&lt;Projects!$C$32+Projects!$D$32),Projects!$B$32*INDEX(Curves!$B$4:$AR$4,1,54-Projects!$C$32+1),0)+IF(AND(Projects!$G$33="Yes",54&gt;=Projects!$C$33,54&lt;Projects!$C$33+Projects!$D$33),Projects!$B$33*INDEX(Curves!$B$4:$AR$4,1,54-Projects!$C$33+1),0)+IF(AND(Projects!$G$34="Yes",54&gt;=Projects!$C$34,54&lt;Projects!$C$34+Projects!$D$34),Projects!$B$34*INDEX(Curves!$B$4:$AR$4,1,54-Projects!$C$34+1),0)+IF(AND(Projects!$G$35="Yes",54&gt;=Projects!$C$35,54&lt;Projects!$C$35+Projects!$D$35),Projects!$B$35*INDEX(Curves!$B$4:$AR$4,1,54-Projects!$C$35+1),0)+IF(AND(Projects!$G$36="Yes",54&gt;=Projects!$C$36,54&lt;Projects!$C$36+Projects!$D$36),Projects!$B$36*INDEX(Curves!$B$4:$AR$4,1,54-Projects!$C$36+1),0)+IF(AND(Projects!$G$37="Yes",54&gt;=Projects!$C$37,54&lt;Projects!$C$37+Projects!$D$37),Projects!$B$37*INDEX(Curves!$B$4:$AR$4,1,54-Projects!$C$37+1),0)+IF(AND(Projects!$G$38="Yes",54&gt;=Projects!$C$38,54&lt;Projects!$C$38+Projects!$D$38),Projects!$B$38*INDEX(Curves!$B$4:$AR$4,1,54-Projects!$C$38+1),0)+IF(AND(Projects!$G$39="Yes",54&gt;=Projects!$C$39,54&lt;Projects!$C$39+Projects!$D$39),Projects!$B$39*INDEX(Curves!$B$4:$AR$4,1,54-Projects!$C$39+1),0)+IF(AND(Projects!$G$40="Yes",54&gt;=Projects!$C$40,54&lt;Projects!$C$40+Projects!$D$40),Projects!$B$40*INDEX(Curves!$B$4:$AR$4,1,54-Projects!$C$40+1),0)+IF(AND(Projects!$G$41="Yes",54&gt;=Projects!$C$41,54&lt;Projects!$C$41+Projects!$D$41),Projects!$B$41*INDEX(Curves!$B$4:$AR$4,1,54-Projects!$C$41+1),0)+IF(AND(Projects!$G$42="Yes",54&gt;=Projects!$C$42,54&lt;Projects!$C$42+Projects!$D$42),Projects!$B$42*INDEX(Curves!$B$4:$AR$4,1,54-Projects!$C$42+1),0)+IF(AND(Projects!$G$43="Yes",54&gt;=Projects!$C$43,54&lt;Projects!$C$43+Projects!$D$43),Projects!$B$43*INDEX(Curves!$B$4:$AR$4,1,54-Projects!$C$43+1),0)+IF(AND(Projects!$G$44="Yes",54&gt;=Projects!$C$44,54&lt;Projects!$C$44+Projects!$D$44),Projects!$B$44*INDEX(Curves!$B$4:$AR$4,1,54-Projects!$C$44+1),0)+IF(AND(Projects!$G$45="Yes",54&gt;=Projects!$C$45,54&lt;Projects!$C$45+Projects!$D$45),Projects!$B$45*INDEX(Curves!$B$4:$AR$4,1,54-Projects!$C$45+1),0)+IF(AND(Projects!$G$46="Yes",54&gt;=Projects!$C$46,54&lt;Projects!$C$46+Projects!$D$46),Projects!$B$46*INDEX(Curves!$B$4:$AR$4,1,54-Projects!$C$46+1),0)</f>
        <v>0</v>
      </c>
      <c r="BH96" s="315" t="n">
        <f aca="false">IF(AND(Projects!$G$17="Yes",55&gt;=Projects!$C$17,55&lt;Projects!$C$17+Projects!$D$17),Projects!$B$17*INDEX(Curves!$B$4:$AR$4,1,55-Projects!$C$17+1),0)+IF(AND(Projects!$G$18="Yes",55&gt;=Projects!$C$18,55&lt;Projects!$C$18+Projects!$D$18),Projects!$B$18*INDEX(Curves!$B$4:$AR$4,1,55-Projects!$C$18+1),0)+IF(AND(Projects!$G$19="Yes",55&gt;=Projects!$C$19,55&lt;Projects!$C$19+Projects!$D$19),Projects!$B$19*INDEX(Curves!$B$4:$AR$4,1,55-Projects!$C$19+1),0)+IF(AND(Projects!$G$20="Yes",55&gt;=Projects!$C$20,55&lt;Projects!$C$20+Projects!$D$20),Projects!$B$20*INDEX(Curves!$B$4:$AR$4,1,55-Projects!$C$20+1),0)+IF(AND(Projects!$G$21="Yes",55&gt;=Projects!$C$21,55&lt;Projects!$C$21+Projects!$D$21),Projects!$B$21*INDEX(Curves!$B$4:$AR$4,1,55-Projects!$C$21+1),0)+IF(AND(Projects!$G$22="Yes",55&gt;=Projects!$C$22,55&lt;Projects!$C$22+Projects!$D$22),Projects!$B$22*INDEX(Curves!$B$4:$AR$4,1,55-Projects!$C$22+1),0)+IF(AND(Projects!$G$23="Yes",55&gt;=Projects!$C$23,55&lt;Projects!$C$23+Projects!$D$23),Projects!$B$23*INDEX(Curves!$B$4:$AR$4,1,55-Projects!$C$23+1),0)+IF(AND(Projects!$G$24="Yes",55&gt;=Projects!$C$24,55&lt;Projects!$C$24+Projects!$D$24),Projects!$B$24*INDEX(Curves!$B$4:$AR$4,1,55-Projects!$C$24+1),0)+IF(AND(Projects!$G$25="Yes",55&gt;=Projects!$C$25,55&lt;Projects!$C$25+Projects!$D$25),Projects!$B$25*INDEX(Curves!$B$4:$AR$4,1,55-Projects!$C$25+1),0)+IF(AND(Projects!$G$26="Yes",55&gt;=Projects!$C$26,55&lt;Projects!$C$26+Projects!$D$26),Projects!$B$26*INDEX(Curves!$B$4:$AR$4,1,55-Projects!$C$26+1),0)+IF(AND(Projects!$G$27="Yes",55&gt;=Projects!$C$27,55&lt;Projects!$C$27+Projects!$D$27),Projects!$B$27*INDEX(Curves!$B$4:$AR$4,1,55-Projects!$C$27+1),0)+IF(AND(Projects!$G$28="Yes",55&gt;=Projects!$C$28,55&lt;Projects!$C$28+Projects!$D$28),Projects!$B$28*INDEX(Curves!$B$4:$AR$4,1,55-Projects!$C$28+1),0)+IF(AND(Projects!$G$29="Yes",55&gt;=Projects!$C$29,55&lt;Projects!$C$29+Projects!$D$29),Projects!$B$29*INDEX(Curves!$B$4:$AR$4,1,55-Projects!$C$29+1),0)+IF(AND(Projects!$G$30="Yes",55&gt;=Projects!$C$30,55&lt;Projects!$C$30+Projects!$D$30),Projects!$B$30*INDEX(Curves!$B$4:$AR$4,1,55-Projects!$C$30+1),0)+IF(AND(Projects!$G$31="Yes",55&gt;=Projects!$C$31,55&lt;Projects!$C$31+Projects!$D$31),Projects!$B$31*INDEX(Curves!$B$4:$AR$4,1,55-Projects!$C$31+1),0)+IF(AND(Projects!$G$32="Yes",55&gt;=Projects!$C$32,55&lt;Projects!$C$32+Projects!$D$32),Projects!$B$32*INDEX(Curves!$B$4:$AR$4,1,55-Projects!$C$32+1),0)+IF(AND(Projects!$G$33="Yes",55&gt;=Projects!$C$33,55&lt;Projects!$C$33+Projects!$D$33),Projects!$B$33*INDEX(Curves!$B$4:$AR$4,1,55-Projects!$C$33+1),0)+IF(AND(Projects!$G$34="Yes",55&gt;=Projects!$C$34,55&lt;Projects!$C$34+Projects!$D$34),Projects!$B$34*INDEX(Curves!$B$4:$AR$4,1,55-Projects!$C$34+1),0)+IF(AND(Projects!$G$35="Yes",55&gt;=Projects!$C$35,55&lt;Projects!$C$35+Projects!$D$35),Projects!$B$35*INDEX(Curves!$B$4:$AR$4,1,55-Projects!$C$35+1),0)+IF(AND(Projects!$G$36="Yes",55&gt;=Projects!$C$36,55&lt;Projects!$C$36+Projects!$D$36),Projects!$B$36*INDEX(Curves!$B$4:$AR$4,1,55-Projects!$C$36+1),0)+IF(AND(Projects!$G$37="Yes",55&gt;=Projects!$C$37,55&lt;Projects!$C$37+Projects!$D$37),Projects!$B$37*INDEX(Curves!$B$4:$AR$4,1,55-Projects!$C$37+1),0)+IF(AND(Projects!$G$38="Yes",55&gt;=Projects!$C$38,55&lt;Projects!$C$38+Projects!$D$38),Projects!$B$38*INDEX(Curves!$B$4:$AR$4,1,55-Projects!$C$38+1),0)+IF(AND(Projects!$G$39="Yes",55&gt;=Projects!$C$39,55&lt;Projects!$C$39+Projects!$D$39),Projects!$B$39*INDEX(Curves!$B$4:$AR$4,1,55-Projects!$C$39+1),0)+IF(AND(Projects!$G$40="Yes",55&gt;=Projects!$C$40,55&lt;Projects!$C$40+Projects!$D$40),Projects!$B$40*INDEX(Curves!$B$4:$AR$4,1,55-Projects!$C$40+1),0)+IF(AND(Projects!$G$41="Yes",55&gt;=Projects!$C$41,55&lt;Projects!$C$41+Projects!$D$41),Projects!$B$41*INDEX(Curves!$B$4:$AR$4,1,55-Projects!$C$41+1),0)+IF(AND(Projects!$G$42="Yes",55&gt;=Projects!$C$42,55&lt;Projects!$C$42+Projects!$D$42),Projects!$B$42*INDEX(Curves!$B$4:$AR$4,1,55-Projects!$C$42+1),0)+IF(AND(Projects!$G$43="Yes",55&gt;=Projects!$C$43,55&lt;Projects!$C$43+Projects!$D$43),Projects!$B$43*INDEX(Curves!$B$4:$AR$4,1,55-Projects!$C$43+1),0)+IF(AND(Projects!$G$44="Yes",55&gt;=Projects!$C$44,55&lt;Projects!$C$44+Projects!$D$44),Projects!$B$44*INDEX(Curves!$B$4:$AR$4,1,55-Projects!$C$44+1),0)+IF(AND(Projects!$G$45="Yes",55&gt;=Projects!$C$45,55&lt;Projects!$C$45+Projects!$D$45),Projects!$B$45*INDEX(Curves!$B$4:$AR$4,1,55-Projects!$C$45+1),0)+IF(AND(Projects!$G$46="Yes",55&gt;=Projects!$C$46,55&lt;Projects!$C$46+Projects!$D$46),Projects!$B$46*INDEX(Curves!$B$4:$AR$4,1,55-Projects!$C$46+1),0)</f>
        <v>0</v>
      </c>
      <c r="BI96" s="315" t="n">
        <f aca="false">IF(AND(Projects!$G$17="Yes",56&gt;=Projects!$C$17,56&lt;Projects!$C$17+Projects!$D$17),Projects!$B$17*INDEX(Curves!$B$4:$AR$4,1,56-Projects!$C$17+1),0)+IF(AND(Projects!$G$18="Yes",56&gt;=Projects!$C$18,56&lt;Projects!$C$18+Projects!$D$18),Projects!$B$18*INDEX(Curves!$B$4:$AR$4,1,56-Projects!$C$18+1),0)+IF(AND(Projects!$G$19="Yes",56&gt;=Projects!$C$19,56&lt;Projects!$C$19+Projects!$D$19),Projects!$B$19*INDEX(Curves!$B$4:$AR$4,1,56-Projects!$C$19+1),0)+IF(AND(Projects!$G$20="Yes",56&gt;=Projects!$C$20,56&lt;Projects!$C$20+Projects!$D$20),Projects!$B$20*INDEX(Curves!$B$4:$AR$4,1,56-Projects!$C$20+1),0)+IF(AND(Projects!$G$21="Yes",56&gt;=Projects!$C$21,56&lt;Projects!$C$21+Projects!$D$21),Projects!$B$21*INDEX(Curves!$B$4:$AR$4,1,56-Projects!$C$21+1),0)+IF(AND(Projects!$G$22="Yes",56&gt;=Projects!$C$22,56&lt;Projects!$C$22+Projects!$D$22),Projects!$B$22*INDEX(Curves!$B$4:$AR$4,1,56-Projects!$C$22+1),0)+IF(AND(Projects!$G$23="Yes",56&gt;=Projects!$C$23,56&lt;Projects!$C$23+Projects!$D$23),Projects!$B$23*INDEX(Curves!$B$4:$AR$4,1,56-Projects!$C$23+1),0)+IF(AND(Projects!$G$24="Yes",56&gt;=Projects!$C$24,56&lt;Projects!$C$24+Projects!$D$24),Projects!$B$24*INDEX(Curves!$B$4:$AR$4,1,56-Projects!$C$24+1),0)+IF(AND(Projects!$G$25="Yes",56&gt;=Projects!$C$25,56&lt;Projects!$C$25+Projects!$D$25),Projects!$B$25*INDEX(Curves!$B$4:$AR$4,1,56-Projects!$C$25+1),0)+IF(AND(Projects!$G$26="Yes",56&gt;=Projects!$C$26,56&lt;Projects!$C$26+Projects!$D$26),Projects!$B$26*INDEX(Curves!$B$4:$AR$4,1,56-Projects!$C$26+1),0)+IF(AND(Projects!$G$27="Yes",56&gt;=Projects!$C$27,56&lt;Projects!$C$27+Projects!$D$27),Projects!$B$27*INDEX(Curves!$B$4:$AR$4,1,56-Projects!$C$27+1),0)+IF(AND(Projects!$G$28="Yes",56&gt;=Projects!$C$28,56&lt;Projects!$C$28+Projects!$D$28),Projects!$B$28*INDEX(Curves!$B$4:$AR$4,1,56-Projects!$C$28+1),0)+IF(AND(Projects!$G$29="Yes",56&gt;=Projects!$C$29,56&lt;Projects!$C$29+Projects!$D$29),Projects!$B$29*INDEX(Curves!$B$4:$AR$4,1,56-Projects!$C$29+1),0)+IF(AND(Projects!$G$30="Yes",56&gt;=Projects!$C$30,56&lt;Projects!$C$30+Projects!$D$30),Projects!$B$30*INDEX(Curves!$B$4:$AR$4,1,56-Projects!$C$30+1),0)+IF(AND(Projects!$G$31="Yes",56&gt;=Projects!$C$31,56&lt;Projects!$C$31+Projects!$D$31),Projects!$B$31*INDEX(Curves!$B$4:$AR$4,1,56-Projects!$C$31+1),0)+IF(AND(Projects!$G$32="Yes",56&gt;=Projects!$C$32,56&lt;Projects!$C$32+Projects!$D$32),Projects!$B$32*INDEX(Curves!$B$4:$AR$4,1,56-Projects!$C$32+1),0)+IF(AND(Projects!$G$33="Yes",56&gt;=Projects!$C$33,56&lt;Projects!$C$33+Projects!$D$33),Projects!$B$33*INDEX(Curves!$B$4:$AR$4,1,56-Projects!$C$33+1),0)+IF(AND(Projects!$G$34="Yes",56&gt;=Projects!$C$34,56&lt;Projects!$C$34+Projects!$D$34),Projects!$B$34*INDEX(Curves!$B$4:$AR$4,1,56-Projects!$C$34+1),0)+IF(AND(Projects!$G$35="Yes",56&gt;=Projects!$C$35,56&lt;Projects!$C$35+Projects!$D$35),Projects!$B$35*INDEX(Curves!$B$4:$AR$4,1,56-Projects!$C$35+1),0)+IF(AND(Projects!$G$36="Yes",56&gt;=Projects!$C$36,56&lt;Projects!$C$36+Projects!$D$36),Projects!$B$36*INDEX(Curves!$B$4:$AR$4,1,56-Projects!$C$36+1),0)+IF(AND(Projects!$G$37="Yes",56&gt;=Projects!$C$37,56&lt;Projects!$C$37+Projects!$D$37),Projects!$B$37*INDEX(Curves!$B$4:$AR$4,1,56-Projects!$C$37+1),0)+IF(AND(Projects!$G$38="Yes",56&gt;=Projects!$C$38,56&lt;Projects!$C$38+Projects!$D$38),Projects!$B$38*INDEX(Curves!$B$4:$AR$4,1,56-Projects!$C$38+1),0)+IF(AND(Projects!$G$39="Yes",56&gt;=Projects!$C$39,56&lt;Projects!$C$39+Projects!$D$39),Projects!$B$39*INDEX(Curves!$B$4:$AR$4,1,56-Projects!$C$39+1),0)+IF(AND(Projects!$G$40="Yes",56&gt;=Projects!$C$40,56&lt;Projects!$C$40+Projects!$D$40),Projects!$B$40*INDEX(Curves!$B$4:$AR$4,1,56-Projects!$C$40+1),0)+IF(AND(Projects!$G$41="Yes",56&gt;=Projects!$C$41,56&lt;Projects!$C$41+Projects!$D$41),Projects!$B$41*INDEX(Curves!$B$4:$AR$4,1,56-Projects!$C$41+1),0)+IF(AND(Projects!$G$42="Yes",56&gt;=Projects!$C$42,56&lt;Projects!$C$42+Projects!$D$42),Projects!$B$42*INDEX(Curves!$B$4:$AR$4,1,56-Projects!$C$42+1),0)+IF(AND(Projects!$G$43="Yes",56&gt;=Projects!$C$43,56&lt;Projects!$C$43+Projects!$D$43),Projects!$B$43*INDEX(Curves!$B$4:$AR$4,1,56-Projects!$C$43+1),0)+IF(AND(Projects!$G$44="Yes",56&gt;=Projects!$C$44,56&lt;Projects!$C$44+Projects!$D$44),Projects!$B$44*INDEX(Curves!$B$4:$AR$4,1,56-Projects!$C$44+1),0)+IF(AND(Projects!$G$45="Yes",56&gt;=Projects!$C$45,56&lt;Projects!$C$45+Projects!$D$45),Projects!$B$45*INDEX(Curves!$B$4:$AR$4,1,56-Projects!$C$45+1),0)+IF(AND(Projects!$G$46="Yes",56&gt;=Projects!$C$46,56&lt;Projects!$C$46+Projects!$D$46),Projects!$B$46*INDEX(Curves!$B$4:$AR$4,1,56-Projects!$C$46+1),0)</f>
        <v>0</v>
      </c>
      <c r="BJ96" s="315" t="n">
        <f aca="false">IF(AND(Projects!$G$17="Yes",57&gt;=Projects!$C$17,57&lt;Projects!$C$17+Projects!$D$17),Projects!$B$17*INDEX(Curves!$B$4:$AR$4,1,57-Projects!$C$17+1),0)+IF(AND(Projects!$G$18="Yes",57&gt;=Projects!$C$18,57&lt;Projects!$C$18+Projects!$D$18),Projects!$B$18*INDEX(Curves!$B$4:$AR$4,1,57-Projects!$C$18+1),0)+IF(AND(Projects!$G$19="Yes",57&gt;=Projects!$C$19,57&lt;Projects!$C$19+Projects!$D$19),Projects!$B$19*INDEX(Curves!$B$4:$AR$4,1,57-Projects!$C$19+1),0)+IF(AND(Projects!$G$20="Yes",57&gt;=Projects!$C$20,57&lt;Projects!$C$20+Projects!$D$20),Projects!$B$20*INDEX(Curves!$B$4:$AR$4,1,57-Projects!$C$20+1),0)+IF(AND(Projects!$G$21="Yes",57&gt;=Projects!$C$21,57&lt;Projects!$C$21+Projects!$D$21),Projects!$B$21*INDEX(Curves!$B$4:$AR$4,1,57-Projects!$C$21+1),0)+IF(AND(Projects!$G$22="Yes",57&gt;=Projects!$C$22,57&lt;Projects!$C$22+Projects!$D$22),Projects!$B$22*INDEX(Curves!$B$4:$AR$4,1,57-Projects!$C$22+1),0)+IF(AND(Projects!$G$23="Yes",57&gt;=Projects!$C$23,57&lt;Projects!$C$23+Projects!$D$23),Projects!$B$23*INDEX(Curves!$B$4:$AR$4,1,57-Projects!$C$23+1),0)+IF(AND(Projects!$G$24="Yes",57&gt;=Projects!$C$24,57&lt;Projects!$C$24+Projects!$D$24),Projects!$B$24*INDEX(Curves!$B$4:$AR$4,1,57-Projects!$C$24+1),0)+IF(AND(Projects!$G$25="Yes",57&gt;=Projects!$C$25,57&lt;Projects!$C$25+Projects!$D$25),Projects!$B$25*INDEX(Curves!$B$4:$AR$4,1,57-Projects!$C$25+1),0)+IF(AND(Projects!$G$26="Yes",57&gt;=Projects!$C$26,57&lt;Projects!$C$26+Projects!$D$26),Projects!$B$26*INDEX(Curves!$B$4:$AR$4,1,57-Projects!$C$26+1),0)+IF(AND(Projects!$G$27="Yes",57&gt;=Projects!$C$27,57&lt;Projects!$C$27+Projects!$D$27),Projects!$B$27*INDEX(Curves!$B$4:$AR$4,1,57-Projects!$C$27+1),0)+IF(AND(Projects!$G$28="Yes",57&gt;=Projects!$C$28,57&lt;Projects!$C$28+Projects!$D$28),Projects!$B$28*INDEX(Curves!$B$4:$AR$4,1,57-Projects!$C$28+1),0)+IF(AND(Projects!$G$29="Yes",57&gt;=Projects!$C$29,57&lt;Projects!$C$29+Projects!$D$29),Projects!$B$29*INDEX(Curves!$B$4:$AR$4,1,57-Projects!$C$29+1),0)+IF(AND(Projects!$G$30="Yes",57&gt;=Projects!$C$30,57&lt;Projects!$C$30+Projects!$D$30),Projects!$B$30*INDEX(Curves!$B$4:$AR$4,1,57-Projects!$C$30+1),0)+IF(AND(Projects!$G$31="Yes",57&gt;=Projects!$C$31,57&lt;Projects!$C$31+Projects!$D$31),Projects!$B$31*INDEX(Curves!$B$4:$AR$4,1,57-Projects!$C$31+1),0)+IF(AND(Projects!$G$32="Yes",57&gt;=Projects!$C$32,57&lt;Projects!$C$32+Projects!$D$32),Projects!$B$32*INDEX(Curves!$B$4:$AR$4,1,57-Projects!$C$32+1),0)+IF(AND(Projects!$G$33="Yes",57&gt;=Projects!$C$33,57&lt;Projects!$C$33+Projects!$D$33),Projects!$B$33*INDEX(Curves!$B$4:$AR$4,1,57-Projects!$C$33+1),0)+IF(AND(Projects!$G$34="Yes",57&gt;=Projects!$C$34,57&lt;Projects!$C$34+Projects!$D$34),Projects!$B$34*INDEX(Curves!$B$4:$AR$4,1,57-Projects!$C$34+1),0)+IF(AND(Projects!$G$35="Yes",57&gt;=Projects!$C$35,57&lt;Projects!$C$35+Projects!$D$35),Projects!$B$35*INDEX(Curves!$B$4:$AR$4,1,57-Projects!$C$35+1),0)+IF(AND(Projects!$G$36="Yes",57&gt;=Projects!$C$36,57&lt;Projects!$C$36+Projects!$D$36),Projects!$B$36*INDEX(Curves!$B$4:$AR$4,1,57-Projects!$C$36+1),0)+IF(AND(Projects!$G$37="Yes",57&gt;=Projects!$C$37,57&lt;Projects!$C$37+Projects!$D$37),Projects!$B$37*INDEX(Curves!$B$4:$AR$4,1,57-Projects!$C$37+1),0)+IF(AND(Projects!$G$38="Yes",57&gt;=Projects!$C$38,57&lt;Projects!$C$38+Projects!$D$38),Projects!$B$38*INDEX(Curves!$B$4:$AR$4,1,57-Projects!$C$38+1),0)+IF(AND(Projects!$G$39="Yes",57&gt;=Projects!$C$39,57&lt;Projects!$C$39+Projects!$D$39),Projects!$B$39*INDEX(Curves!$B$4:$AR$4,1,57-Projects!$C$39+1),0)+IF(AND(Projects!$G$40="Yes",57&gt;=Projects!$C$40,57&lt;Projects!$C$40+Projects!$D$40),Projects!$B$40*INDEX(Curves!$B$4:$AR$4,1,57-Projects!$C$40+1),0)+IF(AND(Projects!$G$41="Yes",57&gt;=Projects!$C$41,57&lt;Projects!$C$41+Projects!$D$41),Projects!$B$41*INDEX(Curves!$B$4:$AR$4,1,57-Projects!$C$41+1),0)+IF(AND(Projects!$G$42="Yes",57&gt;=Projects!$C$42,57&lt;Projects!$C$42+Projects!$D$42),Projects!$B$42*INDEX(Curves!$B$4:$AR$4,1,57-Projects!$C$42+1),0)+IF(AND(Projects!$G$43="Yes",57&gt;=Projects!$C$43,57&lt;Projects!$C$43+Projects!$D$43),Projects!$B$43*INDEX(Curves!$B$4:$AR$4,1,57-Projects!$C$43+1),0)+IF(AND(Projects!$G$44="Yes",57&gt;=Projects!$C$44,57&lt;Projects!$C$44+Projects!$D$44),Projects!$B$44*INDEX(Curves!$B$4:$AR$4,1,57-Projects!$C$44+1),0)+IF(AND(Projects!$G$45="Yes",57&gt;=Projects!$C$45,57&lt;Projects!$C$45+Projects!$D$45),Projects!$B$45*INDEX(Curves!$B$4:$AR$4,1,57-Projects!$C$45+1),0)+IF(AND(Projects!$G$46="Yes",57&gt;=Projects!$C$46,57&lt;Projects!$C$46+Projects!$D$46),Projects!$B$46*INDEX(Curves!$B$4:$AR$4,1,57-Projects!$C$46+1),0)</f>
        <v>0</v>
      </c>
      <c r="BK96" s="315" t="n">
        <f aca="false">IF(AND(Projects!$G$17="Yes",58&gt;=Projects!$C$17,58&lt;Projects!$C$17+Projects!$D$17),Projects!$B$17*INDEX(Curves!$B$4:$AR$4,1,58-Projects!$C$17+1),0)+IF(AND(Projects!$G$18="Yes",58&gt;=Projects!$C$18,58&lt;Projects!$C$18+Projects!$D$18),Projects!$B$18*INDEX(Curves!$B$4:$AR$4,1,58-Projects!$C$18+1),0)+IF(AND(Projects!$G$19="Yes",58&gt;=Projects!$C$19,58&lt;Projects!$C$19+Projects!$D$19),Projects!$B$19*INDEX(Curves!$B$4:$AR$4,1,58-Projects!$C$19+1),0)+IF(AND(Projects!$G$20="Yes",58&gt;=Projects!$C$20,58&lt;Projects!$C$20+Projects!$D$20),Projects!$B$20*INDEX(Curves!$B$4:$AR$4,1,58-Projects!$C$20+1),0)+IF(AND(Projects!$G$21="Yes",58&gt;=Projects!$C$21,58&lt;Projects!$C$21+Projects!$D$21),Projects!$B$21*INDEX(Curves!$B$4:$AR$4,1,58-Projects!$C$21+1),0)+IF(AND(Projects!$G$22="Yes",58&gt;=Projects!$C$22,58&lt;Projects!$C$22+Projects!$D$22),Projects!$B$22*INDEX(Curves!$B$4:$AR$4,1,58-Projects!$C$22+1),0)+IF(AND(Projects!$G$23="Yes",58&gt;=Projects!$C$23,58&lt;Projects!$C$23+Projects!$D$23),Projects!$B$23*INDEX(Curves!$B$4:$AR$4,1,58-Projects!$C$23+1),0)+IF(AND(Projects!$G$24="Yes",58&gt;=Projects!$C$24,58&lt;Projects!$C$24+Projects!$D$24),Projects!$B$24*INDEX(Curves!$B$4:$AR$4,1,58-Projects!$C$24+1),0)+IF(AND(Projects!$G$25="Yes",58&gt;=Projects!$C$25,58&lt;Projects!$C$25+Projects!$D$25),Projects!$B$25*INDEX(Curves!$B$4:$AR$4,1,58-Projects!$C$25+1),0)+IF(AND(Projects!$G$26="Yes",58&gt;=Projects!$C$26,58&lt;Projects!$C$26+Projects!$D$26),Projects!$B$26*INDEX(Curves!$B$4:$AR$4,1,58-Projects!$C$26+1),0)+IF(AND(Projects!$G$27="Yes",58&gt;=Projects!$C$27,58&lt;Projects!$C$27+Projects!$D$27),Projects!$B$27*INDEX(Curves!$B$4:$AR$4,1,58-Projects!$C$27+1),0)+IF(AND(Projects!$G$28="Yes",58&gt;=Projects!$C$28,58&lt;Projects!$C$28+Projects!$D$28),Projects!$B$28*INDEX(Curves!$B$4:$AR$4,1,58-Projects!$C$28+1),0)+IF(AND(Projects!$G$29="Yes",58&gt;=Projects!$C$29,58&lt;Projects!$C$29+Projects!$D$29),Projects!$B$29*INDEX(Curves!$B$4:$AR$4,1,58-Projects!$C$29+1),0)+IF(AND(Projects!$G$30="Yes",58&gt;=Projects!$C$30,58&lt;Projects!$C$30+Projects!$D$30),Projects!$B$30*INDEX(Curves!$B$4:$AR$4,1,58-Projects!$C$30+1),0)+IF(AND(Projects!$G$31="Yes",58&gt;=Projects!$C$31,58&lt;Projects!$C$31+Projects!$D$31),Projects!$B$31*INDEX(Curves!$B$4:$AR$4,1,58-Projects!$C$31+1),0)+IF(AND(Projects!$G$32="Yes",58&gt;=Projects!$C$32,58&lt;Projects!$C$32+Projects!$D$32),Projects!$B$32*INDEX(Curves!$B$4:$AR$4,1,58-Projects!$C$32+1),0)+IF(AND(Projects!$G$33="Yes",58&gt;=Projects!$C$33,58&lt;Projects!$C$33+Projects!$D$33),Projects!$B$33*INDEX(Curves!$B$4:$AR$4,1,58-Projects!$C$33+1),0)+IF(AND(Projects!$G$34="Yes",58&gt;=Projects!$C$34,58&lt;Projects!$C$34+Projects!$D$34),Projects!$B$34*INDEX(Curves!$B$4:$AR$4,1,58-Projects!$C$34+1),0)+IF(AND(Projects!$G$35="Yes",58&gt;=Projects!$C$35,58&lt;Projects!$C$35+Projects!$D$35),Projects!$B$35*INDEX(Curves!$B$4:$AR$4,1,58-Projects!$C$35+1),0)+IF(AND(Projects!$G$36="Yes",58&gt;=Projects!$C$36,58&lt;Projects!$C$36+Projects!$D$36),Projects!$B$36*INDEX(Curves!$B$4:$AR$4,1,58-Projects!$C$36+1),0)+IF(AND(Projects!$G$37="Yes",58&gt;=Projects!$C$37,58&lt;Projects!$C$37+Projects!$D$37),Projects!$B$37*INDEX(Curves!$B$4:$AR$4,1,58-Projects!$C$37+1),0)+IF(AND(Projects!$G$38="Yes",58&gt;=Projects!$C$38,58&lt;Projects!$C$38+Projects!$D$38),Projects!$B$38*INDEX(Curves!$B$4:$AR$4,1,58-Projects!$C$38+1),0)+IF(AND(Projects!$G$39="Yes",58&gt;=Projects!$C$39,58&lt;Projects!$C$39+Projects!$D$39),Projects!$B$39*INDEX(Curves!$B$4:$AR$4,1,58-Projects!$C$39+1),0)+IF(AND(Projects!$G$40="Yes",58&gt;=Projects!$C$40,58&lt;Projects!$C$40+Projects!$D$40),Projects!$B$40*INDEX(Curves!$B$4:$AR$4,1,58-Projects!$C$40+1),0)+IF(AND(Projects!$G$41="Yes",58&gt;=Projects!$C$41,58&lt;Projects!$C$41+Projects!$D$41),Projects!$B$41*INDEX(Curves!$B$4:$AR$4,1,58-Projects!$C$41+1),0)+IF(AND(Projects!$G$42="Yes",58&gt;=Projects!$C$42,58&lt;Projects!$C$42+Projects!$D$42),Projects!$B$42*INDEX(Curves!$B$4:$AR$4,1,58-Projects!$C$42+1),0)+IF(AND(Projects!$G$43="Yes",58&gt;=Projects!$C$43,58&lt;Projects!$C$43+Projects!$D$43),Projects!$B$43*INDEX(Curves!$B$4:$AR$4,1,58-Projects!$C$43+1),0)+IF(AND(Projects!$G$44="Yes",58&gt;=Projects!$C$44,58&lt;Projects!$C$44+Projects!$D$44),Projects!$B$44*INDEX(Curves!$B$4:$AR$4,1,58-Projects!$C$44+1),0)+IF(AND(Projects!$G$45="Yes",58&gt;=Projects!$C$45,58&lt;Projects!$C$45+Projects!$D$45),Projects!$B$45*INDEX(Curves!$B$4:$AR$4,1,58-Projects!$C$45+1),0)+IF(AND(Projects!$G$46="Yes",58&gt;=Projects!$C$46,58&lt;Projects!$C$46+Projects!$D$46),Projects!$B$46*INDEX(Curves!$B$4:$AR$4,1,58-Projects!$C$46+1),0)</f>
        <v>0</v>
      </c>
      <c r="BL96" s="315" t="n">
        <f aca="false">IF(AND(Projects!$G$17="Yes",59&gt;=Projects!$C$17,59&lt;Projects!$C$17+Projects!$D$17),Projects!$B$17*INDEX(Curves!$B$4:$AR$4,1,59-Projects!$C$17+1),0)+IF(AND(Projects!$G$18="Yes",59&gt;=Projects!$C$18,59&lt;Projects!$C$18+Projects!$D$18),Projects!$B$18*INDEX(Curves!$B$4:$AR$4,1,59-Projects!$C$18+1),0)+IF(AND(Projects!$G$19="Yes",59&gt;=Projects!$C$19,59&lt;Projects!$C$19+Projects!$D$19),Projects!$B$19*INDEX(Curves!$B$4:$AR$4,1,59-Projects!$C$19+1),0)+IF(AND(Projects!$G$20="Yes",59&gt;=Projects!$C$20,59&lt;Projects!$C$20+Projects!$D$20),Projects!$B$20*INDEX(Curves!$B$4:$AR$4,1,59-Projects!$C$20+1),0)+IF(AND(Projects!$G$21="Yes",59&gt;=Projects!$C$21,59&lt;Projects!$C$21+Projects!$D$21),Projects!$B$21*INDEX(Curves!$B$4:$AR$4,1,59-Projects!$C$21+1),0)+IF(AND(Projects!$G$22="Yes",59&gt;=Projects!$C$22,59&lt;Projects!$C$22+Projects!$D$22),Projects!$B$22*INDEX(Curves!$B$4:$AR$4,1,59-Projects!$C$22+1),0)+IF(AND(Projects!$G$23="Yes",59&gt;=Projects!$C$23,59&lt;Projects!$C$23+Projects!$D$23),Projects!$B$23*INDEX(Curves!$B$4:$AR$4,1,59-Projects!$C$23+1),0)+IF(AND(Projects!$G$24="Yes",59&gt;=Projects!$C$24,59&lt;Projects!$C$24+Projects!$D$24),Projects!$B$24*INDEX(Curves!$B$4:$AR$4,1,59-Projects!$C$24+1),0)+IF(AND(Projects!$G$25="Yes",59&gt;=Projects!$C$25,59&lt;Projects!$C$25+Projects!$D$25),Projects!$B$25*INDEX(Curves!$B$4:$AR$4,1,59-Projects!$C$25+1),0)+IF(AND(Projects!$G$26="Yes",59&gt;=Projects!$C$26,59&lt;Projects!$C$26+Projects!$D$26),Projects!$B$26*INDEX(Curves!$B$4:$AR$4,1,59-Projects!$C$26+1),0)+IF(AND(Projects!$G$27="Yes",59&gt;=Projects!$C$27,59&lt;Projects!$C$27+Projects!$D$27),Projects!$B$27*INDEX(Curves!$B$4:$AR$4,1,59-Projects!$C$27+1),0)+IF(AND(Projects!$G$28="Yes",59&gt;=Projects!$C$28,59&lt;Projects!$C$28+Projects!$D$28),Projects!$B$28*INDEX(Curves!$B$4:$AR$4,1,59-Projects!$C$28+1),0)+IF(AND(Projects!$G$29="Yes",59&gt;=Projects!$C$29,59&lt;Projects!$C$29+Projects!$D$29),Projects!$B$29*INDEX(Curves!$B$4:$AR$4,1,59-Projects!$C$29+1),0)+IF(AND(Projects!$G$30="Yes",59&gt;=Projects!$C$30,59&lt;Projects!$C$30+Projects!$D$30),Projects!$B$30*INDEX(Curves!$B$4:$AR$4,1,59-Projects!$C$30+1),0)+IF(AND(Projects!$G$31="Yes",59&gt;=Projects!$C$31,59&lt;Projects!$C$31+Projects!$D$31),Projects!$B$31*INDEX(Curves!$B$4:$AR$4,1,59-Projects!$C$31+1),0)+IF(AND(Projects!$G$32="Yes",59&gt;=Projects!$C$32,59&lt;Projects!$C$32+Projects!$D$32),Projects!$B$32*INDEX(Curves!$B$4:$AR$4,1,59-Projects!$C$32+1),0)+IF(AND(Projects!$G$33="Yes",59&gt;=Projects!$C$33,59&lt;Projects!$C$33+Projects!$D$33),Projects!$B$33*INDEX(Curves!$B$4:$AR$4,1,59-Projects!$C$33+1),0)+IF(AND(Projects!$G$34="Yes",59&gt;=Projects!$C$34,59&lt;Projects!$C$34+Projects!$D$34),Projects!$B$34*INDEX(Curves!$B$4:$AR$4,1,59-Projects!$C$34+1),0)+IF(AND(Projects!$G$35="Yes",59&gt;=Projects!$C$35,59&lt;Projects!$C$35+Projects!$D$35),Projects!$B$35*INDEX(Curves!$B$4:$AR$4,1,59-Projects!$C$35+1),0)+IF(AND(Projects!$G$36="Yes",59&gt;=Projects!$C$36,59&lt;Projects!$C$36+Projects!$D$36),Projects!$B$36*INDEX(Curves!$B$4:$AR$4,1,59-Projects!$C$36+1),0)+IF(AND(Projects!$G$37="Yes",59&gt;=Projects!$C$37,59&lt;Projects!$C$37+Projects!$D$37),Projects!$B$37*INDEX(Curves!$B$4:$AR$4,1,59-Projects!$C$37+1),0)+IF(AND(Projects!$G$38="Yes",59&gt;=Projects!$C$38,59&lt;Projects!$C$38+Projects!$D$38),Projects!$B$38*INDEX(Curves!$B$4:$AR$4,1,59-Projects!$C$38+1),0)+IF(AND(Projects!$G$39="Yes",59&gt;=Projects!$C$39,59&lt;Projects!$C$39+Projects!$D$39),Projects!$B$39*INDEX(Curves!$B$4:$AR$4,1,59-Projects!$C$39+1),0)+IF(AND(Projects!$G$40="Yes",59&gt;=Projects!$C$40,59&lt;Projects!$C$40+Projects!$D$40),Projects!$B$40*INDEX(Curves!$B$4:$AR$4,1,59-Projects!$C$40+1),0)+IF(AND(Projects!$G$41="Yes",59&gt;=Projects!$C$41,59&lt;Projects!$C$41+Projects!$D$41),Projects!$B$41*INDEX(Curves!$B$4:$AR$4,1,59-Projects!$C$41+1),0)+IF(AND(Projects!$G$42="Yes",59&gt;=Projects!$C$42,59&lt;Projects!$C$42+Projects!$D$42),Projects!$B$42*INDEX(Curves!$B$4:$AR$4,1,59-Projects!$C$42+1),0)+IF(AND(Projects!$G$43="Yes",59&gt;=Projects!$C$43,59&lt;Projects!$C$43+Projects!$D$43),Projects!$B$43*INDEX(Curves!$B$4:$AR$4,1,59-Projects!$C$43+1),0)+IF(AND(Projects!$G$44="Yes",59&gt;=Projects!$C$44,59&lt;Projects!$C$44+Projects!$D$44),Projects!$B$44*INDEX(Curves!$B$4:$AR$4,1,59-Projects!$C$44+1),0)+IF(AND(Projects!$G$45="Yes",59&gt;=Projects!$C$45,59&lt;Projects!$C$45+Projects!$D$45),Projects!$B$45*INDEX(Curves!$B$4:$AR$4,1,59-Projects!$C$45+1),0)+IF(AND(Projects!$G$46="Yes",59&gt;=Projects!$C$46,59&lt;Projects!$C$46+Projects!$D$46),Projects!$B$46*INDEX(Curves!$B$4:$AR$4,1,59-Projects!$C$46+1),0)</f>
        <v>0</v>
      </c>
      <c r="BM96" s="315" t="n">
        <f aca="false">IF(AND(Projects!$G$17="Yes",60&gt;=Projects!$C$17,60&lt;Projects!$C$17+Projects!$D$17),Projects!$B$17*INDEX(Curves!$B$4:$AR$4,1,60-Projects!$C$17+1),0)+IF(AND(Projects!$G$18="Yes",60&gt;=Projects!$C$18,60&lt;Projects!$C$18+Projects!$D$18),Projects!$B$18*INDEX(Curves!$B$4:$AR$4,1,60-Projects!$C$18+1),0)+IF(AND(Projects!$G$19="Yes",60&gt;=Projects!$C$19,60&lt;Projects!$C$19+Projects!$D$19),Projects!$B$19*INDEX(Curves!$B$4:$AR$4,1,60-Projects!$C$19+1),0)+IF(AND(Projects!$G$20="Yes",60&gt;=Projects!$C$20,60&lt;Projects!$C$20+Projects!$D$20),Projects!$B$20*INDEX(Curves!$B$4:$AR$4,1,60-Projects!$C$20+1),0)+IF(AND(Projects!$G$21="Yes",60&gt;=Projects!$C$21,60&lt;Projects!$C$21+Projects!$D$21),Projects!$B$21*INDEX(Curves!$B$4:$AR$4,1,60-Projects!$C$21+1),0)+IF(AND(Projects!$G$22="Yes",60&gt;=Projects!$C$22,60&lt;Projects!$C$22+Projects!$D$22),Projects!$B$22*INDEX(Curves!$B$4:$AR$4,1,60-Projects!$C$22+1),0)+IF(AND(Projects!$G$23="Yes",60&gt;=Projects!$C$23,60&lt;Projects!$C$23+Projects!$D$23),Projects!$B$23*INDEX(Curves!$B$4:$AR$4,1,60-Projects!$C$23+1),0)+IF(AND(Projects!$G$24="Yes",60&gt;=Projects!$C$24,60&lt;Projects!$C$24+Projects!$D$24),Projects!$B$24*INDEX(Curves!$B$4:$AR$4,1,60-Projects!$C$24+1),0)+IF(AND(Projects!$G$25="Yes",60&gt;=Projects!$C$25,60&lt;Projects!$C$25+Projects!$D$25),Projects!$B$25*INDEX(Curves!$B$4:$AR$4,1,60-Projects!$C$25+1),0)+IF(AND(Projects!$G$26="Yes",60&gt;=Projects!$C$26,60&lt;Projects!$C$26+Projects!$D$26),Projects!$B$26*INDEX(Curves!$B$4:$AR$4,1,60-Projects!$C$26+1),0)+IF(AND(Projects!$G$27="Yes",60&gt;=Projects!$C$27,60&lt;Projects!$C$27+Projects!$D$27),Projects!$B$27*INDEX(Curves!$B$4:$AR$4,1,60-Projects!$C$27+1),0)+IF(AND(Projects!$G$28="Yes",60&gt;=Projects!$C$28,60&lt;Projects!$C$28+Projects!$D$28),Projects!$B$28*INDEX(Curves!$B$4:$AR$4,1,60-Projects!$C$28+1),0)+IF(AND(Projects!$G$29="Yes",60&gt;=Projects!$C$29,60&lt;Projects!$C$29+Projects!$D$29),Projects!$B$29*INDEX(Curves!$B$4:$AR$4,1,60-Projects!$C$29+1),0)+IF(AND(Projects!$G$30="Yes",60&gt;=Projects!$C$30,60&lt;Projects!$C$30+Projects!$D$30),Projects!$B$30*INDEX(Curves!$B$4:$AR$4,1,60-Projects!$C$30+1),0)+IF(AND(Projects!$G$31="Yes",60&gt;=Projects!$C$31,60&lt;Projects!$C$31+Projects!$D$31),Projects!$B$31*INDEX(Curves!$B$4:$AR$4,1,60-Projects!$C$31+1),0)+IF(AND(Projects!$G$32="Yes",60&gt;=Projects!$C$32,60&lt;Projects!$C$32+Projects!$D$32),Projects!$B$32*INDEX(Curves!$B$4:$AR$4,1,60-Projects!$C$32+1),0)+IF(AND(Projects!$G$33="Yes",60&gt;=Projects!$C$33,60&lt;Projects!$C$33+Projects!$D$33),Projects!$B$33*INDEX(Curves!$B$4:$AR$4,1,60-Projects!$C$33+1),0)+IF(AND(Projects!$G$34="Yes",60&gt;=Projects!$C$34,60&lt;Projects!$C$34+Projects!$D$34),Projects!$B$34*INDEX(Curves!$B$4:$AR$4,1,60-Projects!$C$34+1),0)+IF(AND(Projects!$G$35="Yes",60&gt;=Projects!$C$35,60&lt;Projects!$C$35+Projects!$D$35),Projects!$B$35*INDEX(Curves!$B$4:$AR$4,1,60-Projects!$C$35+1),0)+IF(AND(Projects!$G$36="Yes",60&gt;=Projects!$C$36,60&lt;Projects!$C$36+Projects!$D$36),Projects!$B$36*INDEX(Curves!$B$4:$AR$4,1,60-Projects!$C$36+1),0)+IF(AND(Projects!$G$37="Yes",60&gt;=Projects!$C$37,60&lt;Projects!$C$37+Projects!$D$37),Projects!$B$37*INDEX(Curves!$B$4:$AR$4,1,60-Projects!$C$37+1),0)+IF(AND(Projects!$G$38="Yes",60&gt;=Projects!$C$38,60&lt;Projects!$C$38+Projects!$D$38),Projects!$B$38*INDEX(Curves!$B$4:$AR$4,1,60-Projects!$C$38+1),0)+IF(AND(Projects!$G$39="Yes",60&gt;=Projects!$C$39,60&lt;Projects!$C$39+Projects!$D$39),Projects!$B$39*INDEX(Curves!$B$4:$AR$4,1,60-Projects!$C$39+1),0)+IF(AND(Projects!$G$40="Yes",60&gt;=Projects!$C$40,60&lt;Projects!$C$40+Projects!$D$40),Projects!$B$40*INDEX(Curves!$B$4:$AR$4,1,60-Projects!$C$40+1),0)+IF(AND(Projects!$G$41="Yes",60&gt;=Projects!$C$41,60&lt;Projects!$C$41+Projects!$D$41),Projects!$B$41*INDEX(Curves!$B$4:$AR$4,1,60-Projects!$C$41+1),0)+IF(AND(Projects!$G$42="Yes",60&gt;=Projects!$C$42,60&lt;Projects!$C$42+Projects!$D$42),Projects!$B$42*INDEX(Curves!$B$4:$AR$4,1,60-Projects!$C$42+1),0)+IF(AND(Projects!$G$43="Yes",60&gt;=Projects!$C$43,60&lt;Projects!$C$43+Projects!$D$43),Projects!$B$43*INDEX(Curves!$B$4:$AR$4,1,60-Projects!$C$43+1),0)+IF(AND(Projects!$G$44="Yes",60&gt;=Projects!$C$44,60&lt;Projects!$C$44+Projects!$D$44),Projects!$B$44*INDEX(Curves!$B$4:$AR$4,1,60-Projects!$C$44+1),0)+IF(AND(Projects!$G$45="Yes",60&gt;=Projects!$C$45,60&lt;Projects!$C$45+Projects!$D$45),Projects!$B$45*INDEX(Curves!$B$4:$AR$4,1,60-Projects!$C$45+1),0)+IF(AND(Projects!$G$46="Yes",60&gt;=Projects!$C$46,60&lt;Projects!$C$46+Projects!$D$46),Projects!$B$46*INDEX(Curves!$B$4:$AR$4,1,60-Projects!$C$46+1),0)</f>
        <v>0</v>
      </c>
      <c r="BN96" s="315" t="n">
        <f aca="false">IF(AND(Projects!$G$17="Yes",61&gt;=Projects!$C$17,61&lt;Projects!$C$17+Projects!$D$17),Projects!$B$17*INDEX(Curves!$B$4:$AR$4,1,61-Projects!$C$17+1),0)+IF(AND(Projects!$G$18="Yes",61&gt;=Projects!$C$18,61&lt;Projects!$C$18+Projects!$D$18),Projects!$B$18*INDEX(Curves!$B$4:$AR$4,1,61-Projects!$C$18+1),0)+IF(AND(Projects!$G$19="Yes",61&gt;=Projects!$C$19,61&lt;Projects!$C$19+Projects!$D$19),Projects!$B$19*INDEX(Curves!$B$4:$AR$4,1,61-Projects!$C$19+1),0)+IF(AND(Projects!$G$20="Yes",61&gt;=Projects!$C$20,61&lt;Projects!$C$20+Projects!$D$20),Projects!$B$20*INDEX(Curves!$B$4:$AR$4,1,61-Projects!$C$20+1),0)+IF(AND(Projects!$G$21="Yes",61&gt;=Projects!$C$21,61&lt;Projects!$C$21+Projects!$D$21),Projects!$B$21*INDEX(Curves!$B$4:$AR$4,1,61-Projects!$C$21+1),0)+IF(AND(Projects!$G$22="Yes",61&gt;=Projects!$C$22,61&lt;Projects!$C$22+Projects!$D$22),Projects!$B$22*INDEX(Curves!$B$4:$AR$4,1,61-Projects!$C$22+1),0)+IF(AND(Projects!$G$23="Yes",61&gt;=Projects!$C$23,61&lt;Projects!$C$23+Projects!$D$23),Projects!$B$23*INDEX(Curves!$B$4:$AR$4,1,61-Projects!$C$23+1),0)+IF(AND(Projects!$G$24="Yes",61&gt;=Projects!$C$24,61&lt;Projects!$C$24+Projects!$D$24),Projects!$B$24*INDEX(Curves!$B$4:$AR$4,1,61-Projects!$C$24+1),0)+IF(AND(Projects!$G$25="Yes",61&gt;=Projects!$C$25,61&lt;Projects!$C$25+Projects!$D$25),Projects!$B$25*INDEX(Curves!$B$4:$AR$4,1,61-Projects!$C$25+1),0)+IF(AND(Projects!$G$26="Yes",61&gt;=Projects!$C$26,61&lt;Projects!$C$26+Projects!$D$26),Projects!$B$26*INDEX(Curves!$B$4:$AR$4,1,61-Projects!$C$26+1),0)+IF(AND(Projects!$G$27="Yes",61&gt;=Projects!$C$27,61&lt;Projects!$C$27+Projects!$D$27),Projects!$B$27*INDEX(Curves!$B$4:$AR$4,1,61-Projects!$C$27+1),0)+IF(AND(Projects!$G$28="Yes",61&gt;=Projects!$C$28,61&lt;Projects!$C$28+Projects!$D$28),Projects!$B$28*INDEX(Curves!$B$4:$AR$4,1,61-Projects!$C$28+1),0)+IF(AND(Projects!$G$29="Yes",61&gt;=Projects!$C$29,61&lt;Projects!$C$29+Projects!$D$29),Projects!$B$29*INDEX(Curves!$B$4:$AR$4,1,61-Projects!$C$29+1),0)+IF(AND(Projects!$G$30="Yes",61&gt;=Projects!$C$30,61&lt;Projects!$C$30+Projects!$D$30),Projects!$B$30*INDEX(Curves!$B$4:$AR$4,1,61-Projects!$C$30+1),0)+IF(AND(Projects!$G$31="Yes",61&gt;=Projects!$C$31,61&lt;Projects!$C$31+Projects!$D$31),Projects!$B$31*INDEX(Curves!$B$4:$AR$4,1,61-Projects!$C$31+1),0)+IF(AND(Projects!$G$32="Yes",61&gt;=Projects!$C$32,61&lt;Projects!$C$32+Projects!$D$32),Projects!$B$32*INDEX(Curves!$B$4:$AR$4,1,61-Projects!$C$32+1),0)+IF(AND(Projects!$G$33="Yes",61&gt;=Projects!$C$33,61&lt;Projects!$C$33+Projects!$D$33),Projects!$B$33*INDEX(Curves!$B$4:$AR$4,1,61-Projects!$C$33+1),0)+IF(AND(Projects!$G$34="Yes",61&gt;=Projects!$C$34,61&lt;Projects!$C$34+Projects!$D$34),Projects!$B$34*INDEX(Curves!$B$4:$AR$4,1,61-Projects!$C$34+1),0)+IF(AND(Projects!$G$35="Yes",61&gt;=Projects!$C$35,61&lt;Projects!$C$35+Projects!$D$35),Projects!$B$35*INDEX(Curves!$B$4:$AR$4,1,61-Projects!$C$35+1),0)+IF(AND(Projects!$G$36="Yes",61&gt;=Projects!$C$36,61&lt;Projects!$C$36+Projects!$D$36),Projects!$B$36*INDEX(Curves!$B$4:$AR$4,1,61-Projects!$C$36+1),0)+IF(AND(Projects!$G$37="Yes",61&gt;=Projects!$C$37,61&lt;Projects!$C$37+Projects!$D$37),Projects!$B$37*INDEX(Curves!$B$4:$AR$4,1,61-Projects!$C$37+1),0)+IF(AND(Projects!$G$38="Yes",61&gt;=Projects!$C$38,61&lt;Projects!$C$38+Projects!$D$38),Projects!$B$38*INDEX(Curves!$B$4:$AR$4,1,61-Projects!$C$38+1),0)+IF(AND(Projects!$G$39="Yes",61&gt;=Projects!$C$39,61&lt;Projects!$C$39+Projects!$D$39),Projects!$B$39*INDEX(Curves!$B$4:$AR$4,1,61-Projects!$C$39+1),0)+IF(AND(Projects!$G$40="Yes",61&gt;=Projects!$C$40,61&lt;Projects!$C$40+Projects!$D$40),Projects!$B$40*INDEX(Curves!$B$4:$AR$4,1,61-Projects!$C$40+1),0)+IF(AND(Projects!$G$41="Yes",61&gt;=Projects!$C$41,61&lt;Projects!$C$41+Projects!$D$41),Projects!$B$41*INDEX(Curves!$B$4:$AR$4,1,61-Projects!$C$41+1),0)+IF(AND(Projects!$G$42="Yes",61&gt;=Projects!$C$42,61&lt;Projects!$C$42+Projects!$D$42),Projects!$B$42*INDEX(Curves!$B$4:$AR$4,1,61-Projects!$C$42+1),0)+IF(AND(Projects!$G$43="Yes",61&gt;=Projects!$C$43,61&lt;Projects!$C$43+Projects!$D$43),Projects!$B$43*INDEX(Curves!$B$4:$AR$4,1,61-Projects!$C$43+1),0)+IF(AND(Projects!$G$44="Yes",61&gt;=Projects!$C$44,61&lt;Projects!$C$44+Projects!$D$44),Projects!$B$44*INDEX(Curves!$B$4:$AR$4,1,61-Projects!$C$44+1),0)+IF(AND(Projects!$G$45="Yes",61&gt;=Projects!$C$45,61&lt;Projects!$C$45+Projects!$D$45),Projects!$B$45*INDEX(Curves!$B$4:$AR$4,1,61-Projects!$C$45+1),0)+IF(AND(Projects!$G$46="Yes",61&gt;=Projects!$C$46,61&lt;Projects!$C$46+Projects!$D$46),Projects!$B$46*INDEX(Curves!$B$4:$AR$4,1,61-Projects!$C$46+1),0)</f>
        <v>0</v>
      </c>
      <c r="BO96" s="315" t="n">
        <f aca="false">IF(AND(Projects!$G$17="Yes",62&gt;=Projects!$C$17,62&lt;Projects!$C$17+Projects!$D$17),Projects!$B$17*INDEX(Curves!$B$4:$AR$4,1,62-Projects!$C$17+1),0)+IF(AND(Projects!$G$18="Yes",62&gt;=Projects!$C$18,62&lt;Projects!$C$18+Projects!$D$18),Projects!$B$18*INDEX(Curves!$B$4:$AR$4,1,62-Projects!$C$18+1),0)+IF(AND(Projects!$G$19="Yes",62&gt;=Projects!$C$19,62&lt;Projects!$C$19+Projects!$D$19),Projects!$B$19*INDEX(Curves!$B$4:$AR$4,1,62-Projects!$C$19+1),0)+IF(AND(Projects!$G$20="Yes",62&gt;=Projects!$C$20,62&lt;Projects!$C$20+Projects!$D$20),Projects!$B$20*INDEX(Curves!$B$4:$AR$4,1,62-Projects!$C$20+1),0)+IF(AND(Projects!$G$21="Yes",62&gt;=Projects!$C$21,62&lt;Projects!$C$21+Projects!$D$21),Projects!$B$21*INDEX(Curves!$B$4:$AR$4,1,62-Projects!$C$21+1),0)+IF(AND(Projects!$G$22="Yes",62&gt;=Projects!$C$22,62&lt;Projects!$C$22+Projects!$D$22),Projects!$B$22*INDEX(Curves!$B$4:$AR$4,1,62-Projects!$C$22+1),0)+IF(AND(Projects!$G$23="Yes",62&gt;=Projects!$C$23,62&lt;Projects!$C$23+Projects!$D$23),Projects!$B$23*INDEX(Curves!$B$4:$AR$4,1,62-Projects!$C$23+1),0)+IF(AND(Projects!$G$24="Yes",62&gt;=Projects!$C$24,62&lt;Projects!$C$24+Projects!$D$24),Projects!$B$24*INDEX(Curves!$B$4:$AR$4,1,62-Projects!$C$24+1),0)+IF(AND(Projects!$G$25="Yes",62&gt;=Projects!$C$25,62&lt;Projects!$C$25+Projects!$D$25),Projects!$B$25*INDEX(Curves!$B$4:$AR$4,1,62-Projects!$C$25+1),0)+IF(AND(Projects!$G$26="Yes",62&gt;=Projects!$C$26,62&lt;Projects!$C$26+Projects!$D$26),Projects!$B$26*INDEX(Curves!$B$4:$AR$4,1,62-Projects!$C$26+1),0)+IF(AND(Projects!$G$27="Yes",62&gt;=Projects!$C$27,62&lt;Projects!$C$27+Projects!$D$27),Projects!$B$27*INDEX(Curves!$B$4:$AR$4,1,62-Projects!$C$27+1),0)+IF(AND(Projects!$G$28="Yes",62&gt;=Projects!$C$28,62&lt;Projects!$C$28+Projects!$D$28),Projects!$B$28*INDEX(Curves!$B$4:$AR$4,1,62-Projects!$C$28+1),0)+IF(AND(Projects!$G$29="Yes",62&gt;=Projects!$C$29,62&lt;Projects!$C$29+Projects!$D$29),Projects!$B$29*INDEX(Curves!$B$4:$AR$4,1,62-Projects!$C$29+1),0)+IF(AND(Projects!$G$30="Yes",62&gt;=Projects!$C$30,62&lt;Projects!$C$30+Projects!$D$30),Projects!$B$30*INDEX(Curves!$B$4:$AR$4,1,62-Projects!$C$30+1),0)+IF(AND(Projects!$G$31="Yes",62&gt;=Projects!$C$31,62&lt;Projects!$C$31+Projects!$D$31),Projects!$B$31*INDEX(Curves!$B$4:$AR$4,1,62-Projects!$C$31+1),0)+IF(AND(Projects!$G$32="Yes",62&gt;=Projects!$C$32,62&lt;Projects!$C$32+Projects!$D$32),Projects!$B$32*INDEX(Curves!$B$4:$AR$4,1,62-Projects!$C$32+1),0)+IF(AND(Projects!$G$33="Yes",62&gt;=Projects!$C$33,62&lt;Projects!$C$33+Projects!$D$33),Projects!$B$33*INDEX(Curves!$B$4:$AR$4,1,62-Projects!$C$33+1),0)+IF(AND(Projects!$G$34="Yes",62&gt;=Projects!$C$34,62&lt;Projects!$C$34+Projects!$D$34),Projects!$B$34*INDEX(Curves!$B$4:$AR$4,1,62-Projects!$C$34+1),0)+IF(AND(Projects!$G$35="Yes",62&gt;=Projects!$C$35,62&lt;Projects!$C$35+Projects!$D$35),Projects!$B$35*INDEX(Curves!$B$4:$AR$4,1,62-Projects!$C$35+1),0)+IF(AND(Projects!$G$36="Yes",62&gt;=Projects!$C$36,62&lt;Projects!$C$36+Projects!$D$36),Projects!$B$36*INDEX(Curves!$B$4:$AR$4,1,62-Projects!$C$36+1),0)+IF(AND(Projects!$G$37="Yes",62&gt;=Projects!$C$37,62&lt;Projects!$C$37+Projects!$D$37),Projects!$B$37*INDEX(Curves!$B$4:$AR$4,1,62-Projects!$C$37+1),0)+IF(AND(Projects!$G$38="Yes",62&gt;=Projects!$C$38,62&lt;Projects!$C$38+Projects!$D$38),Projects!$B$38*INDEX(Curves!$B$4:$AR$4,1,62-Projects!$C$38+1),0)+IF(AND(Projects!$G$39="Yes",62&gt;=Projects!$C$39,62&lt;Projects!$C$39+Projects!$D$39),Projects!$B$39*INDEX(Curves!$B$4:$AR$4,1,62-Projects!$C$39+1),0)+IF(AND(Projects!$G$40="Yes",62&gt;=Projects!$C$40,62&lt;Projects!$C$40+Projects!$D$40),Projects!$B$40*INDEX(Curves!$B$4:$AR$4,1,62-Projects!$C$40+1),0)+IF(AND(Projects!$G$41="Yes",62&gt;=Projects!$C$41,62&lt;Projects!$C$41+Projects!$D$41),Projects!$B$41*INDEX(Curves!$B$4:$AR$4,1,62-Projects!$C$41+1),0)+IF(AND(Projects!$G$42="Yes",62&gt;=Projects!$C$42,62&lt;Projects!$C$42+Projects!$D$42),Projects!$B$42*INDEX(Curves!$B$4:$AR$4,1,62-Projects!$C$42+1),0)+IF(AND(Projects!$G$43="Yes",62&gt;=Projects!$C$43,62&lt;Projects!$C$43+Projects!$D$43),Projects!$B$43*INDEX(Curves!$B$4:$AR$4,1,62-Projects!$C$43+1),0)+IF(AND(Projects!$G$44="Yes",62&gt;=Projects!$C$44,62&lt;Projects!$C$44+Projects!$D$44),Projects!$B$44*INDEX(Curves!$B$4:$AR$4,1,62-Projects!$C$44+1),0)+IF(AND(Projects!$G$45="Yes",62&gt;=Projects!$C$45,62&lt;Projects!$C$45+Projects!$D$45),Projects!$B$45*INDEX(Curves!$B$4:$AR$4,1,62-Projects!$C$45+1),0)+IF(AND(Projects!$G$46="Yes",62&gt;=Projects!$C$46,62&lt;Projects!$C$46+Projects!$D$46),Projects!$B$46*INDEX(Curves!$B$4:$AR$4,1,62-Projects!$C$46+1),0)</f>
        <v>0</v>
      </c>
      <c r="BP96" s="315" t="n">
        <f aca="false">IF(AND(Projects!$G$17="Yes",63&gt;=Projects!$C$17,63&lt;Projects!$C$17+Projects!$D$17),Projects!$B$17*INDEX(Curves!$B$4:$AR$4,1,63-Projects!$C$17+1),0)+IF(AND(Projects!$G$18="Yes",63&gt;=Projects!$C$18,63&lt;Projects!$C$18+Projects!$D$18),Projects!$B$18*INDEX(Curves!$B$4:$AR$4,1,63-Projects!$C$18+1),0)+IF(AND(Projects!$G$19="Yes",63&gt;=Projects!$C$19,63&lt;Projects!$C$19+Projects!$D$19),Projects!$B$19*INDEX(Curves!$B$4:$AR$4,1,63-Projects!$C$19+1),0)+IF(AND(Projects!$G$20="Yes",63&gt;=Projects!$C$20,63&lt;Projects!$C$20+Projects!$D$20),Projects!$B$20*INDEX(Curves!$B$4:$AR$4,1,63-Projects!$C$20+1),0)+IF(AND(Projects!$G$21="Yes",63&gt;=Projects!$C$21,63&lt;Projects!$C$21+Projects!$D$21),Projects!$B$21*INDEX(Curves!$B$4:$AR$4,1,63-Projects!$C$21+1),0)+IF(AND(Projects!$G$22="Yes",63&gt;=Projects!$C$22,63&lt;Projects!$C$22+Projects!$D$22),Projects!$B$22*INDEX(Curves!$B$4:$AR$4,1,63-Projects!$C$22+1),0)+IF(AND(Projects!$G$23="Yes",63&gt;=Projects!$C$23,63&lt;Projects!$C$23+Projects!$D$23),Projects!$B$23*INDEX(Curves!$B$4:$AR$4,1,63-Projects!$C$23+1),0)+IF(AND(Projects!$G$24="Yes",63&gt;=Projects!$C$24,63&lt;Projects!$C$24+Projects!$D$24),Projects!$B$24*INDEX(Curves!$B$4:$AR$4,1,63-Projects!$C$24+1),0)+IF(AND(Projects!$G$25="Yes",63&gt;=Projects!$C$25,63&lt;Projects!$C$25+Projects!$D$25),Projects!$B$25*INDEX(Curves!$B$4:$AR$4,1,63-Projects!$C$25+1),0)+IF(AND(Projects!$G$26="Yes",63&gt;=Projects!$C$26,63&lt;Projects!$C$26+Projects!$D$26),Projects!$B$26*INDEX(Curves!$B$4:$AR$4,1,63-Projects!$C$26+1),0)+IF(AND(Projects!$G$27="Yes",63&gt;=Projects!$C$27,63&lt;Projects!$C$27+Projects!$D$27),Projects!$B$27*INDEX(Curves!$B$4:$AR$4,1,63-Projects!$C$27+1),0)+IF(AND(Projects!$G$28="Yes",63&gt;=Projects!$C$28,63&lt;Projects!$C$28+Projects!$D$28),Projects!$B$28*INDEX(Curves!$B$4:$AR$4,1,63-Projects!$C$28+1),0)+IF(AND(Projects!$G$29="Yes",63&gt;=Projects!$C$29,63&lt;Projects!$C$29+Projects!$D$29),Projects!$B$29*INDEX(Curves!$B$4:$AR$4,1,63-Projects!$C$29+1),0)+IF(AND(Projects!$G$30="Yes",63&gt;=Projects!$C$30,63&lt;Projects!$C$30+Projects!$D$30),Projects!$B$30*INDEX(Curves!$B$4:$AR$4,1,63-Projects!$C$30+1),0)+IF(AND(Projects!$G$31="Yes",63&gt;=Projects!$C$31,63&lt;Projects!$C$31+Projects!$D$31),Projects!$B$31*INDEX(Curves!$B$4:$AR$4,1,63-Projects!$C$31+1),0)+IF(AND(Projects!$G$32="Yes",63&gt;=Projects!$C$32,63&lt;Projects!$C$32+Projects!$D$32),Projects!$B$32*INDEX(Curves!$B$4:$AR$4,1,63-Projects!$C$32+1),0)+IF(AND(Projects!$G$33="Yes",63&gt;=Projects!$C$33,63&lt;Projects!$C$33+Projects!$D$33),Projects!$B$33*INDEX(Curves!$B$4:$AR$4,1,63-Projects!$C$33+1),0)+IF(AND(Projects!$G$34="Yes",63&gt;=Projects!$C$34,63&lt;Projects!$C$34+Projects!$D$34),Projects!$B$34*INDEX(Curves!$B$4:$AR$4,1,63-Projects!$C$34+1),0)+IF(AND(Projects!$G$35="Yes",63&gt;=Projects!$C$35,63&lt;Projects!$C$35+Projects!$D$35),Projects!$B$35*INDEX(Curves!$B$4:$AR$4,1,63-Projects!$C$35+1),0)+IF(AND(Projects!$G$36="Yes",63&gt;=Projects!$C$36,63&lt;Projects!$C$36+Projects!$D$36),Projects!$B$36*INDEX(Curves!$B$4:$AR$4,1,63-Projects!$C$36+1),0)+IF(AND(Projects!$G$37="Yes",63&gt;=Projects!$C$37,63&lt;Projects!$C$37+Projects!$D$37),Projects!$B$37*INDEX(Curves!$B$4:$AR$4,1,63-Projects!$C$37+1),0)+IF(AND(Projects!$G$38="Yes",63&gt;=Projects!$C$38,63&lt;Projects!$C$38+Projects!$D$38),Projects!$B$38*INDEX(Curves!$B$4:$AR$4,1,63-Projects!$C$38+1),0)+IF(AND(Projects!$G$39="Yes",63&gt;=Projects!$C$39,63&lt;Projects!$C$39+Projects!$D$39),Projects!$B$39*INDEX(Curves!$B$4:$AR$4,1,63-Projects!$C$39+1),0)+IF(AND(Projects!$G$40="Yes",63&gt;=Projects!$C$40,63&lt;Projects!$C$40+Projects!$D$40),Projects!$B$40*INDEX(Curves!$B$4:$AR$4,1,63-Projects!$C$40+1),0)+IF(AND(Projects!$G$41="Yes",63&gt;=Projects!$C$41,63&lt;Projects!$C$41+Projects!$D$41),Projects!$B$41*INDEX(Curves!$B$4:$AR$4,1,63-Projects!$C$41+1),0)+IF(AND(Projects!$G$42="Yes",63&gt;=Projects!$C$42,63&lt;Projects!$C$42+Projects!$D$42),Projects!$B$42*INDEX(Curves!$B$4:$AR$4,1,63-Projects!$C$42+1),0)+IF(AND(Projects!$G$43="Yes",63&gt;=Projects!$C$43,63&lt;Projects!$C$43+Projects!$D$43),Projects!$B$43*INDEX(Curves!$B$4:$AR$4,1,63-Projects!$C$43+1),0)+IF(AND(Projects!$G$44="Yes",63&gt;=Projects!$C$44,63&lt;Projects!$C$44+Projects!$D$44),Projects!$B$44*INDEX(Curves!$B$4:$AR$4,1,63-Projects!$C$44+1),0)+IF(AND(Projects!$G$45="Yes",63&gt;=Projects!$C$45,63&lt;Projects!$C$45+Projects!$D$45),Projects!$B$45*INDEX(Curves!$B$4:$AR$4,1,63-Projects!$C$45+1),0)+IF(AND(Projects!$G$46="Yes",63&gt;=Projects!$C$46,63&lt;Projects!$C$46+Projects!$D$46),Projects!$B$46*INDEX(Curves!$B$4:$AR$4,1,63-Projects!$C$46+1),0)</f>
        <v>0</v>
      </c>
      <c r="BQ96" s="315" t="n">
        <f aca="false">IF(AND(Projects!$G$17="Yes",64&gt;=Projects!$C$17,64&lt;Projects!$C$17+Projects!$D$17),Projects!$B$17*INDEX(Curves!$B$4:$AR$4,1,64-Projects!$C$17+1),0)+IF(AND(Projects!$G$18="Yes",64&gt;=Projects!$C$18,64&lt;Projects!$C$18+Projects!$D$18),Projects!$B$18*INDEX(Curves!$B$4:$AR$4,1,64-Projects!$C$18+1),0)+IF(AND(Projects!$G$19="Yes",64&gt;=Projects!$C$19,64&lt;Projects!$C$19+Projects!$D$19),Projects!$B$19*INDEX(Curves!$B$4:$AR$4,1,64-Projects!$C$19+1),0)+IF(AND(Projects!$G$20="Yes",64&gt;=Projects!$C$20,64&lt;Projects!$C$20+Projects!$D$20),Projects!$B$20*INDEX(Curves!$B$4:$AR$4,1,64-Projects!$C$20+1),0)+IF(AND(Projects!$G$21="Yes",64&gt;=Projects!$C$21,64&lt;Projects!$C$21+Projects!$D$21),Projects!$B$21*INDEX(Curves!$B$4:$AR$4,1,64-Projects!$C$21+1),0)+IF(AND(Projects!$G$22="Yes",64&gt;=Projects!$C$22,64&lt;Projects!$C$22+Projects!$D$22),Projects!$B$22*INDEX(Curves!$B$4:$AR$4,1,64-Projects!$C$22+1),0)+IF(AND(Projects!$G$23="Yes",64&gt;=Projects!$C$23,64&lt;Projects!$C$23+Projects!$D$23),Projects!$B$23*INDEX(Curves!$B$4:$AR$4,1,64-Projects!$C$23+1),0)+IF(AND(Projects!$G$24="Yes",64&gt;=Projects!$C$24,64&lt;Projects!$C$24+Projects!$D$24),Projects!$B$24*INDEX(Curves!$B$4:$AR$4,1,64-Projects!$C$24+1),0)+IF(AND(Projects!$G$25="Yes",64&gt;=Projects!$C$25,64&lt;Projects!$C$25+Projects!$D$25),Projects!$B$25*INDEX(Curves!$B$4:$AR$4,1,64-Projects!$C$25+1),0)+IF(AND(Projects!$G$26="Yes",64&gt;=Projects!$C$26,64&lt;Projects!$C$26+Projects!$D$26),Projects!$B$26*INDEX(Curves!$B$4:$AR$4,1,64-Projects!$C$26+1),0)+IF(AND(Projects!$G$27="Yes",64&gt;=Projects!$C$27,64&lt;Projects!$C$27+Projects!$D$27),Projects!$B$27*INDEX(Curves!$B$4:$AR$4,1,64-Projects!$C$27+1),0)+IF(AND(Projects!$G$28="Yes",64&gt;=Projects!$C$28,64&lt;Projects!$C$28+Projects!$D$28),Projects!$B$28*INDEX(Curves!$B$4:$AR$4,1,64-Projects!$C$28+1),0)+IF(AND(Projects!$G$29="Yes",64&gt;=Projects!$C$29,64&lt;Projects!$C$29+Projects!$D$29),Projects!$B$29*INDEX(Curves!$B$4:$AR$4,1,64-Projects!$C$29+1),0)+IF(AND(Projects!$G$30="Yes",64&gt;=Projects!$C$30,64&lt;Projects!$C$30+Projects!$D$30),Projects!$B$30*INDEX(Curves!$B$4:$AR$4,1,64-Projects!$C$30+1),0)+IF(AND(Projects!$G$31="Yes",64&gt;=Projects!$C$31,64&lt;Projects!$C$31+Projects!$D$31),Projects!$B$31*INDEX(Curves!$B$4:$AR$4,1,64-Projects!$C$31+1),0)+IF(AND(Projects!$G$32="Yes",64&gt;=Projects!$C$32,64&lt;Projects!$C$32+Projects!$D$32),Projects!$B$32*INDEX(Curves!$B$4:$AR$4,1,64-Projects!$C$32+1),0)+IF(AND(Projects!$G$33="Yes",64&gt;=Projects!$C$33,64&lt;Projects!$C$33+Projects!$D$33),Projects!$B$33*INDEX(Curves!$B$4:$AR$4,1,64-Projects!$C$33+1),0)+IF(AND(Projects!$G$34="Yes",64&gt;=Projects!$C$34,64&lt;Projects!$C$34+Projects!$D$34),Projects!$B$34*INDEX(Curves!$B$4:$AR$4,1,64-Projects!$C$34+1),0)+IF(AND(Projects!$G$35="Yes",64&gt;=Projects!$C$35,64&lt;Projects!$C$35+Projects!$D$35),Projects!$B$35*INDEX(Curves!$B$4:$AR$4,1,64-Projects!$C$35+1),0)+IF(AND(Projects!$G$36="Yes",64&gt;=Projects!$C$36,64&lt;Projects!$C$36+Projects!$D$36),Projects!$B$36*INDEX(Curves!$B$4:$AR$4,1,64-Projects!$C$36+1),0)+IF(AND(Projects!$G$37="Yes",64&gt;=Projects!$C$37,64&lt;Projects!$C$37+Projects!$D$37),Projects!$B$37*INDEX(Curves!$B$4:$AR$4,1,64-Projects!$C$37+1),0)+IF(AND(Projects!$G$38="Yes",64&gt;=Projects!$C$38,64&lt;Projects!$C$38+Projects!$D$38),Projects!$B$38*INDEX(Curves!$B$4:$AR$4,1,64-Projects!$C$38+1),0)+IF(AND(Projects!$G$39="Yes",64&gt;=Projects!$C$39,64&lt;Projects!$C$39+Projects!$D$39),Projects!$B$39*INDEX(Curves!$B$4:$AR$4,1,64-Projects!$C$39+1),0)+IF(AND(Projects!$G$40="Yes",64&gt;=Projects!$C$40,64&lt;Projects!$C$40+Projects!$D$40),Projects!$B$40*INDEX(Curves!$B$4:$AR$4,1,64-Projects!$C$40+1),0)+IF(AND(Projects!$G$41="Yes",64&gt;=Projects!$C$41,64&lt;Projects!$C$41+Projects!$D$41),Projects!$B$41*INDEX(Curves!$B$4:$AR$4,1,64-Projects!$C$41+1),0)+IF(AND(Projects!$G$42="Yes",64&gt;=Projects!$C$42,64&lt;Projects!$C$42+Projects!$D$42),Projects!$B$42*INDEX(Curves!$B$4:$AR$4,1,64-Projects!$C$42+1),0)+IF(AND(Projects!$G$43="Yes",64&gt;=Projects!$C$43,64&lt;Projects!$C$43+Projects!$D$43),Projects!$B$43*INDEX(Curves!$B$4:$AR$4,1,64-Projects!$C$43+1),0)+IF(AND(Projects!$G$44="Yes",64&gt;=Projects!$C$44,64&lt;Projects!$C$44+Projects!$D$44),Projects!$B$44*INDEX(Curves!$B$4:$AR$4,1,64-Projects!$C$44+1),0)+IF(AND(Projects!$G$45="Yes",64&gt;=Projects!$C$45,64&lt;Projects!$C$45+Projects!$D$45),Projects!$B$45*INDEX(Curves!$B$4:$AR$4,1,64-Projects!$C$45+1),0)+IF(AND(Projects!$G$46="Yes",64&gt;=Projects!$C$46,64&lt;Projects!$C$46+Projects!$D$46),Projects!$B$46*INDEX(Curves!$B$4:$AR$4,1,64-Projects!$C$46+1),0)</f>
        <v>0</v>
      </c>
      <c r="BR96" s="315" t="n">
        <f aca="false">IF(AND(Projects!$G$17="Yes",65&gt;=Projects!$C$17,65&lt;Projects!$C$17+Projects!$D$17),Projects!$B$17*INDEX(Curves!$B$4:$AR$4,1,65-Projects!$C$17+1),0)+IF(AND(Projects!$G$18="Yes",65&gt;=Projects!$C$18,65&lt;Projects!$C$18+Projects!$D$18),Projects!$B$18*INDEX(Curves!$B$4:$AR$4,1,65-Projects!$C$18+1),0)+IF(AND(Projects!$G$19="Yes",65&gt;=Projects!$C$19,65&lt;Projects!$C$19+Projects!$D$19),Projects!$B$19*INDEX(Curves!$B$4:$AR$4,1,65-Projects!$C$19+1),0)+IF(AND(Projects!$G$20="Yes",65&gt;=Projects!$C$20,65&lt;Projects!$C$20+Projects!$D$20),Projects!$B$20*INDEX(Curves!$B$4:$AR$4,1,65-Projects!$C$20+1),0)+IF(AND(Projects!$G$21="Yes",65&gt;=Projects!$C$21,65&lt;Projects!$C$21+Projects!$D$21),Projects!$B$21*INDEX(Curves!$B$4:$AR$4,1,65-Projects!$C$21+1),0)+IF(AND(Projects!$G$22="Yes",65&gt;=Projects!$C$22,65&lt;Projects!$C$22+Projects!$D$22),Projects!$B$22*INDEX(Curves!$B$4:$AR$4,1,65-Projects!$C$22+1),0)+IF(AND(Projects!$G$23="Yes",65&gt;=Projects!$C$23,65&lt;Projects!$C$23+Projects!$D$23),Projects!$B$23*INDEX(Curves!$B$4:$AR$4,1,65-Projects!$C$23+1),0)+IF(AND(Projects!$G$24="Yes",65&gt;=Projects!$C$24,65&lt;Projects!$C$24+Projects!$D$24),Projects!$B$24*INDEX(Curves!$B$4:$AR$4,1,65-Projects!$C$24+1),0)+IF(AND(Projects!$G$25="Yes",65&gt;=Projects!$C$25,65&lt;Projects!$C$25+Projects!$D$25),Projects!$B$25*INDEX(Curves!$B$4:$AR$4,1,65-Projects!$C$25+1),0)+IF(AND(Projects!$G$26="Yes",65&gt;=Projects!$C$26,65&lt;Projects!$C$26+Projects!$D$26),Projects!$B$26*INDEX(Curves!$B$4:$AR$4,1,65-Projects!$C$26+1),0)+IF(AND(Projects!$G$27="Yes",65&gt;=Projects!$C$27,65&lt;Projects!$C$27+Projects!$D$27),Projects!$B$27*INDEX(Curves!$B$4:$AR$4,1,65-Projects!$C$27+1),0)+IF(AND(Projects!$G$28="Yes",65&gt;=Projects!$C$28,65&lt;Projects!$C$28+Projects!$D$28),Projects!$B$28*INDEX(Curves!$B$4:$AR$4,1,65-Projects!$C$28+1),0)+IF(AND(Projects!$G$29="Yes",65&gt;=Projects!$C$29,65&lt;Projects!$C$29+Projects!$D$29),Projects!$B$29*INDEX(Curves!$B$4:$AR$4,1,65-Projects!$C$29+1),0)+IF(AND(Projects!$G$30="Yes",65&gt;=Projects!$C$30,65&lt;Projects!$C$30+Projects!$D$30),Projects!$B$30*INDEX(Curves!$B$4:$AR$4,1,65-Projects!$C$30+1),0)+IF(AND(Projects!$G$31="Yes",65&gt;=Projects!$C$31,65&lt;Projects!$C$31+Projects!$D$31),Projects!$B$31*INDEX(Curves!$B$4:$AR$4,1,65-Projects!$C$31+1),0)+IF(AND(Projects!$G$32="Yes",65&gt;=Projects!$C$32,65&lt;Projects!$C$32+Projects!$D$32),Projects!$B$32*INDEX(Curves!$B$4:$AR$4,1,65-Projects!$C$32+1),0)+IF(AND(Projects!$G$33="Yes",65&gt;=Projects!$C$33,65&lt;Projects!$C$33+Projects!$D$33),Projects!$B$33*INDEX(Curves!$B$4:$AR$4,1,65-Projects!$C$33+1),0)+IF(AND(Projects!$G$34="Yes",65&gt;=Projects!$C$34,65&lt;Projects!$C$34+Projects!$D$34),Projects!$B$34*INDEX(Curves!$B$4:$AR$4,1,65-Projects!$C$34+1),0)+IF(AND(Projects!$G$35="Yes",65&gt;=Projects!$C$35,65&lt;Projects!$C$35+Projects!$D$35),Projects!$B$35*INDEX(Curves!$B$4:$AR$4,1,65-Projects!$C$35+1),0)+IF(AND(Projects!$G$36="Yes",65&gt;=Projects!$C$36,65&lt;Projects!$C$36+Projects!$D$36),Projects!$B$36*INDEX(Curves!$B$4:$AR$4,1,65-Projects!$C$36+1),0)+IF(AND(Projects!$G$37="Yes",65&gt;=Projects!$C$37,65&lt;Projects!$C$37+Projects!$D$37),Projects!$B$37*INDEX(Curves!$B$4:$AR$4,1,65-Projects!$C$37+1),0)+IF(AND(Projects!$G$38="Yes",65&gt;=Projects!$C$38,65&lt;Projects!$C$38+Projects!$D$38),Projects!$B$38*INDEX(Curves!$B$4:$AR$4,1,65-Projects!$C$38+1),0)+IF(AND(Projects!$G$39="Yes",65&gt;=Projects!$C$39,65&lt;Projects!$C$39+Projects!$D$39),Projects!$B$39*INDEX(Curves!$B$4:$AR$4,1,65-Projects!$C$39+1),0)+IF(AND(Projects!$G$40="Yes",65&gt;=Projects!$C$40,65&lt;Projects!$C$40+Projects!$D$40),Projects!$B$40*INDEX(Curves!$B$4:$AR$4,1,65-Projects!$C$40+1),0)+IF(AND(Projects!$G$41="Yes",65&gt;=Projects!$C$41,65&lt;Projects!$C$41+Projects!$D$41),Projects!$B$41*INDEX(Curves!$B$4:$AR$4,1,65-Projects!$C$41+1),0)+IF(AND(Projects!$G$42="Yes",65&gt;=Projects!$C$42,65&lt;Projects!$C$42+Projects!$D$42),Projects!$B$42*INDEX(Curves!$B$4:$AR$4,1,65-Projects!$C$42+1),0)+IF(AND(Projects!$G$43="Yes",65&gt;=Projects!$C$43,65&lt;Projects!$C$43+Projects!$D$43),Projects!$B$43*INDEX(Curves!$B$4:$AR$4,1,65-Projects!$C$43+1),0)+IF(AND(Projects!$G$44="Yes",65&gt;=Projects!$C$44,65&lt;Projects!$C$44+Projects!$D$44),Projects!$B$44*INDEX(Curves!$B$4:$AR$4,1,65-Projects!$C$44+1),0)+IF(AND(Projects!$G$45="Yes",65&gt;=Projects!$C$45,65&lt;Projects!$C$45+Projects!$D$45),Projects!$B$45*INDEX(Curves!$B$4:$AR$4,1,65-Projects!$C$45+1),0)+IF(AND(Projects!$G$46="Yes",65&gt;=Projects!$C$46,65&lt;Projects!$C$46+Projects!$D$46),Projects!$B$46*INDEX(Curves!$B$4:$AR$4,1,65-Projects!$C$46+1),0)</f>
        <v>0</v>
      </c>
      <c r="BS96" s="315" t="n">
        <f aca="false">IF(AND(Projects!$G$17="Yes",66&gt;=Projects!$C$17,66&lt;Projects!$C$17+Projects!$D$17),Projects!$B$17*INDEX(Curves!$B$4:$AR$4,1,66-Projects!$C$17+1),0)+IF(AND(Projects!$G$18="Yes",66&gt;=Projects!$C$18,66&lt;Projects!$C$18+Projects!$D$18),Projects!$B$18*INDEX(Curves!$B$4:$AR$4,1,66-Projects!$C$18+1),0)+IF(AND(Projects!$G$19="Yes",66&gt;=Projects!$C$19,66&lt;Projects!$C$19+Projects!$D$19),Projects!$B$19*INDEX(Curves!$B$4:$AR$4,1,66-Projects!$C$19+1),0)+IF(AND(Projects!$G$20="Yes",66&gt;=Projects!$C$20,66&lt;Projects!$C$20+Projects!$D$20),Projects!$B$20*INDEX(Curves!$B$4:$AR$4,1,66-Projects!$C$20+1),0)+IF(AND(Projects!$G$21="Yes",66&gt;=Projects!$C$21,66&lt;Projects!$C$21+Projects!$D$21),Projects!$B$21*INDEX(Curves!$B$4:$AR$4,1,66-Projects!$C$21+1),0)+IF(AND(Projects!$G$22="Yes",66&gt;=Projects!$C$22,66&lt;Projects!$C$22+Projects!$D$22),Projects!$B$22*INDEX(Curves!$B$4:$AR$4,1,66-Projects!$C$22+1),0)+IF(AND(Projects!$G$23="Yes",66&gt;=Projects!$C$23,66&lt;Projects!$C$23+Projects!$D$23),Projects!$B$23*INDEX(Curves!$B$4:$AR$4,1,66-Projects!$C$23+1),0)+IF(AND(Projects!$G$24="Yes",66&gt;=Projects!$C$24,66&lt;Projects!$C$24+Projects!$D$24),Projects!$B$24*INDEX(Curves!$B$4:$AR$4,1,66-Projects!$C$24+1),0)+IF(AND(Projects!$G$25="Yes",66&gt;=Projects!$C$25,66&lt;Projects!$C$25+Projects!$D$25),Projects!$B$25*INDEX(Curves!$B$4:$AR$4,1,66-Projects!$C$25+1),0)+IF(AND(Projects!$G$26="Yes",66&gt;=Projects!$C$26,66&lt;Projects!$C$26+Projects!$D$26),Projects!$B$26*INDEX(Curves!$B$4:$AR$4,1,66-Projects!$C$26+1),0)+IF(AND(Projects!$G$27="Yes",66&gt;=Projects!$C$27,66&lt;Projects!$C$27+Projects!$D$27),Projects!$B$27*INDEX(Curves!$B$4:$AR$4,1,66-Projects!$C$27+1),0)+IF(AND(Projects!$G$28="Yes",66&gt;=Projects!$C$28,66&lt;Projects!$C$28+Projects!$D$28),Projects!$B$28*INDEX(Curves!$B$4:$AR$4,1,66-Projects!$C$28+1),0)+IF(AND(Projects!$G$29="Yes",66&gt;=Projects!$C$29,66&lt;Projects!$C$29+Projects!$D$29),Projects!$B$29*INDEX(Curves!$B$4:$AR$4,1,66-Projects!$C$29+1),0)+IF(AND(Projects!$G$30="Yes",66&gt;=Projects!$C$30,66&lt;Projects!$C$30+Projects!$D$30),Projects!$B$30*INDEX(Curves!$B$4:$AR$4,1,66-Projects!$C$30+1),0)+IF(AND(Projects!$G$31="Yes",66&gt;=Projects!$C$31,66&lt;Projects!$C$31+Projects!$D$31),Projects!$B$31*INDEX(Curves!$B$4:$AR$4,1,66-Projects!$C$31+1),0)+IF(AND(Projects!$G$32="Yes",66&gt;=Projects!$C$32,66&lt;Projects!$C$32+Projects!$D$32),Projects!$B$32*INDEX(Curves!$B$4:$AR$4,1,66-Projects!$C$32+1),0)+IF(AND(Projects!$G$33="Yes",66&gt;=Projects!$C$33,66&lt;Projects!$C$33+Projects!$D$33),Projects!$B$33*INDEX(Curves!$B$4:$AR$4,1,66-Projects!$C$33+1),0)+IF(AND(Projects!$G$34="Yes",66&gt;=Projects!$C$34,66&lt;Projects!$C$34+Projects!$D$34),Projects!$B$34*INDEX(Curves!$B$4:$AR$4,1,66-Projects!$C$34+1),0)+IF(AND(Projects!$G$35="Yes",66&gt;=Projects!$C$35,66&lt;Projects!$C$35+Projects!$D$35),Projects!$B$35*INDEX(Curves!$B$4:$AR$4,1,66-Projects!$C$35+1),0)+IF(AND(Projects!$G$36="Yes",66&gt;=Projects!$C$36,66&lt;Projects!$C$36+Projects!$D$36),Projects!$B$36*INDEX(Curves!$B$4:$AR$4,1,66-Projects!$C$36+1),0)+IF(AND(Projects!$G$37="Yes",66&gt;=Projects!$C$37,66&lt;Projects!$C$37+Projects!$D$37),Projects!$B$37*INDEX(Curves!$B$4:$AR$4,1,66-Projects!$C$37+1),0)+IF(AND(Projects!$G$38="Yes",66&gt;=Projects!$C$38,66&lt;Projects!$C$38+Projects!$D$38),Projects!$B$38*INDEX(Curves!$B$4:$AR$4,1,66-Projects!$C$38+1),0)+IF(AND(Projects!$G$39="Yes",66&gt;=Projects!$C$39,66&lt;Projects!$C$39+Projects!$D$39),Projects!$B$39*INDEX(Curves!$B$4:$AR$4,1,66-Projects!$C$39+1),0)+IF(AND(Projects!$G$40="Yes",66&gt;=Projects!$C$40,66&lt;Projects!$C$40+Projects!$D$40),Projects!$B$40*INDEX(Curves!$B$4:$AR$4,1,66-Projects!$C$40+1),0)+IF(AND(Projects!$G$41="Yes",66&gt;=Projects!$C$41,66&lt;Projects!$C$41+Projects!$D$41),Projects!$B$41*INDEX(Curves!$B$4:$AR$4,1,66-Projects!$C$41+1),0)+IF(AND(Projects!$G$42="Yes",66&gt;=Projects!$C$42,66&lt;Projects!$C$42+Projects!$D$42),Projects!$B$42*INDEX(Curves!$B$4:$AR$4,1,66-Projects!$C$42+1),0)+IF(AND(Projects!$G$43="Yes",66&gt;=Projects!$C$43,66&lt;Projects!$C$43+Projects!$D$43),Projects!$B$43*INDEX(Curves!$B$4:$AR$4,1,66-Projects!$C$43+1),0)+IF(AND(Projects!$G$44="Yes",66&gt;=Projects!$C$44,66&lt;Projects!$C$44+Projects!$D$44),Projects!$B$44*INDEX(Curves!$B$4:$AR$4,1,66-Projects!$C$44+1),0)+IF(AND(Projects!$G$45="Yes",66&gt;=Projects!$C$45,66&lt;Projects!$C$45+Projects!$D$45),Projects!$B$45*INDEX(Curves!$B$4:$AR$4,1,66-Projects!$C$45+1),0)+IF(AND(Projects!$G$46="Yes",66&gt;=Projects!$C$46,66&lt;Projects!$C$46+Projects!$D$46),Projects!$B$46*INDEX(Curves!$B$4:$AR$4,1,66-Projects!$C$46+1),0)</f>
        <v>0</v>
      </c>
      <c r="BT96" s="315" t="n">
        <f aca="false">IF(AND(Projects!$G$17="Yes",67&gt;=Projects!$C$17,67&lt;Projects!$C$17+Projects!$D$17),Projects!$B$17*INDEX(Curves!$B$4:$AR$4,1,67-Projects!$C$17+1),0)+IF(AND(Projects!$G$18="Yes",67&gt;=Projects!$C$18,67&lt;Projects!$C$18+Projects!$D$18),Projects!$B$18*INDEX(Curves!$B$4:$AR$4,1,67-Projects!$C$18+1),0)+IF(AND(Projects!$G$19="Yes",67&gt;=Projects!$C$19,67&lt;Projects!$C$19+Projects!$D$19),Projects!$B$19*INDEX(Curves!$B$4:$AR$4,1,67-Projects!$C$19+1),0)+IF(AND(Projects!$G$20="Yes",67&gt;=Projects!$C$20,67&lt;Projects!$C$20+Projects!$D$20),Projects!$B$20*INDEX(Curves!$B$4:$AR$4,1,67-Projects!$C$20+1),0)+IF(AND(Projects!$G$21="Yes",67&gt;=Projects!$C$21,67&lt;Projects!$C$21+Projects!$D$21),Projects!$B$21*INDEX(Curves!$B$4:$AR$4,1,67-Projects!$C$21+1),0)+IF(AND(Projects!$G$22="Yes",67&gt;=Projects!$C$22,67&lt;Projects!$C$22+Projects!$D$22),Projects!$B$22*INDEX(Curves!$B$4:$AR$4,1,67-Projects!$C$22+1),0)+IF(AND(Projects!$G$23="Yes",67&gt;=Projects!$C$23,67&lt;Projects!$C$23+Projects!$D$23),Projects!$B$23*INDEX(Curves!$B$4:$AR$4,1,67-Projects!$C$23+1),0)+IF(AND(Projects!$G$24="Yes",67&gt;=Projects!$C$24,67&lt;Projects!$C$24+Projects!$D$24),Projects!$B$24*INDEX(Curves!$B$4:$AR$4,1,67-Projects!$C$24+1),0)+IF(AND(Projects!$G$25="Yes",67&gt;=Projects!$C$25,67&lt;Projects!$C$25+Projects!$D$25),Projects!$B$25*INDEX(Curves!$B$4:$AR$4,1,67-Projects!$C$25+1),0)+IF(AND(Projects!$G$26="Yes",67&gt;=Projects!$C$26,67&lt;Projects!$C$26+Projects!$D$26),Projects!$B$26*INDEX(Curves!$B$4:$AR$4,1,67-Projects!$C$26+1),0)+IF(AND(Projects!$G$27="Yes",67&gt;=Projects!$C$27,67&lt;Projects!$C$27+Projects!$D$27),Projects!$B$27*INDEX(Curves!$B$4:$AR$4,1,67-Projects!$C$27+1),0)+IF(AND(Projects!$G$28="Yes",67&gt;=Projects!$C$28,67&lt;Projects!$C$28+Projects!$D$28),Projects!$B$28*INDEX(Curves!$B$4:$AR$4,1,67-Projects!$C$28+1),0)+IF(AND(Projects!$G$29="Yes",67&gt;=Projects!$C$29,67&lt;Projects!$C$29+Projects!$D$29),Projects!$B$29*INDEX(Curves!$B$4:$AR$4,1,67-Projects!$C$29+1),0)+IF(AND(Projects!$G$30="Yes",67&gt;=Projects!$C$30,67&lt;Projects!$C$30+Projects!$D$30),Projects!$B$30*INDEX(Curves!$B$4:$AR$4,1,67-Projects!$C$30+1),0)+IF(AND(Projects!$G$31="Yes",67&gt;=Projects!$C$31,67&lt;Projects!$C$31+Projects!$D$31),Projects!$B$31*INDEX(Curves!$B$4:$AR$4,1,67-Projects!$C$31+1),0)+IF(AND(Projects!$G$32="Yes",67&gt;=Projects!$C$32,67&lt;Projects!$C$32+Projects!$D$32),Projects!$B$32*INDEX(Curves!$B$4:$AR$4,1,67-Projects!$C$32+1),0)+IF(AND(Projects!$G$33="Yes",67&gt;=Projects!$C$33,67&lt;Projects!$C$33+Projects!$D$33),Projects!$B$33*INDEX(Curves!$B$4:$AR$4,1,67-Projects!$C$33+1),0)+IF(AND(Projects!$G$34="Yes",67&gt;=Projects!$C$34,67&lt;Projects!$C$34+Projects!$D$34),Projects!$B$34*INDEX(Curves!$B$4:$AR$4,1,67-Projects!$C$34+1),0)+IF(AND(Projects!$G$35="Yes",67&gt;=Projects!$C$35,67&lt;Projects!$C$35+Projects!$D$35),Projects!$B$35*INDEX(Curves!$B$4:$AR$4,1,67-Projects!$C$35+1),0)+IF(AND(Projects!$G$36="Yes",67&gt;=Projects!$C$36,67&lt;Projects!$C$36+Projects!$D$36),Projects!$B$36*INDEX(Curves!$B$4:$AR$4,1,67-Projects!$C$36+1),0)+IF(AND(Projects!$G$37="Yes",67&gt;=Projects!$C$37,67&lt;Projects!$C$37+Projects!$D$37),Projects!$B$37*INDEX(Curves!$B$4:$AR$4,1,67-Projects!$C$37+1),0)+IF(AND(Projects!$G$38="Yes",67&gt;=Projects!$C$38,67&lt;Projects!$C$38+Projects!$D$38),Projects!$B$38*INDEX(Curves!$B$4:$AR$4,1,67-Projects!$C$38+1),0)+IF(AND(Projects!$G$39="Yes",67&gt;=Projects!$C$39,67&lt;Projects!$C$39+Projects!$D$39),Projects!$B$39*INDEX(Curves!$B$4:$AR$4,1,67-Projects!$C$39+1),0)+IF(AND(Projects!$G$40="Yes",67&gt;=Projects!$C$40,67&lt;Projects!$C$40+Projects!$D$40),Projects!$B$40*INDEX(Curves!$B$4:$AR$4,1,67-Projects!$C$40+1),0)+IF(AND(Projects!$G$41="Yes",67&gt;=Projects!$C$41,67&lt;Projects!$C$41+Projects!$D$41),Projects!$B$41*INDEX(Curves!$B$4:$AR$4,1,67-Projects!$C$41+1),0)+IF(AND(Projects!$G$42="Yes",67&gt;=Projects!$C$42,67&lt;Projects!$C$42+Projects!$D$42),Projects!$B$42*INDEX(Curves!$B$4:$AR$4,1,67-Projects!$C$42+1),0)+IF(AND(Projects!$G$43="Yes",67&gt;=Projects!$C$43,67&lt;Projects!$C$43+Projects!$D$43),Projects!$B$43*INDEX(Curves!$B$4:$AR$4,1,67-Projects!$C$43+1),0)+IF(AND(Projects!$G$44="Yes",67&gt;=Projects!$C$44,67&lt;Projects!$C$44+Projects!$D$44),Projects!$B$44*INDEX(Curves!$B$4:$AR$4,1,67-Projects!$C$44+1),0)+IF(AND(Projects!$G$45="Yes",67&gt;=Projects!$C$45,67&lt;Projects!$C$45+Projects!$D$45),Projects!$B$45*INDEX(Curves!$B$4:$AR$4,1,67-Projects!$C$45+1),0)+IF(AND(Projects!$G$46="Yes",67&gt;=Projects!$C$46,67&lt;Projects!$C$46+Projects!$D$46),Projects!$B$46*INDEX(Curves!$B$4:$AR$4,1,67-Projects!$C$46+1),0)</f>
        <v>0</v>
      </c>
      <c r="BU96" s="315" t="n">
        <f aca="false">IF(AND(Projects!$G$17="Yes",68&gt;=Projects!$C$17,68&lt;Projects!$C$17+Projects!$D$17),Projects!$B$17*INDEX(Curves!$B$4:$AR$4,1,68-Projects!$C$17+1),0)+IF(AND(Projects!$G$18="Yes",68&gt;=Projects!$C$18,68&lt;Projects!$C$18+Projects!$D$18),Projects!$B$18*INDEX(Curves!$B$4:$AR$4,1,68-Projects!$C$18+1),0)+IF(AND(Projects!$G$19="Yes",68&gt;=Projects!$C$19,68&lt;Projects!$C$19+Projects!$D$19),Projects!$B$19*INDEX(Curves!$B$4:$AR$4,1,68-Projects!$C$19+1),0)+IF(AND(Projects!$G$20="Yes",68&gt;=Projects!$C$20,68&lt;Projects!$C$20+Projects!$D$20),Projects!$B$20*INDEX(Curves!$B$4:$AR$4,1,68-Projects!$C$20+1),0)+IF(AND(Projects!$G$21="Yes",68&gt;=Projects!$C$21,68&lt;Projects!$C$21+Projects!$D$21),Projects!$B$21*INDEX(Curves!$B$4:$AR$4,1,68-Projects!$C$21+1),0)+IF(AND(Projects!$G$22="Yes",68&gt;=Projects!$C$22,68&lt;Projects!$C$22+Projects!$D$22),Projects!$B$22*INDEX(Curves!$B$4:$AR$4,1,68-Projects!$C$22+1),0)+IF(AND(Projects!$G$23="Yes",68&gt;=Projects!$C$23,68&lt;Projects!$C$23+Projects!$D$23),Projects!$B$23*INDEX(Curves!$B$4:$AR$4,1,68-Projects!$C$23+1),0)+IF(AND(Projects!$G$24="Yes",68&gt;=Projects!$C$24,68&lt;Projects!$C$24+Projects!$D$24),Projects!$B$24*INDEX(Curves!$B$4:$AR$4,1,68-Projects!$C$24+1),0)+IF(AND(Projects!$G$25="Yes",68&gt;=Projects!$C$25,68&lt;Projects!$C$25+Projects!$D$25),Projects!$B$25*INDEX(Curves!$B$4:$AR$4,1,68-Projects!$C$25+1),0)+IF(AND(Projects!$G$26="Yes",68&gt;=Projects!$C$26,68&lt;Projects!$C$26+Projects!$D$26),Projects!$B$26*INDEX(Curves!$B$4:$AR$4,1,68-Projects!$C$26+1),0)+IF(AND(Projects!$G$27="Yes",68&gt;=Projects!$C$27,68&lt;Projects!$C$27+Projects!$D$27),Projects!$B$27*INDEX(Curves!$B$4:$AR$4,1,68-Projects!$C$27+1),0)+IF(AND(Projects!$G$28="Yes",68&gt;=Projects!$C$28,68&lt;Projects!$C$28+Projects!$D$28),Projects!$B$28*INDEX(Curves!$B$4:$AR$4,1,68-Projects!$C$28+1),0)+IF(AND(Projects!$G$29="Yes",68&gt;=Projects!$C$29,68&lt;Projects!$C$29+Projects!$D$29),Projects!$B$29*INDEX(Curves!$B$4:$AR$4,1,68-Projects!$C$29+1),0)+IF(AND(Projects!$G$30="Yes",68&gt;=Projects!$C$30,68&lt;Projects!$C$30+Projects!$D$30),Projects!$B$30*INDEX(Curves!$B$4:$AR$4,1,68-Projects!$C$30+1),0)+IF(AND(Projects!$G$31="Yes",68&gt;=Projects!$C$31,68&lt;Projects!$C$31+Projects!$D$31),Projects!$B$31*INDEX(Curves!$B$4:$AR$4,1,68-Projects!$C$31+1),0)+IF(AND(Projects!$G$32="Yes",68&gt;=Projects!$C$32,68&lt;Projects!$C$32+Projects!$D$32),Projects!$B$32*INDEX(Curves!$B$4:$AR$4,1,68-Projects!$C$32+1),0)+IF(AND(Projects!$G$33="Yes",68&gt;=Projects!$C$33,68&lt;Projects!$C$33+Projects!$D$33),Projects!$B$33*INDEX(Curves!$B$4:$AR$4,1,68-Projects!$C$33+1),0)+IF(AND(Projects!$G$34="Yes",68&gt;=Projects!$C$34,68&lt;Projects!$C$34+Projects!$D$34),Projects!$B$34*INDEX(Curves!$B$4:$AR$4,1,68-Projects!$C$34+1),0)+IF(AND(Projects!$G$35="Yes",68&gt;=Projects!$C$35,68&lt;Projects!$C$35+Projects!$D$35),Projects!$B$35*INDEX(Curves!$B$4:$AR$4,1,68-Projects!$C$35+1),0)+IF(AND(Projects!$G$36="Yes",68&gt;=Projects!$C$36,68&lt;Projects!$C$36+Projects!$D$36),Projects!$B$36*INDEX(Curves!$B$4:$AR$4,1,68-Projects!$C$36+1),0)+IF(AND(Projects!$G$37="Yes",68&gt;=Projects!$C$37,68&lt;Projects!$C$37+Projects!$D$37),Projects!$B$37*INDEX(Curves!$B$4:$AR$4,1,68-Projects!$C$37+1),0)+IF(AND(Projects!$G$38="Yes",68&gt;=Projects!$C$38,68&lt;Projects!$C$38+Projects!$D$38),Projects!$B$38*INDEX(Curves!$B$4:$AR$4,1,68-Projects!$C$38+1),0)+IF(AND(Projects!$G$39="Yes",68&gt;=Projects!$C$39,68&lt;Projects!$C$39+Projects!$D$39),Projects!$B$39*INDEX(Curves!$B$4:$AR$4,1,68-Projects!$C$39+1),0)+IF(AND(Projects!$G$40="Yes",68&gt;=Projects!$C$40,68&lt;Projects!$C$40+Projects!$D$40),Projects!$B$40*INDEX(Curves!$B$4:$AR$4,1,68-Projects!$C$40+1),0)+IF(AND(Projects!$G$41="Yes",68&gt;=Projects!$C$41,68&lt;Projects!$C$41+Projects!$D$41),Projects!$B$41*INDEX(Curves!$B$4:$AR$4,1,68-Projects!$C$41+1),0)+IF(AND(Projects!$G$42="Yes",68&gt;=Projects!$C$42,68&lt;Projects!$C$42+Projects!$D$42),Projects!$B$42*INDEX(Curves!$B$4:$AR$4,1,68-Projects!$C$42+1),0)+IF(AND(Projects!$G$43="Yes",68&gt;=Projects!$C$43,68&lt;Projects!$C$43+Projects!$D$43),Projects!$B$43*INDEX(Curves!$B$4:$AR$4,1,68-Projects!$C$43+1),0)+IF(AND(Projects!$G$44="Yes",68&gt;=Projects!$C$44,68&lt;Projects!$C$44+Projects!$D$44),Projects!$B$44*INDEX(Curves!$B$4:$AR$4,1,68-Projects!$C$44+1),0)+IF(AND(Projects!$G$45="Yes",68&gt;=Projects!$C$45,68&lt;Projects!$C$45+Projects!$D$45),Projects!$B$45*INDEX(Curves!$B$4:$AR$4,1,68-Projects!$C$45+1),0)+IF(AND(Projects!$G$46="Yes",68&gt;=Projects!$C$46,68&lt;Projects!$C$46+Projects!$D$46),Projects!$B$46*INDEX(Curves!$B$4:$AR$4,1,68-Projects!$C$46+1),0)</f>
        <v>0</v>
      </c>
      <c r="BV96" s="315" t="n">
        <f aca="false">IF(AND(Projects!$G$17="Yes",69&gt;=Projects!$C$17,69&lt;Projects!$C$17+Projects!$D$17),Projects!$B$17*INDEX(Curves!$B$4:$AR$4,1,69-Projects!$C$17+1),0)+IF(AND(Projects!$G$18="Yes",69&gt;=Projects!$C$18,69&lt;Projects!$C$18+Projects!$D$18),Projects!$B$18*INDEX(Curves!$B$4:$AR$4,1,69-Projects!$C$18+1),0)+IF(AND(Projects!$G$19="Yes",69&gt;=Projects!$C$19,69&lt;Projects!$C$19+Projects!$D$19),Projects!$B$19*INDEX(Curves!$B$4:$AR$4,1,69-Projects!$C$19+1),0)+IF(AND(Projects!$G$20="Yes",69&gt;=Projects!$C$20,69&lt;Projects!$C$20+Projects!$D$20),Projects!$B$20*INDEX(Curves!$B$4:$AR$4,1,69-Projects!$C$20+1),0)+IF(AND(Projects!$G$21="Yes",69&gt;=Projects!$C$21,69&lt;Projects!$C$21+Projects!$D$21),Projects!$B$21*INDEX(Curves!$B$4:$AR$4,1,69-Projects!$C$21+1),0)+IF(AND(Projects!$G$22="Yes",69&gt;=Projects!$C$22,69&lt;Projects!$C$22+Projects!$D$22),Projects!$B$22*INDEX(Curves!$B$4:$AR$4,1,69-Projects!$C$22+1),0)+IF(AND(Projects!$G$23="Yes",69&gt;=Projects!$C$23,69&lt;Projects!$C$23+Projects!$D$23),Projects!$B$23*INDEX(Curves!$B$4:$AR$4,1,69-Projects!$C$23+1),0)+IF(AND(Projects!$G$24="Yes",69&gt;=Projects!$C$24,69&lt;Projects!$C$24+Projects!$D$24),Projects!$B$24*INDEX(Curves!$B$4:$AR$4,1,69-Projects!$C$24+1),0)+IF(AND(Projects!$G$25="Yes",69&gt;=Projects!$C$25,69&lt;Projects!$C$25+Projects!$D$25),Projects!$B$25*INDEX(Curves!$B$4:$AR$4,1,69-Projects!$C$25+1),0)+IF(AND(Projects!$G$26="Yes",69&gt;=Projects!$C$26,69&lt;Projects!$C$26+Projects!$D$26),Projects!$B$26*INDEX(Curves!$B$4:$AR$4,1,69-Projects!$C$26+1),0)+IF(AND(Projects!$G$27="Yes",69&gt;=Projects!$C$27,69&lt;Projects!$C$27+Projects!$D$27),Projects!$B$27*INDEX(Curves!$B$4:$AR$4,1,69-Projects!$C$27+1),0)+IF(AND(Projects!$G$28="Yes",69&gt;=Projects!$C$28,69&lt;Projects!$C$28+Projects!$D$28),Projects!$B$28*INDEX(Curves!$B$4:$AR$4,1,69-Projects!$C$28+1),0)+IF(AND(Projects!$G$29="Yes",69&gt;=Projects!$C$29,69&lt;Projects!$C$29+Projects!$D$29),Projects!$B$29*INDEX(Curves!$B$4:$AR$4,1,69-Projects!$C$29+1),0)+IF(AND(Projects!$G$30="Yes",69&gt;=Projects!$C$30,69&lt;Projects!$C$30+Projects!$D$30),Projects!$B$30*INDEX(Curves!$B$4:$AR$4,1,69-Projects!$C$30+1),0)+IF(AND(Projects!$G$31="Yes",69&gt;=Projects!$C$31,69&lt;Projects!$C$31+Projects!$D$31),Projects!$B$31*INDEX(Curves!$B$4:$AR$4,1,69-Projects!$C$31+1),0)+IF(AND(Projects!$G$32="Yes",69&gt;=Projects!$C$32,69&lt;Projects!$C$32+Projects!$D$32),Projects!$B$32*INDEX(Curves!$B$4:$AR$4,1,69-Projects!$C$32+1),0)+IF(AND(Projects!$G$33="Yes",69&gt;=Projects!$C$33,69&lt;Projects!$C$33+Projects!$D$33),Projects!$B$33*INDEX(Curves!$B$4:$AR$4,1,69-Projects!$C$33+1),0)+IF(AND(Projects!$G$34="Yes",69&gt;=Projects!$C$34,69&lt;Projects!$C$34+Projects!$D$34),Projects!$B$34*INDEX(Curves!$B$4:$AR$4,1,69-Projects!$C$34+1),0)+IF(AND(Projects!$G$35="Yes",69&gt;=Projects!$C$35,69&lt;Projects!$C$35+Projects!$D$35),Projects!$B$35*INDEX(Curves!$B$4:$AR$4,1,69-Projects!$C$35+1),0)+IF(AND(Projects!$G$36="Yes",69&gt;=Projects!$C$36,69&lt;Projects!$C$36+Projects!$D$36),Projects!$B$36*INDEX(Curves!$B$4:$AR$4,1,69-Projects!$C$36+1),0)+IF(AND(Projects!$G$37="Yes",69&gt;=Projects!$C$37,69&lt;Projects!$C$37+Projects!$D$37),Projects!$B$37*INDEX(Curves!$B$4:$AR$4,1,69-Projects!$C$37+1),0)+IF(AND(Projects!$G$38="Yes",69&gt;=Projects!$C$38,69&lt;Projects!$C$38+Projects!$D$38),Projects!$B$38*INDEX(Curves!$B$4:$AR$4,1,69-Projects!$C$38+1),0)+IF(AND(Projects!$G$39="Yes",69&gt;=Projects!$C$39,69&lt;Projects!$C$39+Projects!$D$39),Projects!$B$39*INDEX(Curves!$B$4:$AR$4,1,69-Projects!$C$39+1),0)+IF(AND(Projects!$G$40="Yes",69&gt;=Projects!$C$40,69&lt;Projects!$C$40+Projects!$D$40),Projects!$B$40*INDEX(Curves!$B$4:$AR$4,1,69-Projects!$C$40+1),0)+IF(AND(Projects!$G$41="Yes",69&gt;=Projects!$C$41,69&lt;Projects!$C$41+Projects!$D$41),Projects!$B$41*INDEX(Curves!$B$4:$AR$4,1,69-Projects!$C$41+1),0)+IF(AND(Projects!$G$42="Yes",69&gt;=Projects!$C$42,69&lt;Projects!$C$42+Projects!$D$42),Projects!$B$42*INDEX(Curves!$B$4:$AR$4,1,69-Projects!$C$42+1),0)+IF(AND(Projects!$G$43="Yes",69&gt;=Projects!$C$43,69&lt;Projects!$C$43+Projects!$D$43),Projects!$B$43*INDEX(Curves!$B$4:$AR$4,1,69-Projects!$C$43+1),0)+IF(AND(Projects!$G$44="Yes",69&gt;=Projects!$C$44,69&lt;Projects!$C$44+Projects!$D$44),Projects!$B$44*INDEX(Curves!$B$4:$AR$4,1,69-Projects!$C$44+1),0)+IF(AND(Projects!$G$45="Yes",69&gt;=Projects!$C$45,69&lt;Projects!$C$45+Projects!$D$45),Projects!$B$45*INDEX(Curves!$B$4:$AR$4,1,69-Projects!$C$45+1),0)+IF(AND(Projects!$G$46="Yes",69&gt;=Projects!$C$46,69&lt;Projects!$C$46+Projects!$D$46),Projects!$B$46*INDEX(Curves!$B$4:$AR$4,1,69-Projects!$C$46+1),0)</f>
        <v>0</v>
      </c>
      <c r="BW96" s="315" t="n">
        <f aca="false">IF(AND(Projects!$G$17="Yes",70&gt;=Projects!$C$17,70&lt;Projects!$C$17+Projects!$D$17),Projects!$B$17*INDEX(Curves!$B$4:$AR$4,1,70-Projects!$C$17+1),0)+IF(AND(Projects!$G$18="Yes",70&gt;=Projects!$C$18,70&lt;Projects!$C$18+Projects!$D$18),Projects!$B$18*INDEX(Curves!$B$4:$AR$4,1,70-Projects!$C$18+1),0)+IF(AND(Projects!$G$19="Yes",70&gt;=Projects!$C$19,70&lt;Projects!$C$19+Projects!$D$19),Projects!$B$19*INDEX(Curves!$B$4:$AR$4,1,70-Projects!$C$19+1),0)+IF(AND(Projects!$G$20="Yes",70&gt;=Projects!$C$20,70&lt;Projects!$C$20+Projects!$D$20),Projects!$B$20*INDEX(Curves!$B$4:$AR$4,1,70-Projects!$C$20+1),0)+IF(AND(Projects!$G$21="Yes",70&gt;=Projects!$C$21,70&lt;Projects!$C$21+Projects!$D$21),Projects!$B$21*INDEX(Curves!$B$4:$AR$4,1,70-Projects!$C$21+1),0)+IF(AND(Projects!$G$22="Yes",70&gt;=Projects!$C$22,70&lt;Projects!$C$22+Projects!$D$22),Projects!$B$22*INDEX(Curves!$B$4:$AR$4,1,70-Projects!$C$22+1),0)+IF(AND(Projects!$G$23="Yes",70&gt;=Projects!$C$23,70&lt;Projects!$C$23+Projects!$D$23),Projects!$B$23*INDEX(Curves!$B$4:$AR$4,1,70-Projects!$C$23+1),0)+IF(AND(Projects!$G$24="Yes",70&gt;=Projects!$C$24,70&lt;Projects!$C$24+Projects!$D$24),Projects!$B$24*INDEX(Curves!$B$4:$AR$4,1,70-Projects!$C$24+1),0)+IF(AND(Projects!$G$25="Yes",70&gt;=Projects!$C$25,70&lt;Projects!$C$25+Projects!$D$25),Projects!$B$25*INDEX(Curves!$B$4:$AR$4,1,70-Projects!$C$25+1),0)+IF(AND(Projects!$G$26="Yes",70&gt;=Projects!$C$26,70&lt;Projects!$C$26+Projects!$D$26),Projects!$B$26*INDEX(Curves!$B$4:$AR$4,1,70-Projects!$C$26+1),0)+IF(AND(Projects!$G$27="Yes",70&gt;=Projects!$C$27,70&lt;Projects!$C$27+Projects!$D$27),Projects!$B$27*INDEX(Curves!$B$4:$AR$4,1,70-Projects!$C$27+1),0)+IF(AND(Projects!$G$28="Yes",70&gt;=Projects!$C$28,70&lt;Projects!$C$28+Projects!$D$28),Projects!$B$28*INDEX(Curves!$B$4:$AR$4,1,70-Projects!$C$28+1),0)+IF(AND(Projects!$G$29="Yes",70&gt;=Projects!$C$29,70&lt;Projects!$C$29+Projects!$D$29),Projects!$B$29*INDEX(Curves!$B$4:$AR$4,1,70-Projects!$C$29+1),0)+IF(AND(Projects!$G$30="Yes",70&gt;=Projects!$C$30,70&lt;Projects!$C$30+Projects!$D$30),Projects!$B$30*INDEX(Curves!$B$4:$AR$4,1,70-Projects!$C$30+1),0)+IF(AND(Projects!$G$31="Yes",70&gt;=Projects!$C$31,70&lt;Projects!$C$31+Projects!$D$31),Projects!$B$31*INDEX(Curves!$B$4:$AR$4,1,70-Projects!$C$31+1),0)+IF(AND(Projects!$G$32="Yes",70&gt;=Projects!$C$32,70&lt;Projects!$C$32+Projects!$D$32),Projects!$B$32*INDEX(Curves!$B$4:$AR$4,1,70-Projects!$C$32+1),0)+IF(AND(Projects!$G$33="Yes",70&gt;=Projects!$C$33,70&lt;Projects!$C$33+Projects!$D$33),Projects!$B$33*INDEX(Curves!$B$4:$AR$4,1,70-Projects!$C$33+1),0)+IF(AND(Projects!$G$34="Yes",70&gt;=Projects!$C$34,70&lt;Projects!$C$34+Projects!$D$34),Projects!$B$34*INDEX(Curves!$B$4:$AR$4,1,70-Projects!$C$34+1),0)+IF(AND(Projects!$G$35="Yes",70&gt;=Projects!$C$35,70&lt;Projects!$C$35+Projects!$D$35),Projects!$B$35*INDEX(Curves!$B$4:$AR$4,1,70-Projects!$C$35+1),0)+IF(AND(Projects!$G$36="Yes",70&gt;=Projects!$C$36,70&lt;Projects!$C$36+Projects!$D$36),Projects!$B$36*INDEX(Curves!$B$4:$AR$4,1,70-Projects!$C$36+1),0)+IF(AND(Projects!$G$37="Yes",70&gt;=Projects!$C$37,70&lt;Projects!$C$37+Projects!$D$37),Projects!$B$37*INDEX(Curves!$B$4:$AR$4,1,70-Projects!$C$37+1),0)+IF(AND(Projects!$G$38="Yes",70&gt;=Projects!$C$38,70&lt;Projects!$C$38+Projects!$D$38),Projects!$B$38*INDEX(Curves!$B$4:$AR$4,1,70-Projects!$C$38+1),0)+IF(AND(Projects!$G$39="Yes",70&gt;=Projects!$C$39,70&lt;Projects!$C$39+Projects!$D$39),Projects!$B$39*INDEX(Curves!$B$4:$AR$4,1,70-Projects!$C$39+1),0)+IF(AND(Projects!$G$40="Yes",70&gt;=Projects!$C$40,70&lt;Projects!$C$40+Projects!$D$40),Projects!$B$40*INDEX(Curves!$B$4:$AR$4,1,70-Projects!$C$40+1),0)+IF(AND(Projects!$G$41="Yes",70&gt;=Projects!$C$41,70&lt;Projects!$C$41+Projects!$D$41),Projects!$B$41*INDEX(Curves!$B$4:$AR$4,1,70-Projects!$C$41+1),0)+IF(AND(Projects!$G$42="Yes",70&gt;=Projects!$C$42,70&lt;Projects!$C$42+Projects!$D$42),Projects!$B$42*INDEX(Curves!$B$4:$AR$4,1,70-Projects!$C$42+1),0)+IF(AND(Projects!$G$43="Yes",70&gt;=Projects!$C$43,70&lt;Projects!$C$43+Projects!$D$43),Projects!$B$43*INDEX(Curves!$B$4:$AR$4,1,70-Projects!$C$43+1),0)+IF(AND(Projects!$G$44="Yes",70&gt;=Projects!$C$44,70&lt;Projects!$C$44+Projects!$D$44),Projects!$B$44*INDEX(Curves!$B$4:$AR$4,1,70-Projects!$C$44+1),0)+IF(AND(Projects!$G$45="Yes",70&gt;=Projects!$C$45,70&lt;Projects!$C$45+Projects!$D$45),Projects!$B$45*INDEX(Curves!$B$4:$AR$4,1,70-Projects!$C$45+1),0)+IF(AND(Projects!$G$46="Yes",70&gt;=Projects!$C$46,70&lt;Projects!$C$46+Projects!$D$46),Projects!$B$46*INDEX(Curves!$B$4:$AR$4,1,70-Projects!$C$46+1),0)</f>
        <v>0</v>
      </c>
      <c r="BX96" s="315" t="n">
        <f aca="false">IF(AND(Projects!$G$17="Yes",71&gt;=Projects!$C$17,71&lt;Projects!$C$17+Projects!$D$17),Projects!$B$17*INDEX(Curves!$B$4:$AR$4,1,71-Projects!$C$17+1),0)+IF(AND(Projects!$G$18="Yes",71&gt;=Projects!$C$18,71&lt;Projects!$C$18+Projects!$D$18),Projects!$B$18*INDEX(Curves!$B$4:$AR$4,1,71-Projects!$C$18+1),0)+IF(AND(Projects!$G$19="Yes",71&gt;=Projects!$C$19,71&lt;Projects!$C$19+Projects!$D$19),Projects!$B$19*INDEX(Curves!$B$4:$AR$4,1,71-Projects!$C$19+1),0)+IF(AND(Projects!$G$20="Yes",71&gt;=Projects!$C$20,71&lt;Projects!$C$20+Projects!$D$20),Projects!$B$20*INDEX(Curves!$B$4:$AR$4,1,71-Projects!$C$20+1),0)+IF(AND(Projects!$G$21="Yes",71&gt;=Projects!$C$21,71&lt;Projects!$C$21+Projects!$D$21),Projects!$B$21*INDEX(Curves!$B$4:$AR$4,1,71-Projects!$C$21+1),0)+IF(AND(Projects!$G$22="Yes",71&gt;=Projects!$C$22,71&lt;Projects!$C$22+Projects!$D$22),Projects!$B$22*INDEX(Curves!$B$4:$AR$4,1,71-Projects!$C$22+1),0)+IF(AND(Projects!$G$23="Yes",71&gt;=Projects!$C$23,71&lt;Projects!$C$23+Projects!$D$23),Projects!$B$23*INDEX(Curves!$B$4:$AR$4,1,71-Projects!$C$23+1),0)+IF(AND(Projects!$G$24="Yes",71&gt;=Projects!$C$24,71&lt;Projects!$C$24+Projects!$D$24),Projects!$B$24*INDEX(Curves!$B$4:$AR$4,1,71-Projects!$C$24+1),0)+IF(AND(Projects!$G$25="Yes",71&gt;=Projects!$C$25,71&lt;Projects!$C$25+Projects!$D$25),Projects!$B$25*INDEX(Curves!$B$4:$AR$4,1,71-Projects!$C$25+1),0)+IF(AND(Projects!$G$26="Yes",71&gt;=Projects!$C$26,71&lt;Projects!$C$26+Projects!$D$26),Projects!$B$26*INDEX(Curves!$B$4:$AR$4,1,71-Projects!$C$26+1),0)+IF(AND(Projects!$G$27="Yes",71&gt;=Projects!$C$27,71&lt;Projects!$C$27+Projects!$D$27),Projects!$B$27*INDEX(Curves!$B$4:$AR$4,1,71-Projects!$C$27+1),0)+IF(AND(Projects!$G$28="Yes",71&gt;=Projects!$C$28,71&lt;Projects!$C$28+Projects!$D$28),Projects!$B$28*INDEX(Curves!$B$4:$AR$4,1,71-Projects!$C$28+1),0)+IF(AND(Projects!$G$29="Yes",71&gt;=Projects!$C$29,71&lt;Projects!$C$29+Projects!$D$29),Projects!$B$29*INDEX(Curves!$B$4:$AR$4,1,71-Projects!$C$29+1),0)+IF(AND(Projects!$G$30="Yes",71&gt;=Projects!$C$30,71&lt;Projects!$C$30+Projects!$D$30),Projects!$B$30*INDEX(Curves!$B$4:$AR$4,1,71-Projects!$C$30+1),0)+IF(AND(Projects!$G$31="Yes",71&gt;=Projects!$C$31,71&lt;Projects!$C$31+Projects!$D$31),Projects!$B$31*INDEX(Curves!$B$4:$AR$4,1,71-Projects!$C$31+1),0)+IF(AND(Projects!$G$32="Yes",71&gt;=Projects!$C$32,71&lt;Projects!$C$32+Projects!$D$32),Projects!$B$32*INDEX(Curves!$B$4:$AR$4,1,71-Projects!$C$32+1),0)+IF(AND(Projects!$G$33="Yes",71&gt;=Projects!$C$33,71&lt;Projects!$C$33+Projects!$D$33),Projects!$B$33*INDEX(Curves!$B$4:$AR$4,1,71-Projects!$C$33+1),0)+IF(AND(Projects!$G$34="Yes",71&gt;=Projects!$C$34,71&lt;Projects!$C$34+Projects!$D$34),Projects!$B$34*INDEX(Curves!$B$4:$AR$4,1,71-Projects!$C$34+1),0)+IF(AND(Projects!$G$35="Yes",71&gt;=Projects!$C$35,71&lt;Projects!$C$35+Projects!$D$35),Projects!$B$35*INDEX(Curves!$B$4:$AR$4,1,71-Projects!$C$35+1),0)+IF(AND(Projects!$G$36="Yes",71&gt;=Projects!$C$36,71&lt;Projects!$C$36+Projects!$D$36),Projects!$B$36*INDEX(Curves!$B$4:$AR$4,1,71-Projects!$C$36+1),0)+IF(AND(Projects!$G$37="Yes",71&gt;=Projects!$C$37,71&lt;Projects!$C$37+Projects!$D$37),Projects!$B$37*INDEX(Curves!$B$4:$AR$4,1,71-Projects!$C$37+1),0)+IF(AND(Projects!$G$38="Yes",71&gt;=Projects!$C$38,71&lt;Projects!$C$38+Projects!$D$38),Projects!$B$38*INDEX(Curves!$B$4:$AR$4,1,71-Projects!$C$38+1),0)+IF(AND(Projects!$G$39="Yes",71&gt;=Projects!$C$39,71&lt;Projects!$C$39+Projects!$D$39),Projects!$B$39*INDEX(Curves!$B$4:$AR$4,1,71-Projects!$C$39+1),0)+IF(AND(Projects!$G$40="Yes",71&gt;=Projects!$C$40,71&lt;Projects!$C$40+Projects!$D$40),Projects!$B$40*INDEX(Curves!$B$4:$AR$4,1,71-Projects!$C$40+1),0)+IF(AND(Projects!$G$41="Yes",71&gt;=Projects!$C$41,71&lt;Projects!$C$41+Projects!$D$41),Projects!$B$41*INDEX(Curves!$B$4:$AR$4,1,71-Projects!$C$41+1),0)+IF(AND(Projects!$G$42="Yes",71&gt;=Projects!$C$42,71&lt;Projects!$C$42+Projects!$D$42),Projects!$B$42*INDEX(Curves!$B$4:$AR$4,1,71-Projects!$C$42+1),0)+IF(AND(Projects!$G$43="Yes",71&gt;=Projects!$C$43,71&lt;Projects!$C$43+Projects!$D$43),Projects!$B$43*INDEX(Curves!$B$4:$AR$4,1,71-Projects!$C$43+1),0)+IF(AND(Projects!$G$44="Yes",71&gt;=Projects!$C$44,71&lt;Projects!$C$44+Projects!$D$44),Projects!$B$44*INDEX(Curves!$B$4:$AR$4,1,71-Projects!$C$44+1),0)+IF(AND(Projects!$G$45="Yes",71&gt;=Projects!$C$45,71&lt;Projects!$C$45+Projects!$D$45),Projects!$B$45*INDEX(Curves!$B$4:$AR$4,1,71-Projects!$C$45+1),0)+IF(AND(Projects!$G$46="Yes",71&gt;=Projects!$C$46,71&lt;Projects!$C$46+Projects!$D$46),Projects!$B$46*INDEX(Curves!$B$4:$AR$4,1,71-Projects!$C$46+1),0)</f>
        <v>0</v>
      </c>
      <c r="BY96" s="315" t="n">
        <f aca="false">IF(AND(Projects!$G$17="Yes",72&gt;=Projects!$C$17,72&lt;Projects!$C$17+Projects!$D$17),Projects!$B$17*INDEX(Curves!$B$4:$AR$4,1,72-Projects!$C$17+1),0)+IF(AND(Projects!$G$18="Yes",72&gt;=Projects!$C$18,72&lt;Projects!$C$18+Projects!$D$18),Projects!$B$18*INDEX(Curves!$B$4:$AR$4,1,72-Projects!$C$18+1),0)+IF(AND(Projects!$G$19="Yes",72&gt;=Projects!$C$19,72&lt;Projects!$C$19+Projects!$D$19),Projects!$B$19*INDEX(Curves!$B$4:$AR$4,1,72-Projects!$C$19+1),0)+IF(AND(Projects!$G$20="Yes",72&gt;=Projects!$C$20,72&lt;Projects!$C$20+Projects!$D$20),Projects!$B$20*INDEX(Curves!$B$4:$AR$4,1,72-Projects!$C$20+1),0)+IF(AND(Projects!$G$21="Yes",72&gt;=Projects!$C$21,72&lt;Projects!$C$21+Projects!$D$21),Projects!$B$21*INDEX(Curves!$B$4:$AR$4,1,72-Projects!$C$21+1),0)+IF(AND(Projects!$G$22="Yes",72&gt;=Projects!$C$22,72&lt;Projects!$C$22+Projects!$D$22),Projects!$B$22*INDEX(Curves!$B$4:$AR$4,1,72-Projects!$C$22+1),0)+IF(AND(Projects!$G$23="Yes",72&gt;=Projects!$C$23,72&lt;Projects!$C$23+Projects!$D$23),Projects!$B$23*INDEX(Curves!$B$4:$AR$4,1,72-Projects!$C$23+1),0)+IF(AND(Projects!$G$24="Yes",72&gt;=Projects!$C$24,72&lt;Projects!$C$24+Projects!$D$24),Projects!$B$24*INDEX(Curves!$B$4:$AR$4,1,72-Projects!$C$24+1),0)+IF(AND(Projects!$G$25="Yes",72&gt;=Projects!$C$25,72&lt;Projects!$C$25+Projects!$D$25),Projects!$B$25*INDEX(Curves!$B$4:$AR$4,1,72-Projects!$C$25+1),0)+IF(AND(Projects!$G$26="Yes",72&gt;=Projects!$C$26,72&lt;Projects!$C$26+Projects!$D$26),Projects!$B$26*INDEX(Curves!$B$4:$AR$4,1,72-Projects!$C$26+1),0)+IF(AND(Projects!$G$27="Yes",72&gt;=Projects!$C$27,72&lt;Projects!$C$27+Projects!$D$27),Projects!$B$27*INDEX(Curves!$B$4:$AR$4,1,72-Projects!$C$27+1),0)+IF(AND(Projects!$G$28="Yes",72&gt;=Projects!$C$28,72&lt;Projects!$C$28+Projects!$D$28),Projects!$B$28*INDEX(Curves!$B$4:$AR$4,1,72-Projects!$C$28+1),0)+IF(AND(Projects!$G$29="Yes",72&gt;=Projects!$C$29,72&lt;Projects!$C$29+Projects!$D$29),Projects!$B$29*INDEX(Curves!$B$4:$AR$4,1,72-Projects!$C$29+1),0)+IF(AND(Projects!$G$30="Yes",72&gt;=Projects!$C$30,72&lt;Projects!$C$30+Projects!$D$30),Projects!$B$30*INDEX(Curves!$B$4:$AR$4,1,72-Projects!$C$30+1),0)+IF(AND(Projects!$G$31="Yes",72&gt;=Projects!$C$31,72&lt;Projects!$C$31+Projects!$D$31),Projects!$B$31*INDEX(Curves!$B$4:$AR$4,1,72-Projects!$C$31+1),0)+IF(AND(Projects!$G$32="Yes",72&gt;=Projects!$C$32,72&lt;Projects!$C$32+Projects!$D$32),Projects!$B$32*INDEX(Curves!$B$4:$AR$4,1,72-Projects!$C$32+1),0)+IF(AND(Projects!$G$33="Yes",72&gt;=Projects!$C$33,72&lt;Projects!$C$33+Projects!$D$33),Projects!$B$33*INDEX(Curves!$B$4:$AR$4,1,72-Projects!$C$33+1),0)+IF(AND(Projects!$G$34="Yes",72&gt;=Projects!$C$34,72&lt;Projects!$C$34+Projects!$D$34),Projects!$B$34*INDEX(Curves!$B$4:$AR$4,1,72-Projects!$C$34+1),0)+IF(AND(Projects!$G$35="Yes",72&gt;=Projects!$C$35,72&lt;Projects!$C$35+Projects!$D$35),Projects!$B$35*INDEX(Curves!$B$4:$AR$4,1,72-Projects!$C$35+1),0)+IF(AND(Projects!$G$36="Yes",72&gt;=Projects!$C$36,72&lt;Projects!$C$36+Projects!$D$36),Projects!$B$36*INDEX(Curves!$B$4:$AR$4,1,72-Projects!$C$36+1),0)+IF(AND(Projects!$G$37="Yes",72&gt;=Projects!$C$37,72&lt;Projects!$C$37+Projects!$D$37),Projects!$B$37*INDEX(Curves!$B$4:$AR$4,1,72-Projects!$C$37+1),0)+IF(AND(Projects!$G$38="Yes",72&gt;=Projects!$C$38,72&lt;Projects!$C$38+Projects!$D$38),Projects!$B$38*INDEX(Curves!$B$4:$AR$4,1,72-Projects!$C$38+1),0)+IF(AND(Projects!$G$39="Yes",72&gt;=Projects!$C$39,72&lt;Projects!$C$39+Projects!$D$39),Projects!$B$39*INDEX(Curves!$B$4:$AR$4,1,72-Projects!$C$39+1),0)+IF(AND(Projects!$G$40="Yes",72&gt;=Projects!$C$40,72&lt;Projects!$C$40+Projects!$D$40),Projects!$B$40*INDEX(Curves!$B$4:$AR$4,1,72-Projects!$C$40+1),0)+IF(AND(Projects!$G$41="Yes",72&gt;=Projects!$C$41,72&lt;Projects!$C$41+Projects!$D$41),Projects!$B$41*INDEX(Curves!$B$4:$AR$4,1,72-Projects!$C$41+1),0)+IF(AND(Projects!$G$42="Yes",72&gt;=Projects!$C$42,72&lt;Projects!$C$42+Projects!$D$42),Projects!$B$42*INDEX(Curves!$B$4:$AR$4,1,72-Projects!$C$42+1),0)+IF(AND(Projects!$G$43="Yes",72&gt;=Projects!$C$43,72&lt;Projects!$C$43+Projects!$D$43),Projects!$B$43*INDEX(Curves!$B$4:$AR$4,1,72-Projects!$C$43+1),0)+IF(AND(Projects!$G$44="Yes",72&gt;=Projects!$C$44,72&lt;Projects!$C$44+Projects!$D$44),Projects!$B$44*INDEX(Curves!$B$4:$AR$4,1,72-Projects!$C$44+1),0)+IF(AND(Projects!$G$45="Yes",72&gt;=Projects!$C$45,72&lt;Projects!$C$45+Projects!$D$45),Projects!$B$45*INDEX(Curves!$B$4:$AR$4,1,72-Projects!$C$45+1),0)+IF(AND(Projects!$G$46="Yes",72&gt;=Projects!$C$46,72&lt;Projects!$C$46+Projects!$D$46),Projects!$B$46*INDEX(Curves!$B$4:$AR$4,1,72-Projects!$C$46+1),0)</f>
        <v>0</v>
      </c>
      <c r="BZ96" s="315" t="n">
        <f aca="false">IF(AND(Projects!$G$17="Yes",73&gt;=Projects!$C$17,73&lt;Projects!$C$17+Projects!$D$17),Projects!$B$17*INDEX(Curves!$B$4:$AR$4,1,73-Projects!$C$17+1),0)+IF(AND(Projects!$G$18="Yes",73&gt;=Projects!$C$18,73&lt;Projects!$C$18+Projects!$D$18),Projects!$B$18*INDEX(Curves!$B$4:$AR$4,1,73-Projects!$C$18+1),0)+IF(AND(Projects!$G$19="Yes",73&gt;=Projects!$C$19,73&lt;Projects!$C$19+Projects!$D$19),Projects!$B$19*INDEX(Curves!$B$4:$AR$4,1,73-Projects!$C$19+1),0)+IF(AND(Projects!$G$20="Yes",73&gt;=Projects!$C$20,73&lt;Projects!$C$20+Projects!$D$20),Projects!$B$20*INDEX(Curves!$B$4:$AR$4,1,73-Projects!$C$20+1),0)+IF(AND(Projects!$G$21="Yes",73&gt;=Projects!$C$21,73&lt;Projects!$C$21+Projects!$D$21),Projects!$B$21*INDEX(Curves!$B$4:$AR$4,1,73-Projects!$C$21+1),0)+IF(AND(Projects!$G$22="Yes",73&gt;=Projects!$C$22,73&lt;Projects!$C$22+Projects!$D$22),Projects!$B$22*INDEX(Curves!$B$4:$AR$4,1,73-Projects!$C$22+1),0)+IF(AND(Projects!$G$23="Yes",73&gt;=Projects!$C$23,73&lt;Projects!$C$23+Projects!$D$23),Projects!$B$23*INDEX(Curves!$B$4:$AR$4,1,73-Projects!$C$23+1),0)+IF(AND(Projects!$G$24="Yes",73&gt;=Projects!$C$24,73&lt;Projects!$C$24+Projects!$D$24),Projects!$B$24*INDEX(Curves!$B$4:$AR$4,1,73-Projects!$C$24+1),0)+IF(AND(Projects!$G$25="Yes",73&gt;=Projects!$C$25,73&lt;Projects!$C$25+Projects!$D$25),Projects!$B$25*INDEX(Curves!$B$4:$AR$4,1,73-Projects!$C$25+1),0)+IF(AND(Projects!$G$26="Yes",73&gt;=Projects!$C$26,73&lt;Projects!$C$26+Projects!$D$26),Projects!$B$26*INDEX(Curves!$B$4:$AR$4,1,73-Projects!$C$26+1),0)+IF(AND(Projects!$G$27="Yes",73&gt;=Projects!$C$27,73&lt;Projects!$C$27+Projects!$D$27),Projects!$B$27*INDEX(Curves!$B$4:$AR$4,1,73-Projects!$C$27+1),0)+IF(AND(Projects!$G$28="Yes",73&gt;=Projects!$C$28,73&lt;Projects!$C$28+Projects!$D$28),Projects!$B$28*INDEX(Curves!$B$4:$AR$4,1,73-Projects!$C$28+1),0)+IF(AND(Projects!$G$29="Yes",73&gt;=Projects!$C$29,73&lt;Projects!$C$29+Projects!$D$29),Projects!$B$29*INDEX(Curves!$B$4:$AR$4,1,73-Projects!$C$29+1),0)+IF(AND(Projects!$G$30="Yes",73&gt;=Projects!$C$30,73&lt;Projects!$C$30+Projects!$D$30),Projects!$B$30*INDEX(Curves!$B$4:$AR$4,1,73-Projects!$C$30+1),0)+IF(AND(Projects!$G$31="Yes",73&gt;=Projects!$C$31,73&lt;Projects!$C$31+Projects!$D$31),Projects!$B$31*INDEX(Curves!$B$4:$AR$4,1,73-Projects!$C$31+1),0)+IF(AND(Projects!$G$32="Yes",73&gt;=Projects!$C$32,73&lt;Projects!$C$32+Projects!$D$32),Projects!$B$32*INDEX(Curves!$B$4:$AR$4,1,73-Projects!$C$32+1),0)+IF(AND(Projects!$G$33="Yes",73&gt;=Projects!$C$33,73&lt;Projects!$C$33+Projects!$D$33),Projects!$B$33*INDEX(Curves!$B$4:$AR$4,1,73-Projects!$C$33+1),0)+IF(AND(Projects!$G$34="Yes",73&gt;=Projects!$C$34,73&lt;Projects!$C$34+Projects!$D$34),Projects!$B$34*INDEX(Curves!$B$4:$AR$4,1,73-Projects!$C$34+1),0)+IF(AND(Projects!$G$35="Yes",73&gt;=Projects!$C$35,73&lt;Projects!$C$35+Projects!$D$35),Projects!$B$35*INDEX(Curves!$B$4:$AR$4,1,73-Projects!$C$35+1),0)+IF(AND(Projects!$G$36="Yes",73&gt;=Projects!$C$36,73&lt;Projects!$C$36+Projects!$D$36),Projects!$B$36*INDEX(Curves!$B$4:$AR$4,1,73-Projects!$C$36+1),0)+IF(AND(Projects!$G$37="Yes",73&gt;=Projects!$C$37,73&lt;Projects!$C$37+Projects!$D$37),Projects!$B$37*INDEX(Curves!$B$4:$AR$4,1,73-Projects!$C$37+1),0)+IF(AND(Projects!$G$38="Yes",73&gt;=Projects!$C$38,73&lt;Projects!$C$38+Projects!$D$38),Projects!$B$38*INDEX(Curves!$B$4:$AR$4,1,73-Projects!$C$38+1),0)+IF(AND(Projects!$G$39="Yes",73&gt;=Projects!$C$39,73&lt;Projects!$C$39+Projects!$D$39),Projects!$B$39*INDEX(Curves!$B$4:$AR$4,1,73-Projects!$C$39+1),0)+IF(AND(Projects!$G$40="Yes",73&gt;=Projects!$C$40,73&lt;Projects!$C$40+Projects!$D$40),Projects!$B$40*INDEX(Curves!$B$4:$AR$4,1,73-Projects!$C$40+1),0)+IF(AND(Projects!$G$41="Yes",73&gt;=Projects!$C$41,73&lt;Projects!$C$41+Projects!$D$41),Projects!$B$41*INDEX(Curves!$B$4:$AR$4,1,73-Projects!$C$41+1),0)+IF(AND(Projects!$G$42="Yes",73&gt;=Projects!$C$42,73&lt;Projects!$C$42+Projects!$D$42),Projects!$B$42*INDEX(Curves!$B$4:$AR$4,1,73-Projects!$C$42+1),0)+IF(AND(Projects!$G$43="Yes",73&gt;=Projects!$C$43,73&lt;Projects!$C$43+Projects!$D$43),Projects!$B$43*INDEX(Curves!$B$4:$AR$4,1,73-Projects!$C$43+1),0)+IF(AND(Projects!$G$44="Yes",73&gt;=Projects!$C$44,73&lt;Projects!$C$44+Projects!$D$44),Projects!$B$44*INDEX(Curves!$B$4:$AR$4,1,73-Projects!$C$44+1),0)+IF(AND(Projects!$G$45="Yes",73&gt;=Projects!$C$45,73&lt;Projects!$C$45+Projects!$D$45),Projects!$B$45*INDEX(Curves!$B$4:$AR$4,1,73-Projects!$C$45+1),0)+IF(AND(Projects!$G$46="Yes",73&gt;=Projects!$C$46,73&lt;Projects!$C$46+Projects!$D$46),Projects!$B$46*INDEX(Curves!$B$4:$AR$4,1,73-Projects!$C$46+1),0)</f>
        <v>0</v>
      </c>
      <c r="CA96" s="315" t="n">
        <f aca="false">IF(AND(Projects!$G$17="Yes",74&gt;=Projects!$C$17,74&lt;Projects!$C$17+Projects!$D$17),Projects!$B$17*INDEX(Curves!$B$4:$AR$4,1,74-Projects!$C$17+1),0)+IF(AND(Projects!$G$18="Yes",74&gt;=Projects!$C$18,74&lt;Projects!$C$18+Projects!$D$18),Projects!$B$18*INDEX(Curves!$B$4:$AR$4,1,74-Projects!$C$18+1),0)+IF(AND(Projects!$G$19="Yes",74&gt;=Projects!$C$19,74&lt;Projects!$C$19+Projects!$D$19),Projects!$B$19*INDEX(Curves!$B$4:$AR$4,1,74-Projects!$C$19+1),0)+IF(AND(Projects!$G$20="Yes",74&gt;=Projects!$C$20,74&lt;Projects!$C$20+Projects!$D$20),Projects!$B$20*INDEX(Curves!$B$4:$AR$4,1,74-Projects!$C$20+1),0)+IF(AND(Projects!$G$21="Yes",74&gt;=Projects!$C$21,74&lt;Projects!$C$21+Projects!$D$21),Projects!$B$21*INDEX(Curves!$B$4:$AR$4,1,74-Projects!$C$21+1),0)+IF(AND(Projects!$G$22="Yes",74&gt;=Projects!$C$22,74&lt;Projects!$C$22+Projects!$D$22),Projects!$B$22*INDEX(Curves!$B$4:$AR$4,1,74-Projects!$C$22+1),0)+IF(AND(Projects!$G$23="Yes",74&gt;=Projects!$C$23,74&lt;Projects!$C$23+Projects!$D$23),Projects!$B$23*INDEX(Curves!$B$4:$AR$4,1,74-Projects!$C$23+1),0)+IF(AND(Projects!$G$24="Yes",74&gt;=Projects!$C$24,74&lt;Projects!$C$24+Projects!$D$24),Projects!$B$24*INDEX(Curves!$B$4:$AR$4,1,74-Projects!$C$24+1),0)+IF(AND(Projects!$G$25="Yes",74&gt;=Projects!$C$25,74&lt;Projects!$C$25+Projects!$D$25),Projects!$B$25*INDEX(Curves!$B$4:$AR$4,1,74-Projects!$C$25+1),0)+IF(AND(Projects!$G$26="Yes",74&gt;=Projects!$C$26,74&lt;Projects!$C$26+Projects!$D$26),Projects!$B$26*INDEX(Curves!$B$4:$AR$4,1,74-Projects!$C$26+1),0)+IF(AND(Projects!$G$27="Yes",74&gt;=Projects!$C$27,74&lt;Projects!$C$27+Projects!$D$27),Projects!$B$27*INDEX(Curves!$B$4:$AR$4,1,74-Projects!$C$27+1),0)+IF(AND(Projects!$G$28="Yes",74&gt;=Projects!$C$28,74&lt;Projects!$C$28+Projects!$D$28),Projects!$B$28*INDEX(Curves!$B$4:$AR$4,1,74-Projects!$C$28+1),0)+IF(AND(Projects!$G$29="Yes",74&gt;=Projects!$C$29,74&lt;Projects!$C$29+Projects!$D$29),Projects!$B$29*INDEX(Curves!$B$4:$AR$4,1,74-Projects!$C$29+1),0)+IF(AND(Projects!$G$30="Yes",74&gt;=Projects!$C$30,74&lt;Projects!$C$30+Projects!$D$30),Projects!$B$30*INDEX(Curves!$B$4:$AR$4,1,74-Projects!$C$30+1),0)+IF(AND(Projects!$G$31="Yes",74&gt;=Projects!$C$31,74&lt;Projects!$C$31+Projects!$D$31),Projects!$B$31*INDEX(Curves!$B$4:$AR$4,1,74-Projects!$C$31+1),0)+IF(AND(Projects!$G$32="Yes",74&gt;=Projects!$C$32,74&lt;Projects!$C$32+Projects!$D$32),Projects!$B$32*INDEX(Curves!$B$4:$AR$4,1,74-Projects!$C$32+1),0)+IF(AND(Projects!$G$33="Yes",74&gt;=Projects!$C$33,74&lt;Projects!$C$33+Projects!$D$33),Projects!$B$33*INDEX(Curves!$B$4:$AR$4,1,74-Projects!$C$33+1),0)+IF(AND(Projects!$G$34="Yes",74&gt;=Projects!$C$34,74&lt;Projects!$C$34+Projects!$D$34),Projects!$B$34*INDEX(Curves!$B$4:$AR$4,1,74-Projects!$C$34+1),0)+IF(AND(Projects!$G$35="Yes",74&gt;=Projects!$C$35,74&lt;Projects!$C$35+Projects!$D$35),Projects!$B$35*INDEX(Curves!$B$4:$AR$4,1,74-Projects!$C$35+1),0)+IF(AND(Projects!$G$36="Yes",74&gt;=Projects!$C$36,74&lt;Projects!$C$36+Projects!$D$36),Projects!$B$36*INDEX(Curves!$B$4:$AR$4,1,74-Projects!$C$36+1),0)+IF(AND(Projects!$G$37="Yes",74&gt;=Projects!$C$37,74&lt;Projects!$C$37+Projects!$D$37),Projects!$B$37*INDEX(Curves!$B$4:$AR$4,1,74-Projects!$C$37+1),0)+IF(AND(Projects!$G$38="Yes",74&gt;=Projects!$C$38,74&lt;Projects!$C$38+Projects!$D$38),Projects!$B$38*INDEX(Curves!$B$4:$AR$4,1,74-Projects!$C$38+1),0)+IF(AND(Projects!$G$39="Yes",74&gt;=Projects!$C$39,74&lt;Projects!$C$39+Projects!$D$39),Projects!$B$39*INDEX(Curves!$B$4:$AR$4,1,74-Projects!$C$39+1),0)+IF(AND(Projects!$G$40="Yes",74&gt;=Projects!$C$40,74&lt;Projects!$C$40+Projects!$D$40),Projects!$B$40*INDEX(Curves!$B$4:$AR$4,1,74-Projects!$C$40+1),0)+IF(AND(Projects!$G$41="Yes",74&gt;=Projects!$C$41,74&lt;Projects!$C$41+Projects!$D$41),Projects!$B$41*INDEX(Curves!$B$4:$AR$4,1,74-Projects!$C$41+1),0)+IF(AND(Projects!$G$42="Yes",74&gt;=Projects!$C$42,74&lt;Projects!$C$42+Projects!$D$42),Projects!$B$42*INDEX(Curves!$B$4:$AR$4,1,74-Projects!$C$42+1),0)+IF(AND(Projects!$G$43="Yes",74&gt;=Projects!$C$43,74&lt;Projects!$C$43+Projects!$D$43),Projects!$B$43*INDEX(Curves!$B$4:$AR$4,1,74-Projects!$C$43+1),0)+IF(AND(Projects!$G$44="Yes",74&gt;=Projects!$C$44,74&lt;Projects!$C$44+Projects!$D$44),Projects!$B$44*INDEX(Curves!$B$4:$AR$4,1,74-Projects!$C$44+1),0)+IF(AND(Projects!$G$45="Yes",74&gt;=Projects!$C$45,74&lt;Projects!$C$45+Projects!$D$45),Projects!$B$45*INDEX(Curves!$B$4:$AR$4,1,74-Projects!$C$45+1),0)+IF(AND(Projects!$G$46="Yes",74&gt;=Projects!$C$46,74&lt;Projects!$C$46+Projects!$D$46),Projects!$B$46*INDEX(Curves!$B$4:$AR$4,1,74-Projects!$C$46+1),0)</f>
        <v>0</v>
      </c>
      <c r="CB96" s="315" t="n">
        <f aca="false">IF(AND(Projects!$G$17="Yes",75&gt;=Projects!$C$17,75&lt;Projects!$C$17+Projects!$D$17),Projects!$B$17*INDEX(Curves!$B$4:$AR$4,1,75-Projects!$C$17+1),0)+IF(AND(Projects!$G$18="Yes",75&gt;=Projects!$C$18,75&lt;Projects!$C$18+Projects!$D$18),Projects!$B$18*INDEX(Curves!$B$4:$AR$4,1,75-Projects!$C$18+1),0)+IF(AND(Projects!$G$19="Yes",75&gt;=Projects!$C$19,75&lt;Projects!$C$19+Projects!$D$19),Projects!$B$19*INDEX(Curves!$B$4:$AR$4,1,75-Projects!$C$19+1),0)+IF(AND(Projects!$G$20="Yes",75&gt;=Projects!$C$20,75&lt;Projects!$C$20+Projects!$D$20),Projects!$B$20*INDEX(Curves!$B$4:$AR$4,1,75-Projects!$C$20+1),0)+IF(AND(Projects!$G$21="Yes",75&gt;=Projects!$C$21,75&lt;Projects!$C$21+Projects!$D$21),Projects!$B$21*INDEX(Curves!$B$4:$AR$4,1,75-Projects!$C$21+1),0)+IF(AND(Projects!$G$22="Yes",75&gt;=Projects!$C$22,75&lt;Projects!$C$22+Projects!$D$22),Projects!$B$22*INDEX(Curves!$B$4:$AR$4,1,75-Projects!$C$22+1),0)+IF(AND(Projects!$G$23="Yes",75&gt;=Projects!$C$23,75&lt;Projects!$C$23+Projects!$D$23),Projects!$B$23*INDEX(Curves!$B$4:$AR$4,1,75-Projects!$C$23+1),0)+IF(AND(Projects!$G$24="Yes",75&gt;=Projects!$C$24,75&lt;Projects!$C$24+Projects!$D$24),Projects!$B$24*INDEX(Curves!$B$4:$AR$4,1,75-Projects!$C$24+1),0)+IF(AND(Projects!$G$25="Yes",75&gt;=Projects!$C$25,75&lt;Projects!$C$25+Projects!$D$25),Projects!$B$25*INDEX(Curves!$B$4:$AR$4,1,75-Projects!$C$25+1),0)+IF(AND(Projects!$G$26="Yes",75&gt;=Projects!$C$26,75&lt;Projects!$C$26+Projects!$D$26),Projects!$B$26*INDEX(Curves!$B$4:$AR$4,1,75-Projects!$C$26+1),0)+IF(AND(Projects!$G$27="Yes",75&gt;=Projects!$C$27,75&lt;Projects!$C$27+Projects!$D$27),Projects!$B$27*INDEX(Curves!$B$4:$AR$4,1,75-Projects!$C$27+1),0)+IF(AND(Projects!$G$28="Yes",75&gt;=Projects!$C$28,75&lt;Projects!$C$28+Projects!$D$28),Projects!$B$28*INDEX(Curves!$B$4:$AR$4,1,75-Projects!$C$28+1),0)+IF(AND(Projects!$G$29="Yes",75&gt;=Projects!$C$29,75&lt;Projects!$C$29+Projects!$D$29),Projects!$B$29*INDEX(Curves!$B$4:$AR$4,1,75-Projects!$C$29+1),0)+IF(AND(Projects!$G$30="Yes",75&gt;=Projects!$C$30,75&lt;Projects!$C$30+Projects!$D$30),Projects!$B$30*INDEX(Curves!$B$4:$AR$4,1,75-Projects!$C$30+1),0)+IF(AND(Projects!$G$31="Yes",75&gt;=Projects!$C$31,75&lt;Projects!$C$31+Projects!$D$31),Projects!$B$31*INDEX(Curves!$B$4:$AR$4,1,75-Projects!$C$31+1),0)+IF(AND(Projects!$G$32="Yes",75&gt;=Projects!$C$32,75&lt;Projects!$C$32+Projects!$D$32),Projects!$B$32*INDEX(Curves!$B$4:$AR$4,1,75-Projects!$C$32+1),0)+IF(AND(Projects!$G$33="Yes",75&gt;=Projects!$C$33,75&lt;Projects!$C$33+Projects!$D$33),Projects!$B$33*INDEX(Curves!$B$4:$AR$4,1,75-Projects!$C$33+1),0)+IF(AND(Projects!$G$34="Yes",75&gt;=Projects!$C$34,75&lt;Projects!$C$34+Projects!$D$34),Projects!$B$34*INDEX(Curves!$B$4:$AR$4,1,75-Projects!$C$34+1),0)+IF(AND(Projects!$G$35="Yes",75&gt;=Projects!$C$35,75&lt;Projects!$C$35+Projects!$D$35),Projects!$B$35*INDEX(Curves!$B$4:$AR$4,1,75-Projects!$C$35+1),0)+IF(AND(Projects!$G$36="Yes",75&gt;=Projects!$C$36,75&lt;Projects!$C$36+Projects!$D$36),Projects!$B$36*INDEX(Curves!$B$4:$AR$4,1,75-Projects!$C$36+1),0)+IF(AND(Projects!$G$37="Yes",75&gt;=Projects!$C$37,75&lt;Projects!$C$37+Projects!$D$37),Projects!$B$37*INDEX(Curves!$B$4:$AR$4,1,75-Projects!$C$37+1),0)+IF(AND(Projects!$G$38="Yes",75&gt;=Projects!$C$38,75&lt;Projects!$C$38+Projects!$D$38),Projects!$B$38*INDEX(Curves!$B$4:$AR$4,1,75-Projects!$C$38+1),0)+IF(AND(Projects!$G$39="Yes",75&gt;=Projects!$C$39,75&lt;Projects!$C$39+Projects!$D$39),Projects!$B$39*INDEX(Curves!$B$4:$AR$4,1,75-Projects!$C$39+1),0)+IF(AND(Projects!$G$40="Yes",75&gt;=Projects!$C$40,75&lt;Projects!$C$40+Projects!$D$40),Projects!$B$40*INDEX(Curves!$B$4:$AR$4,1,75-Projects!$C$40+1),0)+IF(AND(Projects!$G$41="Yes",75&gt;=Projects!$C$41,75&lt;Projects!$C$41+Projects!$D$41),Projects!$B$41*INDEX(Curves!$B$4:$AR$4,1,75-Projects!$C$41+1),0)+IF(AND(Projects!$G$42="Yes",75&gt;=Projects!$C$42,75&lt;Projects!$C$42+Projects!$D$42),Projects!$B$42*INDEX(Curves!$B$4:$AR$4,1,75-Projects!$C$42+1),0)+IF(AND(Projects!$G$43="Yes",75&gt;=Projects!$C$43,75&lt;Projects!$C$43+Projects!$D$43),Projects!$B$43*INDEX(Curves!$B$4:$AR$4,1,75-Projects!$C$43+1),0)+IF(AND(Projects!$G$44="Yes",75&gt;=Projects!$C$44,75&lt;Projects!$C$44+Projects!$D$44),Projects!$B$44*INDEX(Curves!$B$4:$AR$4,1,75-Projects!$C$44+1),0)+IF(AND(Projects!$G$45="Yes",75&gt;=Projects!$C$45,75&lt;Projects!$C$45+Projects!$D$45),Projects!$B$45*INDEX(Curves!$B$4:$AR$4,1,75-Projects!$C$45+1),0)+IF(AND(Projects!$G$46="Yes",75&gt;=Projects!$C$46,75&lt;Projects!$C$46+Projects!$D$46),Projects!$B$46*INDEX(Curves!$B$4:$AR$4,1,75-Projects!$C$46+1),0)</f>
        <v>0</v>
      </c>
      <c r="CC96" s="315" t="n">
        <f aca="false">IF(AND(Projects!$G$17="Yes",76&gt;=Projects!$C$17,76&lt;Projects!$C$17+Projects!$D$17),Projects!$B$17*INDEX(Curves!$B$4:$AR$4,1,76-Projects!$C$17+1),0)+IF(AND(Projects!$G$18="Yes",76&gt;=Projects!$C$18,76&lt;Projects!$C$18+Projects!$D$18),Projects!$B$18*INDEX(Curves!$B$4:$AR$4,1,76-Projects!$C$18+1),0)+IF(AND(Projects!$G$19="Yes",76&gt;=Projects!$C$19,76&lt;Projects!$C$19+Projects!$D$19),Projects!$B$19*INDEX(Curves!$B$4:$AR$4,1,76-Projects!$C$19+1),0)+IF(AND(Projects!$G$20="Yes",76&gt;=Projects!$C$20,76&lt;Projects!$C$20+Projects!$D$20),Projects!$B$20*INDEX(Curves!$B$4:$AR$4,1,76-Projects!$C$20+1),0)+IF(AND(Projects!$G$21="Yes",76&gt;=Projects!$C$21,76&lt;Projects!$C$21+Projects!$D$21),Projects!$B$21*INDEX(Curves!$B$4:$AR$4,1,76-Projects!$C$21+1),0)+IF(AND(Projects!$G$22="Yes",76&gt;=Projects!$C$22,76&lt;Projects!$C$22+Projects!$D$22),Projects!$B$22*INDEX(Curves!$B$4:$AR$4,1,76-Projects!$C$22+1),0)+IF(AND(Projects!$G$23="Yes",76&gt;=Projects!$C$23,76&lt;Projects!$C$23+Projects!$D$23),Projects!$B$23*INDEX(Curves!$B$4:$AR$4,1,76-Projects!$C$23+1),0)+IF(AND(Projects!$G$24="Yes",76&gt;=Projects!$C$24,76&lt;Projects!$C$24+Projects!$D$24),Projects!$B$24*INDEX(Curves!$B$4:$AR$4,1,76-Projects!$C$24+1),0)+IF(AND(Projects!$G$25="Yes",76&gt;=Projects!$C$25,76&lt;Projects!$C$25+Projects!$D$25),Projects!$B$25*INDEX(Curves!$B$4:$AR$4,1,76-Projects!$C$25+1),0)+IF(AND(Projects!$G$26="Yes",76&gt;=Projects!$C$26,76&lt;Projects!$C$26+Projects!$D$26),Projects!$B$26*INDEX(Curves!$B$4:$AR$4,1,76-Projects!$C$26+1),0)+IF(AND(Projects!$G$27="Yes",76&gt;=Projects!$C$27,76&lt;Projects!$C$27+Projects!$D$27),Projects!$B$27*INDEX(Curves!$B$4:$AR$4,1,76-Projects!$C$27+1),0)+IF(AND(Projects!$G$28="Yes",76&gt;=Projects!$C$28,76&lt;Projects!$C$28+Projects!$D$28),Projects!$B$28*INDEX(Curves!$B$4:$AR$4,1,76-Projects!$C$28+1),0)+IF(AND(Projects!$G$29="Yes",76&gt;=Projects!$C$29,76&lt;Projects!$C$29+Projects!$D$29),Projects!$B$29*INDEX(Curves!$B$4:$AR$4,1,76-Projects!$C$29+1),0)+IF(AND(Projects!$G$30="Yes",76&gt;=Projects!$C$30,76&lt;Projects!$C$30+Projects!$D$30),Projects!$B$30*INDEX(Curves!$B$4:$AR$4,1,76-Projects!$C$30+1),0)+IF(AND(Projects!$G$31="Yes",76&gt;=Projects!$C$31,76&lt;Projects!$C$31+Projects!$D$31),Projects!$B$31*INDEX(Curves!$B$4:$AR$4,1,76-Projects!$C$31+1),0)+IF(AND(Projects!$G$32="Yes",76&gt;=Projects!$C$32,76&lt;Projects!$C$32+Projects!$D$32),Projects!$B$32*INDEX(Curves!$B$4:$AR$4,1,76-Projects!$C$32+1),0)+IF(AND(Projects!$G$33="Yes",76&gt;=Projects!$C$33,76&lt;Projects!$C$33+Projects!$D$33),Projects!$B$33*INDEX(Curves!$B$4:$AR$4,1,76-Projects!$C$33+1),0)+IF(AND(Projects!$G$34="Yes",76&gt;=Projects!$C$34,76&lt;Projects!$C$34+Projects!$D$34),Projects!$B$34*INDEX(Curves!$B$4:$AR$4,1,76-Projects!$C$34+1),0)+IF(AND(Projects!$G$35="Yes",76&gt;=Projects!$C$35,76&lt;Projects!$C$35+Projects!$D$35),Projects!$B$35*INDEX(Curves!$B$4:$AR$4,1,76-Projects!$C$35+1),0)+IF(AND(Projects!$G$36="Yes",76&gt;=Projects!$C$36,76&lt;Projects!$C$36+Projects!$D$36),Projects!$B$36*INDEX(Curves!$B$4:$AR$4,1,76-Projects!$C$36+1),0)+IF(AND(Projects!$G$37="Yes",76&gt;=Projects!$C$37,76&lt;Projects!$C$37+Projects!$D$37),Projects!$B$37*INDEX(Curves!$B$4:$AR$4,1,76-Projects!$C$37+1),0)+IF(AND(Projects!$G$38="Yes",76&gt;=Projects!$C$38,76&lt;Projects!$C$38+Projects!$D$38),Projects!$B$38*INDEX(Curves!$B$4:$AR$4,1,76-Projects!$C$38+1),0)+IF(AND(Projects!$G$39="Yes",76&gt;=Projects!$C$39,76&lt;Projects!$C$39+Projects!$D$39),Projects!$B$39*INDEX(Curves!$B$4:$AR$4,1,76-Projects!$C$39+1),0)+IF(AND(Projects!$G$40="Yes",76&gt;=Projects!$C$40,76&lt;Projects!$C$40+Projects!$D$40),Projects!$B$40*INDEX(Curves!$B$4:$AR$4,1,76-Projects!$C$40+1),0)+IF(AND(Projects!$G$41="Yes",76&gt;=Projects!$C$41,76&lt;Projects!$C$41+Projects!$D$41),Projects!$B$41*INDEX(Curves!$B$4:$AR$4,1,76-Projects!$C$41+1),0)+IF(AND(Projects!$G$42="Yes",76&gt;=Projects!$C$42,76&lt;Projects!$C$42+Projects!$D$42),Projects!$B$42*INDEX(Curves!$B$4:$AR$4,1,76-Projects!$C$42+1),0)+IF(AND(Projects!$G$43="Yes",76&gt;=Projects!$C$43,76&lt;Projects!$C$43+Projects!$D$43),Projects!$B$43*INDEX(Curves!$B$4:$AR$4,1,76-Projects!$C$43+1),0)+IF(AND(Projects!$G$44="Yes",76&gt;=Projects!$C$44,76&lt;Projects!$C$44+Projects!$D$44),Projects!$B$44*INDEX(Curves!$B$4:$AR$4,1,76-Projects!$C$44+1),0)+IF(AND(Projects!$G$45="Yes",76&gt;=Projects!$C$45,76&lt;Projects!$C$45+Projects!$D$45),Projects!$B$45*INDEX(Curves!$B$4:$AR$4,1,76-Projects!$C$45+1),0)+IF(AND(Projects!$G$46="Yes",76&gt;=Projects!$C$46,76&lt;Projects!$C$46+Projects!$D$46),Projects!$B$46*INDEX(Curves!$B$4:$AR$4,1,76-Projects!$C$46+1),0)</f>
        <v>0</v>
      </c>
      <c r="CD96" s="315" t="n">
        <f aca="false">IF(AND(Projects!$G$17="Yes",77&gt;=Projects!$C$17,77&lt;Projects!$C$17+Projects!$D$17),Projects!$B$17*INDEX(Curves!$B$4:$AR$4,1,77-Projects!$C$17+1),0)+IF(AND(Projects!$G$18="Yes",77&gt;=Projects!$C$18,77&lt;Projects!$C$18+Projects!$D$18),Projects!$B$18*INDEX(Curves!$B$4:$AR$4,1,77-Projects!$C$18+1),0)+IF(AND(Projects!$G$19="Yes",77&gt;=Projects!$C$19,77&lt;Projects!$C$19+Projects!$D$19),Projects!$B$19*INDEX(Curves!$B$4:$AR$4,1,77-Projects!$C$19+1),0)+IF(AND(Projects!$G$20="Yes",77&gt;=Projects!$C$20,77&lt;Projects!$C$20+Projects!$D$20),Projects!$B$20*INDEX(Curves!$B$4:$AR$4,1,77-Projects!$C$20+1),0)+IF(AND(Projects!$G$21="Yes",77&gt;=Projects!$C$21,77&lt;Projects!$C$21+Projects!$D$21),Projects!$B$21*INDEX(Curves!$B$4:$AR$4,1,77-Projects!$C$21+1),0)+IF(AND(Projects!$G$22="Yes",77&gt;=Projects!$C$22,77&lt;Projects!$C$22+Projects!$D$22),Projects!$B$22*INDEX(Curves!$B$4:$AR$4,1,77-Projects!$C$22+1),0)+IF(AND(Projects!$G$23="Yes",77&gt;=Projects!$C$23,77&lt;Projects!$C$23+Projects!$D$23),Projects!$B$23*INDEX(Curves!$B$4:$AR$4,1,77-Projects!$C$23+1),0)+IF(AND(Projects!$G$24="Yes",77&gt;=Projects!$C$24,77&lt;Projects!$C$24+Projects!$D$24),Projects!$B$24*INDEX(Curves!$B$4:$AR$4,1,77-Projects!$C$24+1),0)+IF(AND(Projects!$G$25="Yes",77&gt;=Projects!$C$25,77&lt;Projects!$C$25+Projects!$D$25),Projects!$B$25*INDEX(Curves!$B$4:$AR$4,1,77-Projects!$C$25+1),0)+IF(AND(Projects!$G$26="Yes",77&gt;=Projects!$C$26,77&lt;Projects!$C$26+Projects!$D$26),Projects!$B$26*INDEX(Curves!$B$4:$AR$4,1,77-Projects!$C$26+1),0)+IF(AND(Projects!$G$27="Yes",77&gt;=Projects!$C$27,77&lt;Projects!$C$27+Projects!$D$27),Projects!$B$27*INDEX(Curves!$B$4:$AR$4,1,77-Projects!$C$27+1),0)+IF(AND(Projects!$G$28="Yes",77&gt;=Projects!$C$28,77&lt;Projects!$C$28+Projects!$D$28),Projects!$B$28*INDEX(Curves!$B$4:$AR$4,1,77-Projects!$C$28+1),0)+IF(AND(Projects!$G$29="Yes",77&gt;=Projects!$C$29,77&lt;Projects!$C$29+Projects!$D$29),Projects!$B$29*INDEX(Curves!$B$4:$AR$4,1,77-Projects!$C$29+1),0)+IF(AND(Projects!$G$30="Yes",77&gt;=Projects!$C$30,77&lt;Projects!$C$30+Projects!$D$30),Projects!$B$30*INDEX(Curves!$B$4:$AR$4,1,77-Projects!$C$30+1),0)+IF(AND(Projects!$G$31="Yes",77&gt;=Projects!$C$31,77&lt;Projects!$C$31+Projects!$D$31),Projects!$B$31*INDEX(Curves!$B$4:$AR$4,1,77-Projects!$C$31+1),0)+IF(AND(Projects!$G$32="Yes",77&gt;=Projects!$C$32,77&lt;Projects!$C$32+Projects!$D$32),Projects!$B$32*INDEX(Curves!$B$4:$AR$4,1,77-Projects!$C$32+1),0)+IF(AND(Projects!$G$33="Yes",77&gt;=Projects!$C$33,77&lt;Projects!$C$33+Projects!$D$33),Projects!$B$33*INDEX(Curves!$B$4:$AR$4,1,77-Projects!$C$33+1),0)+IF(AND(Projects!$G$34="Yes",77&gt;=Projects!$C$34,77&lt;Projects!$C$34+Projects!$D$34),Projects!$B$34*INDEX(Curves!$B$4:$AR$4,1,77-Projects!$C$34+1),0)+IF(AND(Projects!$G$35="Yes",77&gt;=Projects!$C$35,77&lt;Projects!$C$35+Projects!$D$35),Projects!$B$35*INDEX(Curves!$B$4:$AR$4,1,77-Projects!$C$35+1),0)+IF(AND(Projects!$G$36="Yes",77&gt;=Projects!$C$36,77&lt;Projects!$C$36+Projects!$D$36),Projects!$B$36*INDEX(Curves!$B$4:$AR$4,1,77-Projects!$C$36+1),0)+IF(AND(Projects!$G$37="Yes",77&gt;=Projects!$C$37,77&lt;Projects!$C$37+Projects!$D$37),Projects!$B$37*INDEX(Curves!$B$4:$AR$4,1,77-Projects!$C$37+1),0)+IF(AND(Projects!$G$38="Yes",77&gt;=Projects!$C$38,77&lt;Projects!$C$38+Projects!$D$38),Projects!$B$38*INDEX(Curves!$B$4:$AR$4,1,77-Projects!$C$38+1),0)+IF(AND(Projects!$G$39="Yes",77&gt;=Projects!$C$39,77&lt;Projects!$C$39+Projects!$D$39),Projects!$B$39*INDEX(Curves!$B$4:$AR$4,1,77-Projects!$C$39+1),0)+IF(AND(Projects!$G$40="Yes",77&gt;=Projects!$C$40,77&lt;Projects!$C$40+Projects!$D$40),Projects!$B$40*INDEX(Curves!$B$4:$AR$4,1,77-Projects!$C$40+1),0)+IF(AND(Projects!$G$41="Yes",77&gt;=Projects!$C$41,77&lt;Projects!$C$41+Projects!$D$41),Projects!$B$41*INDEX(Curves!$B$4:$AR$4,1,77-Projects!$C$41+1),0)+IF(AND(Projects!$G$42="Yes",77&gt;=Projects!$C$42,77&lt;Projects!$C$42+Projects!$D$42),Projects!$B$42*INDEX(Curves!$B$4:$AR$4,1,77-Projects!$C$42+1),0)+IF(AND(Projects!$G$43="Yes",77&gt;=Projects!$C$43,77&lt;Projects!$C$43+Projects!$D$43),Projects!$B$43*INDEX(Curves!$B$4:$AR$4,1,77-Projects!$C$43+1),0)+IF(AND(Projects!$G$44="Yes",77&gt;=Projects!$C$44,77&lt;Projects!$C$44+Projects!$D$44),Projects!$B$44*INDEX(Curves!$B$4:$AR$4,1,77-Projects!$C$44+1),0)+IF(AND(Projects!$G$45="Yes",77&gt;=Projects!$C$45,77&lt;Projects!$C$45+Projects!$D$45),Projects!$B$45*INDEX(Curves!$B$4:$AR$4,1,77-Projects!$C$45+1),0)+IF(AND(Projects!$G$46="Yes",77&gt;=Projects!$C$46,77&lt;Projects!$C$46+Projects!$D$46),Projects!$B$46*INDEX(Curves!$B$4:$AR$4,1,77-Projects!$C$46+1),0)</f>
        <v>0</v>
      </c>
      <c r="CE96" s="315" t="n">
        <f aca="false">IF(AND(Projects!$G$17="Yes",78&gt;=Projects!$C$17,78&lt;Projects!$C$17+Projects!$D$17),Projects!$B$17*INDEX(Curves!$B$4:$AR$4,1,78-Projects!$C$17+1),0)+IF(AND(Projects!$G$18="Yes",78&gt;=Projects!$C$18,78&lt;Projects!$C$18+Projects!$D$18),Projects!$B$18*INDEX(Curves!$B$4:$AR$4,1,78-Projects!$C$18+1),0)+IF(AND(Projects!$G$19="Yes",78&gt;=Projects!$C$19,78&lt;Projects!$C$19+Projects!$D$19),Projects!$B$19*INDEX(Curves!$B$4:$AR$4,1,78-Projects!$C$19+1),0)+IF(AND(Projects!$G$20="Yes",78&gt;=Projects!$C$20,78&lt;Projects!$C$20+Projects!$D$20),Projects!$B$20*INDEX(Curves!$B$4:$AR$4,1,78-Projects!$C$20+1),0)+IF(AND(Projects!$G$21="Yes",78&gt;=Projects!$C$21,78&lt;Projects!$C$21+Projects!$D$21),Projects!$B$21*INDEX(Curves!$B$4:$AR$4,1,78-Projects!$C$21+1),0)+IF(AND(Projects!$G$22="Yes",78&gt;=Projects!$C$22,78&lt;Projects!$C$22+Projects!$D$22),Projects!$B$22*INDEX(Curves!$B$4:$AR$4,1,78-Projects!$C$22+1),0)+IF(AND(Projects!$G$23="Yes",78&gt;=Projects!$C$23,78&lt;Projects!$C$23+Projects!$D$23),Projects!$B$23*INDEX(Curves!$B$4:$AR$4,1,78-Projects!$C$23+1),0)+IF(AND(Projects!$G$24="Yes",78&gt;=Projects!$C$24,78&lt;Projects!$C$24+Projects!$D$24),Projects!$B$24*INDEX(Curves!$B$4:$AR$4,1,78-Projects!$C$24+1),0)+IF(AND(Projects!$G$25="Yes",78&gt;=Projects!$C$25,78&lt;Projects!$C$25+Projects!$D$25),Projects!$B$25*INDEX(Curves!$B$4:$AR$4,1,78-Projects!$C$25+1),0)+IF(AND(Projects!$G$26="Yes",78&gt;=Projects!$C$26,78&lt;Projects!$C$26+Projects!$D$26),Projects!$B$26*INDEX(Curves!$B$4:$AR$4,1,78-Projects!$C$26+1),0)+IF(AND(Projects!$G$27="Yes",78&gt;=Projects!$C$27,78&lt;Projects!$C$27+Projects!$D$27),Projects!$B$27*INDEX(Curves!$B$4:$AR$4,1,78-Projects!$C$27+1),0)+IF(AND(Projects!$G$28="Yes",78&gt;=Projects!$C$28,78&lt;Projects!$C$28+Projects!$D$28),Projects!$B$28*INDEX(Curves!$B$4:$AR$4,1,78-Projects!$C$28+1),0)+IF(AND(Projects!$G$29="Yes",78&gt;=Projects!$C$29,78&lt;Projects!$C$29+Projects!$D$29),Projects!$B$29*INDEX(Curves!$B$4:$AR$4,1,78-Projects!$C$29+1),0)+IF(AND(Projects!$G$30="Yes",78&gt;=Projects!$C$30,78&lt;Projects!$C$30+Projects!$D$30),Projects!$B$30*INDEX(Curves!$B$4:$AR$4,1,78-Projects!$C$30+1),0)+IF(AND(Projects!$G$31="Yes",78&gt;=Projects!$C$31,78&lt;Projects!$C$31+Projects!$D$31),Projects!$B$31*INDEX(Curves!$B$4:$AR$4,1,78-Projects!$C$31+1),0)+IF(AND(Projects!$G$32="Yes",78&gt;=Projects!$C$32,78&lt;Projects!$C$32+Projects!$D$32),Projects!$B$32*INDEX(Curves!$B$4:$AR$4,1,78-Projects!$C$32+1),0)+IF(AND(Projects!$G$33="Yes",78&gt;=Projects!$C$33,78&lt;Projects!$C$33+Projects!$D$33),Projects!$B$33*INDEX(Curves!$B$4:$AR$4,1,78-Projects!$C$33+1),0)+IF(AND(Projects!$G$34="Yes",78&gt;=Projects!$C$34,78&lt;Projects!$C$34+Projects!$D$34),Projects!$B$34*INDEX(Curves!$B$4:$AR$4,1,78-Projects!$C$34+1),0)+IF(AND(Projects!$G$35="Yes",78&gt;=Projects!$C$35,78&lt;Projects!$C$35+Projects!$D$35),Projects!$B$35*INDEX(Curves!$B$4:$AR$4,1,78-Projects!$C$35+1),0)+IF(AND(Projects!$G$36="Yes",78&gt;=Projects!$C$36,78&lt;Projects!$C$36+Projects!$D$36),Projects!$B$36*INDEX(Curves!$B$4:$AR$4,1,78-Projects!$C$36+1),0)+IF(AND(Projects!$G$37="Yes",78&gt;=Projects!$C$37,78&lt;Projects!$C$37+Projects!$D$37),Projects!$B$37*INDEX(Curves!$B$4:$AR$4,1,78-Projects!$C$37+1),0)+IF(AND(Projects!$G$38="Yes",78&gt;=Projects!$C$38,78&lt;Projects!$C$38+Projects!$D$38),Projects!$B$38*INDEX(Curves!$B$4:$AR$4,1,78-Projects!$C$38+1),0)+IF(AND(Projects!$G$39="Yes",78&gt;=Projects!$C$39,78&lt;Projects!$C$39+Projects!$D$39),Projects!$B$39*INDEX(Curves!$B$4:$AR$4,1,78-Projects!$C$39+1),0)+IF(AND(Projects!$G$40="Yes",78&gt;=Projects!$C$40,78&lt;Projects!$C$40+Projects!$D$40),Projects!$B$40*INDEX(Curves!$B$4:$AR$4,1,78-Projects!$C$40+1),0)+IF(AND(Projects!$G$41="Yes",78&gt;=Projects!$C$41,78&lt;Projects!$C$41+Projects!$D$41),Projects!$B$41*INDEX(Curves!$B$4:$AR$4,1,78-Projects!$C$41+1),0)+IF(AND(Projects!$G$42="Yes",78&gt;=Projects!$C$42,78&lt;Projects!$C$42+Projects!$D$42),Projects!$B$42*INDEX(Curves!$B$4:$AR$4,1,78-Projects!$C$42+1),0)+IF(AND(Projects!$G$43="Yes",78&gt;=Projects!$C$43,78&lt;Projects!$C$43+Projects!$D$43),Projects!$B$43*INDEX(Curves!$B$4:$AR$4,1,78-Projects!$C$43+1),0)+IF(AND(Projects!$G$44="Yes",78&gt;=Projects!$C$44,78&lt;Projects!$C$44+Projects!$D$44),Projects!$B$44*INDEX(Curves!$B$4:$AR$4,1,78-Projects!$C$44+1),0)+IF(AND(Projects!$G$45="Yes",78&gt;=Projects!$C$45,78&lt;Projects!$C$45+Projects!$D$45),Projects!$B$45*INDEX(Curves!$B$4:$AR$4,1,78-Projects!$C$45+1),0)+IF(AND(Projects!$G$46="Yes",78&gt;=Projects!$C$46,78&lt;Projects!$C$46+Projects!$D$46),Projects!$B$46*INDEX(Curves!$B$4:$AR$4,1,78-Projects!$C$46+1),0)</f>
        <v>0</v>
      </c>
      <c r="CF96" s="315" t="n">
        <f aca="false">IF(AND(Projects!$G$17="Yes",79&gt;=Projects!$C$17,79&lt;Projects!$C$17+Projects!$D$17),Projects!$B$17*INDEX(Curves!$B$4:$AR$4,1,79-Projects!$C$17+1),0)+IF(AND(Projects!$G$18="Yes",79&gt;=Projects!$C$18,79&lt;Projects!$C$18+Projects!$D$18),Projects!$B$18*INDEX(Curves!$B$4:$AR$4,1,79-Projects!$C$18+1),0)+IF(AND(Projects!$G$19="Yes",79&gt;=Projects!$C$19,79&lt;Projects!$C$19+Projects!$D$19),Projects!$B$19*INDEX(Curves!$B$4:$AR$4,1,79-Projects!$C$19+1),0)+IF(AND(Projects!$G$20="Yes",79&gt;=Projects!$C$20,79&lt;Projects!$C$20+Projects!$D$20),Projects!$B$20*INDEX(Curves!$B$4:$AR$4,1,79-Projects!$C$20+1),0)+IF(AND(Projects!$G$21="Yes",79&gt;=Projects!$C$21,79&lt;Projects!$C$21+Projects!$D$21),Projects!$B$21*INDEX(Curves!$B$4:$AR$4,1,79-Projects!$C$21+1),0)+IF(AND(Projects!$G$22="Yes",79&gt;=Projects!$C$22,79&lt;Projects!$C$22+Projects!$D$22),Projects!$B$22*INDEX(Curves!$B$4:$AR$4,1,79-Projects!$C$22+1),0)+IF(AND(Projects!$G$23="Yes",79&gt;=Projects!$C$23,79&lt;Projects!$C$23+Projects!$D$23),Projects!$B$23*INDEX(Curves!$B$4:$AR$4,1,79-Projects!$C$23+1),0)+IF(AND(Projects!$G$24="Yes",79&gt;=Projects!$C$24,79&lt;Projects!$C$24+Projects!$D$24),Projects!$B$24*INDEX(Curves!$B$4:$AR$4,1,79-Projects!$C$24+1),0)+IF(AND(Projects!$G$25="Yes",79&gt;=Projects!$C$25,79&lt;Projects!$C$25+Projects!$D$25),Projects!$B$25*INDEX(Curves!$B$4:$AR$4,1,79-Projects!$C$25+1),0)+IF(AND(Projects!$G$26="Yes",79&gt;=Projects!$C$26,79&lt;Projects!$C$26+Projects!$D$26),Projects!$B$26*INDEX(Curves!$B$4:$AR$4,1,79-Projects!$C$26+1),0)+IF(AND(Projects!$G$27="Yes",79&gt;=Projects!$C$27,79&lt;Projects!$C$27+Projects!$D$27),Projects!$B$27*INDEX(Curves!$B$4:$AR$4,1,79-Projects!$C$27+1),0)+IF(AND(Projects!$G$28="Yes",79&gt;=Projects!$C$28,79&lt;Projects!$C$28+Projects!$D$28),Projects!$B$28*INDEX(Curves!$B$4:$AR$4,1,79-Projects!$C$28+1),0)+IF(AND(Projects!$G$29="Yes",79&gt;=Projects!$C$29,79&lt;Projects!$C$29+Projects!$D$29),Projects!$B$29*INDEX(Curves!$B$4:$AR$4,1,79-Projects!$C$29+1),0)+IF(AND(Projects!$G$30="Yes",79&gt;=Projects!$C$30,79&lt;Projects!$C$30+Projects!$D$30),Projects!$B$30*INDEX(Curves!$B$4:$AR$4,1,79-Projects!$C$30+1),0)+IF(AND(Projects!$G$31="Yes",79&gt;=Projects!$C$31,79&lt;Projects!$C$31+Projects!$D$31),Projects!$B$31*INDEX(Curves!$B$4:$AR$4,1,79-Projects!$C$31+1),0)+IF(AND(Projects!$G$32="Yes",79&gt;=Projects!$C$32,79&lt;Projects!$C$32+Projects!$D$32),Projects!$B$32*INDEX(Curves!$B$4:$AR$4,1,79-Projects!$C$32+1),0)+IF(AND(Projects!$G$33="Yes",79&gt;=Projects!$C$33,79&lt;Projects!$C$33+Projects!$D$33),Projects!$B$33*INDEX(Curves!$B$4:$AR$4,1,79-Projects!$C$33+1),0)+IF(AND(Projects!$G$34="Yes",79&gt;=Projects!$C$34,79&lt;Projects!$C$34+Projects!$D$34),Projects!$B$34*INDEX(Curves!$B$4:$AR$4,1,79-Projects!$C$34+1),0)+IF(AND(Projects!$G$35="Yes",79&gt;=Projects!$C$35,79&lt;Projects!$C$35+Projects!$D$35),Projects!$B$35*INDEX(Curves!$B$4:$AR$4,1,79-Projects!$C$35+1),0)+IF(AND(Projects!$G$36="Yes",79&gt;=Projects!$C$36,79&lt;Projects!$C$36+Projects!$D$36),Projects!$B$36*INDEX(Curves!$B$4:$AR$4,1,79-Projects!$C$36+1),0)+IF(AND(Projects!$G$37="Yes",79&gt;=Projects!$C$37,79&lt;Projects!$C$37+Projects!$D$37),Projects!$B$37*INDEX(Curves!$B$4:$AR$4,1,79-Projects!$C$37+1),0)+IF(AND(Projects!$G$38="Yes",79&gt;=Projects!$C$38,79&lt;Projects!$C$38+Projects!$D$38),Projects!$B$38*INDEX(Curves!$B$4:$AR$4,1,79-Projects!$C$38+1),0)+IF(AND(Projects!$G$39="Yes",79&gt;=Projects!$C$39,79&lt;Projects!$C$39+Projects!$D$39),Projects!$B$39*INDEX(Curves!$B$4:$AR$4,1,79-Projects!$C$39+1),0)+IF(AND(Projects!$G$40="Yes",79&gt;=Projects!$C$40,79&lt;Projects!$C$40+Projects!$D$40),Projects!$B$40*INDEX(Curves!$B$4:$AR$4,1,79-Projects!$C$40+1),0)+IF(AND(Projects!$G$41="Yes",79&gt;=Projects!$C$41,79&lt;Projects!$C$41+Projects!$D$41),Projects!$B$41*INDEX(Curves!$B$4:$AR$4,1,79-Projects!$C$41+1),0)+IF(AND(Projects!$G$42="Yes",79&gt;=Projects!$C$42,79&lt;Projects!$C$42+Projects!$D$42),Projects!$B$42*INDEX(Curves!$B$4:$AR$4,1,79-Projects!$C$42+1),0)+IF(AND(Projects!$G$43="Yes",79&gt;=Projects!$C$43,79&lt;Projects!$C$43+Projects!$D$43),Projects!$B$43*INDEX(Curves!$B$4:$AR$4,1,79-Projects!$C$43+1),0)+IF(AND(Projects!$G$44="Yes",79&gt;=Projects!$C$44,79&lt;Projects!$C$44+Projects!$D$44),Projects!$B$44*INDEX(Curves!$B$4:$AR$4,1,79-Projects!$C$44+1),0)+IF(AND(Projects!$G$45="Yes",79&gt;=Projects!$C$45,79&lt;Projects!$C$45+Projects!$D$45),Projects!$B$45*INDEX(Curves!$B$4:$AR$4,1,79-Projects!$C$45+1),0)+IF(AND(Projects!$G$46="Yes",79&gt;=Projects!$C$46,79&lt;Projects!$C$46+Projects!$D$46),Projects!$B$46*INDEX(Curves!$B$4:$AR$4,1,79-Projects!$C$46+1),0)</f>
        <v>0</v>
      </c>
      <c r="CG96" s="315" t="n">
        <f aca="false">IF(AND(Projects!$G$17="Yes",80&gt;=Projects!$C$17,80&lt;Projects!$C$17+Projects!$D$17),Projects!$B$17*INDEX(Curves!$B$4:$AR$4,1,80-Projects!$C$17+1),0)+IF(AND(Projects!$G$18="Yes",80&gt;=Projects!$C$18,80&lt;Projects!$C$18+Projects!$D$18),Projects!$B$18*INDEX(Curves!$B$4:$AR$4,1,80-Projects!$C$18+1),0)+IF(AND(Projects!$G$19="Yes",80&gt;=Projects!$C$19,80&lt;Projects!$C$19+Projects!$D$19),Projects!$B$19*INDEX(Curves!$B$4:$AR$4,1,80-Projects!$C$19+1),0)+IF(AND(Projects!$G$20="Yes",80&gt;=Projects!$C$20,80&lt;Projects!$C$20+Projects!$D$20),Projects!$B$20*INDEX(Curves!$B$4:$AR$4,1,80-Projects!$C$20+1),0)+IF(AND(Projects!$G$21="Yes",80&gt;=Projects!$C$21,80&lt;Projects!$C$21+Projects!$D$21),Projects!$B$21*INDEX(Curves!$B$4:$AR$4,1,80-Projects!$C$21+1),0)+IF(AND(Projects!$G$22="Yes",80&gt;=Projects!$C$22,80&lt;Projects!$C$22+Projects!$D$22),Projects!$B$22*INDEX(Curves!$B$4:$AR$4,1,80-Projects!$C$22+1),0)+IF(AND(Projects!$G$23="Yes",80&gt;=Projects!$C$23,80&lt;Projects!$C$23+Projects!$D$23),Projects!$B$23*INDEX(Curves!$B$4:$AR$4,1,80-Projects!$C$23+1),0)+IF(AND(Projects!$G$24="Yes",80&gt;=Projects!$C$24,80&lt;Projects!$C$24+Projects!$D$24),Projects!$B$24*INDEX(Curves!$B$4:$AR$4,1,80-Projects!$C$24+1),0)+IF(AND(Projects!$G$25="Yes",80&gt;=Projects!$C$25,80&lt;Projects!$C$25+Projects!$D$25),Projects!$B$25*INDEX(Curves!$B$4:$AR$4,1,80-Projects!$C$25+1),0)+IF(AND(Projects!$G$26="Yes",80&gt;=Projects!$C$26,80&lt;Projects!$C$26+Projects!$D$26),Projects!$B$26*INDEX(Curves!$B$4:$AR$4,1,80-Projects!$C$26+1),0)+IF(AND(Projects!$G$27="Yes",80&gt;=Projects!$C$27,80&lt;Projects!$C$27+Projects!$D$27),Projects!$B$27*INDEX(Curves!$B$4:$AR$4,1,80-Projects!$C$27+1),0)+IF(AND(Projects!$G$28="Yes",80&gt;=Projects!$C$28,80&lt;Projects!$C$28+Projects!$D$28),Projects!$B$28*INDEX(Curves!$B$4:$AR$4,1,80-Projects!$C$28+1),0)+IF(AND(Projects!$G$29="Yes",80&gt;=Projects!$C$29,80&lt;Projects!$C$29+Projects!$D$29),Projects!$B$29*INDEX(Curves!$B$4:$AR$4,1,80-Projects!$C$29+1),0)+IF(AND(Projects!$G$30="Yes",80&gt;=Projects!$C$30,80&lt;Projects!$C$30+Projects!$D$30),Projects!$B$30*INDEX(Curves!$B$4:$AR$4,1,80-Projects!$C$30+1),0)+IF(AND(Projects!$G$31="Yes",80&gt;=Projects!$C$31,80&lt;Projects!$C$31+Projects!$D$31),Projects!$B$31*INDEX(Curves!$B$4:$AR$4,1,80-Projects!$C$31+1),0)+IF(AND(Projects!$G$32="Yes",80&gt;=Projects!$C$32,80&lt;Projects!$C$32+Projects!$D$32),Projects!$B$32*INDEX(Curves!$B$4:$AR$4,1,80-Projects!$C$32+1),0)+IF(AND(Projects!$G$33="Yes",80&gt;=Projects!$C$33,80&lt;Projects!$C$33+Projects!$D$33),Projects!$B$33*INDEX(Curves!$B$4:$AR$4,1,80-Projects!$C$33+1),0)+IF(AND(Projects!$G$34="Yes",80&gt;=Projects!$C$34,80&lt;Projects!$C$34+Projects!$D$34),Projects!$B$34*INDEX(Curves!$B$4:$AR$4,1,80-Projects!$C$34+1),0)+IF(AND(Projects!$G$35="Yes",80&gt;=Projects!$C$35,80&lt;Projects!$C$35+Projects!$D$35),Projects!$B$35*INDEX(Curves!$B$4:$AR$4,1,80-Projects!$C$35+1),0)+IF(AND(Projects!$G$36="Yes",80&gt;=Projects!$C$36,80&lt;Projects!$C$36+Projects!$D$36),Projects!$B$36*INDEX(Curves!$B$4:$AR$4,1,80-Projects!$C$36+1),0)+IF(AND(Projects!$G$37="Yes",80&gt;=Projects!$C$37,80&lt;Projects!$C$37+Projects!$D$37),Projects!$B$37*INDEX(Curves!$B$4:$AR$4,1,80-Projects!$C$37+1),0)+IF(AND(Projects!$G$38="Yes",80&gt;=Projects!$C$38,80&lt;Projects!$C$38+Projects!$D$38),Projects!$B$38*INDEX(Curves!$B$4:$AR$4,1,80-Projects!$C$38+1),0)+IF(AND(Projects!$G$39="Yes",80&gt;=Projects!$C$39,80&lt;Projects!$C$39+Projects!$D$39),Projects!$B$39*INDEX(Curves!$B$4:$AR$4,1,80-Projects!$C$39+1),0)+IF(AND(Projects!$G$40="Yes",80&gt;=Projects!$C$40,80&lt;Projects!$C$40+Projects!$D$40),Projects!$B$40*INDEX(Curves!$B$4:$AR$4,1,80-Projects!$C$40+1),0)+IF(AND(Projects!$G$41="Yes",80&gt;=Projects!$C$41,80&lt;Projects!$C$41+Projects!$D$41),Projects!$B$41*INDEX(Curves!$B$4:$AR$4,1,80-Projects!$C$41+1),0)+IF(AND(Projects!$G$42="Yes",80&gt;=Projects!$C$42,80&lt;Projects!$C$42+Projects!$D$42),Projects!$B$42*INDEX(Curves!$B$4:$AR$4,1,80-Projects!$C$42+1),0)+IF(AND(Projects!$G$43="Yes",80&gt;=Projects!$C$43,80&lt;Projects!$C$43+Projects!$D$43),Projects!$B$43*INDEX(Curves!$B$4:$AR$4,1,80-Projects!$C$43+1),0)+IF(AND(Projects!$G$44="Yes",80&gt;=Projects!$C$44,80&lt;Projects!$C$44+Projects!$D$44),Projects!$B$44*INDEX(Curves!$B$4:$AR$4,1,80-Projects!$C$44+1),0)+IF(AND(Projects!$G$45="Yes",80&gt;=Projects!$C$45,80&lt;Projects!$C$45+Projects!$D$45),Projects!$B$45*INDEX(Curves!$B$4:$AR$4,1,80-Projects!$C$45+1),0)+IF(AND(Projects!$G$46="Yes",80&gt;=Projects!$C$46,80&lt;Projects!$C$46+Projects!$D$46),Projects!$B$46*INDEX(Curves!$B$4:$AR$4,1,80-Projects!$C$46+1),0)</f>
        <v>0</v>
      </c>
      <c r="CH96" s="315" t="n">
        <f aca="false">IF(AND(Projects!$G$17="Yes",81&gt;=Projects!$C$17,81&lt;Projects!$C$17+Projects!$D$17),Projects!$B$17*INDEX(Curves!$B$4:$AR$4,1,81-Projects!$C$17+1),0)+IF(AND(Projects!$G$18="Yes",81&gt;=Projects!$C$18,81&lt;Projects!$C$18+Projects!$D$18),Projects!$B$18*INDEX(Curves!$B$4:$AR$4,1,81-Projects!$C$18+1),0)+IF(AND(Projects!$G$19="Yes",81&gt;=Projects!$C$19,81&lt;Projects!$C$19+Projects!$D$19),Projects!$B$19*INDEX(Curves!$B$4:$AR$4,1,81-Projects!$C$19+1),0)+IF(AND(Projects!$G$20="Yes",81&gt;=Projects!$C$20,81&lt;Projects!$C$20+Projects!$D$20),Projects!$B$20*INDEX(Curves!$B$4:$AR$4,1,81-Projects!$C$20+1),0)+IF(AND(Projects!$G$21="Yes",81&gt;=Projects!$C$21,81&lt;Projects!$C$21+Projects!$D$21),Projects!$B$21*INDEX(Curves!$B$4:$AR$4,1,81-Projects!$C$21+1),0)+IF(AND(Projects!$G$22="Yes",81&gt;=Projects!$C$22,81&lt;Projects!$C$22+Projects!$D$22),Projects!$B$22*INDEX(Curves!$B$4:$AR$4,1,81-Projects!$C$22+1),0)+IF(AND(Projects!$G$23="Yes",81&gt;=Projects!$C$23,81&lt;Projects!$C$23+Projects!$D$23),Projects!$B$23*INDEX(Curves!$B$4:$AR$4,1,81-Projects!$C$23+1),0)+IF(AND(Projects!$G$24="Yes",81&gt;=Projects!$C$24,81&lt;Projects!$C$24+Projects!$D$24),Projects!$B$24*INDEX(Curves!$B$4:$AR$4,1,81-Projects!$C$24+1),0)+IF(AND(Projects!$G$25="Yes",81&gt;=Projects!$C$25,81&lt;Projects!$C$25+Projects!$D$25),Projects!$B$25*INDEX(Curves!$B$4:$AR$4,1,81-Projects!$C$25+1),0)+IF(AND(Projects!$G$26="Yes",81&gt;=Projects!$C$26,81&lt;Projects!$C$26+Projects!$D$26),Projects!$B$26*INDEX(Curves!$B$4:$AR$4,1,81-Projects!$C$26+1),0)+IF(AND(Projects!$G$27="Yes",81&gt;=Projects!$C$27,81&lt;Projects!$C$27+Projects!$D$27),Projects!$B$27*INDEX(Curves!$B$4:$AR$4,1,81-Projects!$C$27+1),0)+IF(AND(Projects!$G$28="Yes",81&gt;=Projects!$C$28,81&lt;Projects!$C$28+Projects!$D$28),Projects!$B$28*INDEX(Curves!$B$4:$AR$4,1,81-Projects!$C$28+1),0)+IF(AND(Projects!$G$29="Yes",81&gt;=Projects!$C$29,81&lt;Projects!$C$29+Projects!$D$29),Projects!$B$29*INDEX(Curves!$B$4:$AR$4,1,81-Projects!$C$29+1),0)+IF(AND(Projects!$G$30="Yes",81&gt;=Projects!$C$30,81&lt;Projects!$C$30+Projects!$D$30),Projects!$B$30*INDEX(Curves!$B$4:$AR$4,1,81-Projects!$C$30+1),0)+IF(AND(Projects!$G$31="Yes",81&gt;=Projects!$C$31,81&lt;Projects!$C$31+Projects!$D$31),Projects!$B$31*INDEX(Curves!$B$4:$AR$4,1,81-Projects!$C$31+1),0)+IF(AND(Projects!$G$32="Yes",81&gt;=Projects!$C$32,81&lt;Projects!$C$32+Projects!$D$32),Projects!$B$32*INDEX(Curves!$B$4:$AR$4,1,81-Projects!$C$32+1),0)+IF(AND(Projects!$G$33="Yes",81&gt;=Projects!$C$33,81&lt;Projects!$C$33+Projects!$D$33),Projects!$B$33*INDEX(Curves!$B$4:$AR$4,1,81-Projects!$C$33+1),0)+IF(AND(Projects!$G$34="Yes",81&gt;=Projects!$C$34,81&lt;Projects!$C$34+Projects!$D$34),Projects!$B$34*INDEX(Curves!$B$4:$AR$4,1,81-Projects!$C$34+1),0)+IF(AND(Projects!$G$35="Yes",81&gt;=Projects!$C$35,81&lt;Projects!$C$35+Projects!$D$35),Projects!$B$35*INDEX(Curves!$B$4:$AR$4,1,81-Projects!$C$35+1),0)+IF(AND(Projects!$G$36="Yes",81&gt;=Projects!$C$36,81&lt;Projects!$C$36+Projects!$D$36),Projects!$B$36*INDEX(Curves!$B$4:$AR$4,1,81-Projects!$C$36+1),0)+IF(AND(Projects!$G$37="Yes",81&gt;=Projects!$C$37,81&lt;Projects!$C$37+Projects!$D$37),Projects!$B$37*INDEX(Curves!$B$4:$AR$4,1,81-Projects!$C$37+1),0)+IF(AND(Projects!$G$38="Yes",81&gt;=Projects!$C$38,81&lt;Projects!$C$38+Projects!$D$38),Projects!$B$38*INDEX(Curves!$B$4:$AR$4,1,81-Projects!$C$38+1),0)+IF(AND(Projects!$G$39="Yes",81&gt;=Projects!$C$39,81&lt;Projects!$C$39+Projects!$D$39),Projects!$B$39*INDEX(Curves!$B$4:$AR$4,1,81-Projects!$C$39+1),0)+IF(AND(Projects!$G$40="Yes",81&gt;=Projects!$C$40,81&lt;Projects!$C$40+Projects!$D$40),Projects!$B$40*INDEX(Curves!$B$4:$AR$4,1,81-Projects!$C$40+1),0)+IF(AND(Projects!$G$41="Yes",81&gt;=Projects!$C$41,81&lt;Projects!$C$41+Projects!$D$41),Projects!$B$41*INDEX(Curves!$B$4:$AR$4,1,81-Projects!$C$41+1),0)+IF(AND(Projects!$G$42="Yes",81&gt;=Projects!$C$42,81&lt;Projects!$C$42+Projects!$D$42),Projects!$B$42*INDEX(Curves!$B$4:$AR$4,1,81-Projects!$C$42+1),0)+IF(AND(Projects!$G$43="Yes",81&gt;=Projects!$C$43,81&lt;Projects!$C$43+Projects!$D$43),Projects!$B$43*INDEX(Curves!$B$4:$AR$4,1,81-Projects!$C$43+1),0)+IF(AND(Projects!$G$44="Yes",81&gt;=Projects!$C$44,81&lt;Projects!$C$44+Projects!$D$44),Projects!$B$44*INDEX(Curves!$B$4:$AR$4,1,81-Projects!$C$44+1),0)+IF(AND(Projects!$G$45="Yes",81&gt;=Projects!$C$45,81&lt;Projects!$C$45+Projects!$D$45),Projects!$B$45*INDEX(Curves!$B$4:$AR$4,1,81-Projects!$C$45+1),0)+IF(AND(Projects!$G$46="Yes",81&gt;=Projects!$C$46,81&lt;Projects!$C$46+Projects!$D$46),Projects!$B$46*INDEX(Curves!$B$4:$AR$4,1,81-Projects!$C$46+1),0)</f>
        <v>0</v>
      </c>
      <c r="CI96" s="315" t="n">
        <f aca="false">IF(AND(Projects!$G$17="Yes",82&gt;=Projects!$C$17,82&lt;Projects!$C$17+Projects!$D$17),Projects!$B$17*INDEX(Curves!$B$4:$AR$4,1,82-Projects!$C$17+1),0)+IF(AND(Projects!$G$18="Yes",82&gt;=Projects!$C$18,82&lt;Projects!$C$18+Projects!$D$18),Projects!$B$18*INDEX(Curves!$B$4:$AR$4,1,82-Projects!$C$18+1),0)+IF(AND(Projects!$G$19="Yes",82&gt;=Projects!$C$19,82&lt;Projects!$C$19+Projects!$D$19),Projects!$B$19*INDEX(Curves!$B$4:$AR$4,1,82-Projects!$C$19+1),0)+IF(AND(Projects!$G$20="Yes",82&gt;=Projects!$C$20,82&lt;Projects!$C$20+Projects!$D$20),Projects!$B$20*INDEX(Curves!$B$4:$AR$4,1,82-Projects!$C$20+1),0)+IF(AND(Projects!$G$21="Yes",82&gt;=Projects!$C$21,82&lt;Projects!$C$21+Projects!$D$21),Projects!$B$21*INDEX(Curves!$B$4:$AR$4,1,82-Projects!$C$21+1),0)+IF(AND(Projects!$G$22="Yes",82&gt;=Projects!$C$22,82&lt;Projects!$C$22+Projects!$D$22),Projects!$B$22*INDEX(Curves!$B$4:$AR$4,1,82-Projects!$C$22+1),0)+IF(AND(Projects!$G$23="Yes",82&gt;=Projects!$C$23,82&lt;Projects!$C$23+Projects!$D$23),Projects!$B$23*INDEX(Curves!$B$4:$AR$4,1,82-Projects!$C$23+1),0)+IF(AND(Projects!$G$24="Yes",82&gt;=Projects!$C$24,82&lt;Projects!$C$24+Projects!$D$24),Projects!$B$24*INDEX(Curves!$B$4:$AR$4,1,82-Projects!$C$24+1),0)+IF(AND(Projects!$G$25="Yes",82&gt;=Projects!$C$25,82&lt;Projects!$C$25+Projects!$D$25),Projects!$B$25*INDEX(Curves!$B$4:$AR$4,1,82-Projects!$C$25+1),0)+IF(AND(Projects!$G$26="Yes",82&gt;=Projects!$C$26,82&lt;Projects!$C$26+Projects!$D$26),Projects!$B$26*INDEX(Curves!$B$4:$AR$4,1,82-Projects!$C$26+1),0)+IF(AND(Projects!$G$27="Yes",82&gt;=Projects!$C$27,82&lt;Projects!$C$27+Projects!$D$27),Projects!$B$27*INDEX(Curves!$B$4:$AR$4,1,82-Projects!$C$27+1),0)+IF(AND(Projects!$G$28="Yes",82&gt;=Projects!$C$28,82&lt;Projects!$C$28+Projects!$D$28),Projects!$B$28*INDEX(Curves!$B$4:$AR$4,1,82-Projects!$C$28+1),0)+IF(AND(Projects!$G$29="Yes",82&gt;=Projects!$C$29,82&lt;Projects!$C$29+Projects!$D$29),Projects!$B$29*INDEX(Curves!$B$4:$AR$4,1,82-Projects!$C$29+1),0)+IF(AND(Projects!$G$30="Yes",82&gt;=Projects!$C$30,82&lt;Projects!$C$30+Projects!$D$30),Projects!$B$30*INDEX(Curves!$B$4:$AR$4,1,82-Projects!$C$30+1),0)+IF(AND(Projects!$G$31="Yes",82&gt;=Projects!$C$31,82&lt;Projects!$C$31+Projects!$D$31),Projects!$B$31*INDEX(Curves!$B$4:$AR$4,1,82-Projects!$C$31+1),0)+IF(AND(Projects!$G$32="Yes",82&gt;=Projects!$C$32,82&lt;Projects!$C$32+Projects!$D$32),Projects!$B$32*INDEX(Curves!$B$4:$AR$4,1,82-Projects!$C$32+1),0)+IF(AND(Projects!$G$33="Yes",82&gt;=Projects!$C$33,82&lt;Projects!$C$33+Projects!$D$33),Projects!$B$33*INDEX(Curves!$B$4:$AR$4,1,82-Projects!$C$33+1),0)+IF(AND(Projects!$G$34="Yes",82&gt;=Projects!$C$34,82&lt;Projects!$C$34+Projects!$D$34),Projects!$B$34*INDEX(Curves!$B$4:$AR$4,1,82-Projects!$C$34+1),0)+IF(AND(Projects!$G$35="Yes",82&gt;=Projects!$C$35,82&lt;Projects!$C$35+Projects!$D$35),Projects!$B$35*INDEX(Curves!$B$4:$AR$4,1,82-Projects!$C$35+1),0)+IF(AND(Projects!$G$36="Yes",82&gt;=Projects!$C$36,82&lt;Projects!$C$36+Projects!$D$36),Projects!$B$36*INDEX(Curves!$B$4:$AR$4,1,82-Projects!$C$36+1),0)+IF(AND(Projects!$G$37="Yes",82&gt;=Projects!$C$37,82&lt;Projects!$C$37+Projects!$D$37),Projects!$B$37*INDEX(Curves!$B$4:$AR$4,1,82-Projects!$C$37+1),0)+IF(AND(Projects!$G$38="Yes",82&gt;=Projects!$C$38,82&lt;Projects!$C$38+Projects!$D$38),Projects!$B$38*INDEX(Curves!$B$4:$AR$4,1,82-Projects!$C$38+1),0)+IF(AND(Projects!$G$39="Yes",82&gt;=Projects!$C$39,82&lt;Projects!$C$39+Projects!$D$39),Projects!$B$39*INDEX(Curves!$B$4:$AR$4,1,82-Projects!$C$39+1),0)+IF(AND(Projects!$G$40="Yes",82&gt;=Projects!$C$40,82&lt;Projects!$C$40+Projects!$D$40),Projects!$B$40*INDEX(Curves!$B$4:$AR$4,1,82-Projects!$C$40+1),0)+IF(AND(Projects!$G$41="Yes",82&gt;=Projects!$C$41,82&lt;Projects!$C$41+Projects!$D$41),Projects!$B$41*INDEX(Curves!$B$4:$AR$4,1,82-Projects!$C$41+1),0)+IF(AND(Projects!$G$42="Yes",82&gt;=Projects!$C$42,82&lt;Projects!$C$42+Projects!$D$42),Projects!$B$42*INDEX(Curves!$B$4:$AR$4,1,82-Projects!$C$42+1),0)+IF(AND(Projects!$G$43="Yes",82&gt;=Projects!$C$43,82&lt;Projects!$C$43+Projects!$D$43),Projects!$B$43*INDEX(Curves!$B$4:$AR$4,1,82-Projects!$C$43+1),0)+IF(AND(Projects!$G$44="Yes",82&gt;=Projects!$C$44,82&lt;Projects!$C$44+Projects!$D$44),Projects!$B$44*INDEX(Curves!$B$4:$AR$4,1,82-Projects!$C$44+1),0)+IF(AND(Projects!$G$45="Yes",82&gt;=Projects!$C$45,82&lt;Projects!$C$45+Projects!$D$45),Projects!$B$45*INDEX(Curves!$B$4:$AR$4,1,82-Projects!$C$45+1),0)+IF(AND(Projects!$G$46="Yes",82&gt;=Projects!$C$46,82&lt;Projects!$C$46+Projects!$D$46),Projects!$B$46*INDEX(Curves!$B$4:$AR$4,1,82-Projects!$C$46+1),0)</f>
        <v>0</v>
      </c>
      <c r="CJ96" s="315" t="n">
        <f aca="false">IF(AND(Projects!$G$17="Yes",83&gt;=Projects!$C$17,83&lt;Projects!$C$17+Projects!$D$17),Projects!$B$17*INDEX(Curves!$B$4:$AR$4,1,83-Projects!$C$17+1),0)+IF(AND(Projects!$G$18="Yes",83&gt;=Projects!$C$18,83&lt;Projects!$C$18+Projects!$D$18),Projects!$B$18*INDEX(Curves!$B$4:$AR$4,1,83-Projects!$C$18+1),0)+IF(AND(Projects!$G$19="Yes",83&gt;=Projects!$C$19,83&lt;Projects!$C$19+Projects!$D$19),Projects!$B$19*INDEX(Curves!$B$4:$AR$4,1,83-Projects!$C$19+1),0)+IF(AND(Projects!$G$20="Yes",83&gt;=Projects!$C$20,83&lt;Projects!$C$20+Projects!$D$20),Projects!$B$20*INDEX(Curves!$B$4:$AR$4,1,83-Projects!$C$20+1),0)+IF(AND(Projects!$G$21="Yes",83&gt;=Projects!$C$21,83&lt;Projects!$C$21+Projects!$D$21),Projects!$B$21*INDEX(Curves!$B$4:$AR$4,1,83-Projects!$C$21+1),0)+IF(AND(Projects!$G$22="Yes",83&gt;=Projects!$C$22,83&lt;Projects!$C$22+Projects!$D$22),Projects!$B$22*INDEX(Curves!$B$4:$AR$4,1,83-Projects!$C$22+1),0)+IF(AND(Projects!$G$23="Yes",83&gt;=Projects!$C$23,83&lt;Projects!$C$23+Projects!$D$23),Projects!$B$23*INDEX(Curves!$B$4:$AR$4,1,83-Projects!$C$23+1),0)+IF(AND(Projects!$G$24="Yes",83&gt;=Projects!$C$24,83&lt;Projects!$C$24+Projects!$D$24),Projects!$B$24*INDEX(Curves!$B$4:$AR$4,1,83-Projects!$C$24+1),0)+IF(AND(Projects!$G$25="Yes",83&gt;=Projects!$C$25,83&lt;Projects!$C$25+Projects!$D$25),Projects!$B$25*INDEX(Curves!$B$4:$AR$4,1,83-Projects!$C$25+1),0)+IF(AND(Projects!$G$26="Yes",83&gt;=Projects!$C$26,83&lt;Projects!$C$26+Projects!$D$26),Projects!$B$26*INDEX(Curves!$B$4:$AR$4,1,83-Projects!$C$26+1),0)+IF(AND(Projects!$G$27="Yes",83&gt;=Projects!$C$27,83&lt;Projects!$C$27+Projects!$D$27),Projects!$B$27*INDEX(Curves!$B$4:$AR$4,1,83-Projects!$C$27+1),0)+IF(AND(Projects!$G$28="Yes",83&gt;=Projects!$C$28,83&lt;Projects!$C$28+Projects!$D$28),Projects!$B$28*INDEX(Curves!$B$4:$AR$4,1,83-Projects!$C$28+1),0)+IF(AND(Projects!$G$29="Yes",83&gt;=Projects!$C$29,83&lt;Projects!$C$29+Projects!$D$29),Projects!$B$29*INDEX(Curves!$B$4:$AR$4,1,83-Projects!$C$29+1),0)+IF(AND(Projects!$G$30="Yes",83&gt;=Projects!$C$30,83&lt;Projects!$C$30+Projects!$D$30),Projects!$B$30*INDEX(Curves!$B$4:$AR$4,1,83-Projects!$C$30+1),0)+IF(AND(Projects!$G$31="Yes",83&gt;=Projects!$C$31,83&lt;Projects!$C$31+Projects!$D$31),Projects!$B$31*INDEX(Curves!$B$4:$AR$4,1,83-Projects!$C$31+1),0)+IF(AND(Projects!$G$32="Yes",83&gt;=Projects!$C$32,83&lt;Projects!$C$32+Projects!$D$32),Projects!$B$32*INDEX(Curves!$B$4:$AR$4,1,83-Projects!$C$32+1),0)+IF(AND(Projects!$G$33="Yes",83&gt;=Projects!$C$33,83&lt;Projects!$C$33+Projects!$D$33),Projects!$B$33*INDEX(Curves!$B$4:$AR$4,1,83-Projects!$C$33+1),0)+IF(AND(Projects!$G$34="Yes",83&gt;=Projects!$C$34,83&lt;Projects!$C$34+Projects!$D$34),Projects!$B$34*INDEX(Curves!$B$4:$AR$4,1,83-Projects!$C$34+1),0)+IF(AND(Projects!$G$35="Yes",83&gt;=Projects!$C$35,83&lt;Projects!$C$35+Projects!$D$35),Projects!$B$35*INDEX(Curves!$B$4:$AR$4,1,83-Projects!$C$35+1),0)+IF(AND(Projects!$G$36="Yes",83&gt;=Projects!$C$36,83&lt;Projects!$C$36+Projects!$D$36),Projects!$B$36*INDEX(Curves!$B$4:$AR$4,1,83-Projects!$C$36+1),0)+IF(AND(Projects!$G$37="Yes",83&gt;=Projects!$C$37,83&lt;Projects!$C$37+Projects!$D$37),Projects!$B$37*INDEX(Curves!$B$4:$AR$4,1,83-Projects!$C$37+1),0)+IF(AND(Projects!$G$38="Yes",83&gt;=Projects!$C$38,83&lt;Projects!$C$38+Projects!$D$38),Projects!$B$38*INDEX(Curves!$B$4:$AR$4,1,83-Projects!$C$38+1),0)+IF(AND(Projects!$G$39="Yes",83&gt;=Projects!$C$39,83&lt;Projects!$C$39+Projects!$D$39),Projects!$B$39*INDEX(Curves!$B$4:$AR$4,1,83-Projects!$C$39+1),0)+IF(AND(Projects!$G$40="Yes",83&gt;=Projects!$C$40,83&lt;Projects!$C$40+Projects!$D$40),Projects!$B$40*INDEX(Curves!$B$4:$AR$4,1,83-Projects!$C$40+1),0)+IF(AND(Projects!$G$41="Yes",83&gt;=Projects!$C$41,83&lt;Projects!$C$41+Projects!$D$41),Projects!$B$41*INDEX(Curves!$B$4:$AR$4,1,83-Projects!$C$41+1),0)+IF(AND(Projects!$G$42="Yes",83&gt;=Projects!$C$42,83&lt;Projects!$C$42+Projects!$D$42),Projects!$B$42*INDEX(Curves!$B$4:$AR$4,1,83-Projects!$C$42+1),0)+IF(AND(Projects!$G$43="Yes",83&gt;=Projects!$C$43,83&lt;Projects!$C$43+Projects!$D$43),Projects!$B$43*INDEX(Curves!$B$4:$AR$4,1,83-Projects!$C$43+1),0)+IF(AND(Projects!$G$44="Yes",83&gt;=Projects!$C$44,83&lt;Projects!$C$44+Projects!$D$44),Projects!$B$44*INDEX(Curves!$B$4:$AR$4,1,83-Projects!$C$44+1),0)+IF(AND(Projects!$G$45="Yes",83&gt;=Projects!$C$45,83&lt;Projects!$C$45+Projects!$D$45),Projects!$B$45*INDEX(Curves!$B$4:$AR$4,1,83-Projects!$C$45+1),0)+IF(AND(Projects!$G$46="Yes",83&gt;=Projects!$C$46,83&lt;Projects!$C$46+Projects!$D$46),Projects!$B$46*INDEX(Curves!$B$4:$AR$4,1,83-Projects!$C$46+1),0)</f>
        <v>0</v>
      </c>
      <c r="CK96" s="315" t="n">
        <f aca="false">IF(AND(Projects!$G$17="Yes",84&gt;=Projects!$C$17,84&lt;Projects!$C$17+Projects!$D$17),Projects!$B$17*INDEX(Curves!$B$4:$AR$4,1,84-Projects!$C$17+1),0)+IF(AND(Projects!$G$18="Yes",84&gt;=Projects!$C$18,84&lt;Projects!$C$18+Projects!$D$18),Projects!$B$18*INDEX(Curves!$B$4:$AR$4,1,84-Projects!$C$18+1),0)+IF(AND(Projects!$G$19="Yes",84&gt;=Projects!$C$19,84&lt;Projects!$C$19+Projects!$D$19),Projects!$B$19*INDEX(Curves!$B$4:$AR$4,1,84-Projects!$C$19+1),0)+IF(AND(Projects!$G$20="Yes",84&gt;=Projects!$C$20,84&lt;Projects!$C$20+Projects!$D$20),Projects!$B$20*INDEX(Curves!$B$4:$AR$4,1,84-Projects!$C$20+1),0)+IF(AND(Projects!$G$21="Yes",84&gt;=Projects!$C$21,84&lt;Projects!$C$21+Projects!$D$21),Projects!$B$21*INDEX(Curves!$B$4:$AR$4,1,84-Projects!$C$21+1),0)+IF(AND(Projects!$G$22="Yes",84&gt;=Projects!$C$22,84&lt;Projects!$C$22+Projects!$D$22),Projects!$B$22*INDEX(Curves!$B$4:$AR$4,1,84-Projects!$C$22+1),0)+IF(AND(Projects!$G$23="Yes",84&gt;=Projects!$C$23,84&lt;Projects!$C$23+Projects!$D$23),Projects!$B$23*INDEX(Curves!$B$4:$AR$4,1,84-Projects!$C$23+1),0)+IF(AND(Projects!$G$24="Yes",84&gt;=Projects!$C$24,84&lt;Projects!$C$24+Projects!$D$24),Projects!$B$24*INDEX(Curves!$B$4:$AR$4,1,84-Projects!$C$24+1),0)+IF(AND(Projects!$G$25="Yes",84&gt;=Projects!$C$25,84&lt;Projects!$C$25+Projects!$D$25),Projects!$B$25*INDEX(Curves!$B$4:$AR$4,1,84-Projects!$C$25+1),0)+IF(AND(Projects!$G$26="Yes",84&gt;=Projects!$C$26,84&lt;Projects!$C$26+Projects!$D$26),Projects!$B$26*INDEX(Curves!$B$4:$AR$4,1,84-Projects!$C$26+1),0)+IF(AND(Projects!$G$27="Yes",84&gt;=Projects!$C$27,84&lt;Projects!$C$27+Projects!$D$27),Projects!$B$27*INDEX(Curves!$B$4:$AR$4,1,84-Projects!$C$27+1),0)+IF(AND(Projects!$G$28="Yes",84&gt;=Projects!$C$28,84&lt;Projects!$C$28+Projects!$D$28),Projects!$B$28*INDEX(Curves!$B$4:$AR$4,1,84-Projects!$C$28+1),0)+IF(AND(Projects!$G$29="Yes",84&gt;=Projects!$C$29,84&lt;Projects!$C$29+Projects!$D$29),Projects!$B$29*INDEX(Curves!$B$4:$AR$4,1,84-Projects!$C$29+1),0)+IF(AND(Projects!$G$30="Yes",84&gt;=Projects!$C$30,84&lt;Projects!$C$30+Projects!$D$30),Projects!$B$30*INDEX(Curves!$B$4:$AR$4,1,84-Projects!$C$30+1),0)+IF(AND(Projects!$G$31="Yes",84&gt;=Projects!$C$31,84&lt;Projects!$C$31+Projects!$D$31),Projects!$B$31*INDEX(Curves!$B$4:$AR$4,1,84-Projects!$C$31+1),0)+IF(AND(Projects!$G$32="Yes",84&gt;=Projects!$C$32,84&lt;Projects!$C$32+Projects!$D$32),Projects!$B$32*INDEX(Curves!$B$4:$AR$4,1,84-Projects!$C$32+1),0)+IF(AND(Projects!$G$33="Yes",84&gt;=Projects!$C$33,84&lt;Projects!$C$33+Projects!$D$33),Projects!$B$33*INDEX(Curves!$B$4:$AR$4,1,84-Projects!$C$33+1),0)+IF(AND(Projects!$G$34="Yes",84&gt;=Projects!$C$34,84&lt;Projects!$C$34+Projects!$D$34),Projects!$B$34*INDEX(Curves!$B$4:$AR$4,1,84-Projects!$C$34+1),0)+IF(AND(Projects!$G$35="Yes",84&gt;=Projects!$C$35,84&lt;Projects!$C$35+Projects!$D$35),Projects!$B$35*INDEX(Curves!$B$4:$AR$4,1,84-Projects!$C$35+1),0)+IF(AND(Projects!$G$36="Yes",84&gt;=Projects!$C$36,84&lt;Projects!$C$36+Projects!$D$36),Projects!$B$36*INDEX(Curves!$B$4:$AR$4,1,84-Projects!$C$36+1),0)+IF(AND(Projects!$G$37="Yes",84&gt;=Projects!$C$37,84&lt;Projects!$C$37+Projects!$D$37),Projects!$B$37*INDEX(Curves!$B$4:$AR$4,1,84-Projects!$C$37+1),0)+IF(AND(Projects!$G$38="Yes",84&gt;=Projects!$C$38,84&lt;Projects!$C$38+Projects!$D$38),Projects!$B$38*INDEX(Curves!$B$4:$AR$4,1,84-Projects!$C$38+1),0)+IF(AND(Projects!$G$39="Yes",84&gt;=Projects!$C$39,84&lt;Projects!$C$39+Projects!$D$39),Projects!$B$39*INDEX(Curves!$B$4:$AR$4,1,84-Projects!$C$39+1),0)+IF(AND(Projects!$G$40="Yes",84&gt;=Projects!$C$40,84&lt;Projects!$C$40+Projects!$D$40),Projects!$B$40*INDEX(Curves!$B$4:$AR$4,1,84-Projects!$C$40+1),0)+IF(AND(Projects!$G$41="Yes",84&gt;=Projects!$C$41,84&lt;Projects!$C$41+Projects!$D$41),Projects!$B$41*INDEX(Curves!$B$4:$AR$4,1,84-Projects!$C$41+1),0)+IF(AND(Projects!$G$42="Yes",84&gt;=Projects!$C$42,84&lt;Projects!$C$42+Projects!$D$42),Projects!$B$42*INDEX(Curves!$B$4:$AR$4,1,84-Projects!$C$42+1),0)+IF(AND(Projects!$G$43="Yes",84&gt;=Projects!$C$43,84&lt;Projects!$C$43+Projects!$D$43),Projects!$B$43*INDEX(Curves!$B$4:$AR$4,1,84-Projects!$C$43+1),0)+IF(AND(Projects!$G$44="Yes",84&gt;=Projects!$C$44,84&lt;Projects!$C$44+Projects!$D$44),Projects!$B$44*INDEX(Curves!$B$4:$AR$4,1,84-Projects!$C$44+1),0)+IF(AND(Projects!$G$45="Yes",84&gt;=Projects!$C$45,84&lt;Projects!$C$45+Projects!$D$45),Projects!$B$45*INDEX(Curves!$B$4:$AR$4,1,84-Projects!$C$45+1),0)+IF(AND(Projects!$G$46="Yes",84&gt;=Projects!$C$46,84&lt;Projects!$C$46+Projects!$D$46),Projects!$B$46*INDEX(Curves!$B$4:$AR$4,1,84-Projects!$C$46+1),0)</f>
        <v>0</v>
      </c>
      <c r="CL96" s="315" t="n">
        <f aca="false">IF(AND(Projects!$G$17="Yes",85&gt;=Projects!$C$17,85&lt;Projects!$C$17+Projects!$D$17),Projects!$B$17*INDEX(Curves!$B$4:$AR$4,1,85-Projects!$C$17+1),0)+IF(AND(Projects!$G$18="Yes",85&gt;=Projects!$C$18,85&lt;Projects!$C$18+Projects!$D$18),Projects!$B$18*INDEX(Curves!$B$4:$AR$4,1,85-Projects!$C$18+1),0)+IF(AND(Projects!$G$19="Yes",85&gt;=Projects!$C$19,85&lt;Projects!$C$19+Projects!$D$19),Projects!$B$19*INDEX(Curves!$B$4:$AR$4,1,85-Projects!$C$19+1),0)+IF(AND(Projects!$G$20="Yes",85&gt;=Projects!$C$20,85&lt;Projects!$C$20+Projects!$D$20),Projects!$B$20*INDEX(Curves!$B$4:$AR$4,1,85-Projects!$C$20+1),0)+IF(AND(Projects!$G$21="Yes",85&gt;=Projects!$C$21,85&lt;Projects!$C$21+Projects!$D$21),Projects!$B$21*INDEX(Curves!$B$4:$AR$4,1,85-Projects!$C$21+1),0)+IF(AND(Projects!$G$22="Yes",85&gt;=Projects!$C$22,85&lt;Projects!$C$22+Projects!$D$22),Projects!$B$22*INDEX(Curves!$B$4:$AR$4,1,85-Projects!$C$22+1),0)+IF(AND(Projects!$G$23="Yes",85&gt;=Projects!$C$23,85&lt;Projects!$C$23+Projects!$D$23),Projects!$B$23*INDEX(Curves!$B$4:$AR$4,1,85-Projects!$C$23+1),0)+IF(AND(Projects!$G$24="Yes",85&gt;=Projects!$C$24,85&lt;Projects!$C$24+Projects!$D$24),Projects!$B$24*INDEX(Curves!$B$4:$AR$4,1,85-Projects!$C$24+1),0)+IF(AND(Projects!$G$25="Yes",85&gt;=Projects!$C$25,85&lt;Projects!$C$25+Projects!$D$25),Projects!$B$25*INDEX(Curves!$B$4:$AR$4,1,85-Projects!$C$25+1),0)+IF(AND(Projects!$G$26="Yes",85&gt;=Projects!$C$26,85&lt;Projects!$C$26+Projects!$D$26),Projects!$B$26*INDEX(Curves!$B$4:$AR$4,1,85-Projects!$C$26+1),0)+IF(AND(Projects!$G$27="Yes",85&gt;=Projects!$C$27,85&lt;Projects!$C$27+Projects!$D$27),Projects!$B$27*INDEX(Curves!$B$4:$AR$4,1,85-Projects!$C$27+1),0)+IF(AND(Projects!$G$28="Yes",85&gt;=Projects!$C$28,85&lt;Projects!$C$28+Projects!$D$28),Projects!$B$28*INDEX(Curves!$B$4:$AR$4,1,85-Projects!$C$28+1),0)+IF(AND(Projects!$G$29="Yes",85&gt;=Projects!$C$29,85&lt;Projects!$C$29+Projects!$D$29),Projects!$B$29*INDEX(Curves!$B$4:$AR$4,1,85-Projects!$C$29+1),0)+IF(AND(Projects!$G$30="Yes",85&gt;=Projects!$C$30,85&lt;Projects!$C$30+Projects!$D$30),Projects!$B$30*INDEX(Curves!$B$4:$AR$4,1,85-Projects!$C$30+1),0)+IF(AND(Projects!$G$31="Yes",85&gt;=Projects!$C$31,85&lt;Projects!$C$31+Projects!$D$31),Projects!$B$31*INDEX(Curves!$B$4:$AR$4,1,85-Projects!$C$31+1),0)+IF(AND(Projects!$G$32="Yes",85&gt;=Projects!$C$32,85&lt;Projects!$C$32+Projects!$D$32),Projects!$B$32*INDEX(Curves!$B$4:$AR$4,1,85-Projects!$C$32+1),0)+IF(AND(Projects!$G$33="Yes",85&gt;=Projects!$C$33,85&lt;Projects!$C$33+Projects!$D$33),Projects!$B$33*INDEX(Curves!$B$4:$AR$4,1,85-Projects!$C$33+1),0)+IF(AND(Projects!$G$34="Yes",85&gt;=Projects!$C$34,85&lt;Projects!$C$34+Projects!$D$34),Projects!$B$34*INDEX(Curves!$B$4:$AR$4,1,85-Projects!$C$34+1),0)+IF(AND(Projects!$G$35="Yes",85&gt;=Projects!$C$35,85&lt;Projects!$C$35+Projects!$D$35),Projects!$B$35*INDEX(Curves!$B$4:$AR$4,1,85-Projects!$C$35+1),0)+IF(AND(Projects!$G$36="Yes",85&gt;=Projects!$C$36,85&lt;Projects!$C$36+Projects!$D$36),Projects!$B$36*INDEX(Curves!$B$4:$AR$4,1,85-Projects!$C$36+1),0)+IF(AND(Projects!$G$37="Yes",85&gt;=Projects!$C$37,85&lt;Projects!$C$37+Projects!$D$37),Projects!$B$37*INDEX(Curves!$B$4:$AR$4,1,85-Projects!$C$37+1),0)+IF(AND(Projects!$G$38="Yes",85&gt;=Projects!$C$38,85&lt;Projects!$C$38+Projects!$D$38),Projects!$B$38*INDEX(Curves!$B$4:$AR$4,1,85-Projects!$C$38+1),0)+IF(AND(Projects!$G$39="Yes",85&gt;=Projects!$C$39,85&lt;Projects!$C$39+Projects!$D$39),Projects!$B$39*INDEX(Curves!$B$4:$AR$4,1,85-Projects!$C$39+1),0)+IF(AND(Projects!$G$40="Yes",85&gt;=Projects!$C$40,85&lt;Projects!$C$40+Projects!$D$40),Projects!$B$40*INDEX(Curves!$B$4:$AR$4,1,85-Projects!$C$40+1),0)+IF(AND(Projects!$G$41="Yes",85&gt;=Projects!$C$41,85&lt;Projects!$C$41+Projects!$D$41),Projects!$B$41*INDEX(Curves!$B$4:$AR$4,1,85-Projects!$C$41+1),0)+IF(AND(Projects!$G$42="Yes",85&gt;=Projects!$C$42,85&lt;Projects!$C$42+Projects!$D$42),Projects!$B$42*INDEX(Curves!$B$4:$AR$4,1,85-Projects!$C$42+1),0)+IF(AND(Projects!$G$43="Yes",85&gt;=Projects!$C$43,85&lt;Projects!$C$43+Projects!$D$43),Projects!$B$43*INDEX(Curves!$B$4:$AR$4,1,85-Projects!$C$43+1),0)+IF(AND(Projects!$G$44="Yes",85&gt;=Projects!$C$44,85&lt;Projects!$C$44+Projects!$D$44),Projects!$B$44*INDEX(Curves!$B$4:$AR$4,1,85-Projects!$C$44+1),0)+IF(AND(Projects!$G$45="Yes",85&gt;=Projects!$C$45,85&lt;Projects!$C$45+Projects!$D$45),Projects!$B$45*INDEX(Curves!$B$4:$AR$4,1,85-Projects!$C$45+1),0)+IF(AND(Projects!$G$46="Yes",85&gt;=Projects!$C$46,85&lt;Projects!$C$46+Projects!$D$46),Projects!$B$46*INDEX(Curves!$B$4:$AR$4,1,85-Projects!$C$46+1),0)</f>
        <v>0</v>
      </c>
      <c r="CM96" s="315" t="n">
        <f aca="false">IF(AND(Projects!$G$17="Yes",86&gt;=Projects!$C$17,86&lt;Projects!$C$17+Projects!$D$17),Projects!$B$17*INDEX(Curves!$B$4:$AR$4,1,86-Projects!$C$17+1),0)+IF(AND(Projects!$G$18="Yes",86&gt;=Projects!$C$18,86&lt;Projects!$C$18+Projects!$D$18),Projects!$B$18*INDEX(Curves!$B$4:$AR$4,1,86-Projects!$C$18+1),0)+IF(AND(Projects!$G$19="Yes",86&gt;=Projects!$C$19,86&lt;Projects!$C$19+Projects!$D$19),Projects!$B$19*INDEX(Curves!$B$4:$AR$4,1,86-Projects!$C$19+1),0)+IF(AND(Projects!$G$20="Yes",86&gt;=Projects!$C$20,86&lt;Projects!$C$20+Projects!$D$20),Projects!$B$20*INDEX(Curves!$B$4:$AR$4,1,86-Projects!$C$20+1),0)+IF(AND(Projects!$G$21="Yes",86&gt;=Projects!$C$21,86&lt;Projects!$C$21+Projects!$D$21),Projects!$B$21*INDEX(Curves!$B$4:$AR$4,1,86-Projects!$C$21+1),0)+IF(AND(Projects!$G$22="Yes",86&gt;=Projects!$C$22,86&lt;Projects!$C$22+Projects!$D$22),Projects!$B$22*INDEX(Curves!$B$4:$AR$4,1,86-Projects!$C$22+1),0)+IF(AND(Projects!$G$23="Yes",86&gt;=Projects!$C$23,86&lt;Projects!$C$23+Projects!$D$23),Projects!$B$23*INDEX(Curves!$B$4:$AR$4,1,86-Projects!$C$23+1),0)+IF(AND(Projects!$G$24="Yes",86&gt;=Projects!$C$24,86&lt;Projects!$C$24+Projects!$D$24),Projects!$B$24*INDEX(Curves!$B$4:$AR$4,1,86-Projects!$C$24+1),0)+IF(AND(Projects!$G$25="Yes",86&gt;=Projects!$C$25,86&lt;Projects!$C$25+Projects!$D$25),Projects!$B$25*INDEX(Curves!$B$4:$AR$4,1,86-Projects!$C$25+1),0)+IF(AND(Projects!$G$26="Yes",86&gt;=Projects!$C$26,86&lt;Projects!$C$26+Projects!$D$26),Projects!$B$26*INDEX(Curves!$B$4:$AR$4,1,86-Projects!$C$26+1),0)+IF(AND(Projects!$G$27="Yes",86&gt;=Projects!$C$27,86&lt;Projects!$C$27+Projects!$D$27),Projects!$B$27*INDEX(Curves!$B$4:$AR$4,1,86-Projects!$C$27+1),0)+IF(AND(Projects!$G$28="Yes",86&gt;=Projects!$C$28,86&lt;Projects!$C$28+Projects!$D$28),Projects!$B$28*INDEX(Curves!$B$4:$AR$4,1,86-Projects!$C$28+1),0)+IF(AND(Projects!$G$29="Yes",86&gt;=Projects!$C$29,86&lt;Projects!$C$29+Projects!$D$29),Projects!$B$29*INDEX(Curves!$B$4:$AR$4,1,86-Projects!$C$29+1),0)+IF(AND(Projects!$G$30="Yes",86&gt;=Projects!$C$30,86&lt;Projects!$C$30+Projects!$D$30),Projects!$B$30*INDEX(Curves!$B$4:$AR$4,1,86-Projects!$C$30+1),0)+IF(AND(Projects!$G$31="Yes",86&gt;=Projects!$C$31,86&lt;Projects!$C$31+Projects!$D$31),Projects!$B$31*INDEX(Curves!$B$4:$AR$4,1,86-Projects!$C$31+1),0)+IF(AND(Projects!$G$32="Yes",86&gt;=Projects!$C$32,86&lt;Projects!$C$32+Projects!$D$32),Projects!$B$32*INDEX(Curves!$B$4:$AR$4,1,86-Projects!$C$32+1),0)+IF(AND(Projects!$G$33="Yes",86&gt;=Projects!$C$33,86&lt;Projects!$C$33+Projects!$D$33),Projects!$B$33*INDEX(Curves!$B$4:$AR$4,1,86-Projects!$C$33+1),0)+IF(AND(Projects!$G$34="Yes",86&gt;=Projects!$C$34,86&lt;Projects!$C$34+Projects!$D$34),Projects!$B$34*INDEX(Curves!$B$4:$AR$4,1,86-Projects!$C$34+1),0)+IF(AND(Projects!$G$35="Yes",86&gt;=Projects!$C$35,86&lt;Projects!$C$35+Projects!$D$35),Projects!$B$35*INDEX(Curves!$B$4:$AR$4,1,86-Projects!$C$35+1),0)+IF(AND(Projects!$G$36="Yes",86&gt;=Projects!$C$36,86&lt;Projects!$C$36+Projects!$D$36),Projects!$B$36*INDEX(Curves!$B$4:$AR$4,1,86-Projects!$C$36+1),0)+IF(AND(Projects!$G$37="Yes",86&gt;=Projects!$C$37,86&lt;Projects!$C$37+Projects!$D$37),Projects!$B$37*INDEX(Curves!$B$4:$AR$4,1,86-Projects!$C$37+1),0)+IF(AND(Projects!$G$38="Yes",86&gt;=Projects!$C$38,86&lt;Projects!$C$38+Projects!$D$38),Projects!$B$38*INDEX(Curves!$B$4:$AR$4,1,86-Projects!$C$38+1),0)+IF(AND(Projects!$G$39="Yes",86&gt;=Projects!$C$39,86&lt;Projects!$C$39+Projects!$D$39),Projects!$B$39*INDEX(Curves!$B$4:$AR$4,1,86-Projects!$C$39+1),0)+IF(AND(Projects!$G$40="Yes",86&gt;=Projects!$C$40,86&lt;Projects!$C$40+Projects!$D$40),Projects!$B$40*INDEX(Curves!$B$4:$AR$4,1,86-Projects!$C$40+1),0)+IF(AND(Projects!$G$41="Yes",86&gt;=Projects!$C$41,86&lt;Projects!$C$41+Projects!$D$41),Projects!$B$41*INDEX(Curves!$B$4:$AR$4,1,86-Projects!$C$41+1),0)+IF(AND(Projects!$G$42="Yes",86&gt;=Projects!$C$42,86&lt;Projects!$C$42+Projects!$D$42),Projects!$B$42*INDEX(Curves!$B$4:$AR$4,1,86-Projects!$C$42+1),0)+IF(AND(Projects!$G$43="Yes",86&gt;=Projects!$C$43,86&lt;Projects!$C$43+Projects!$D$43),Projects!$B$43*INDEX(Curves!$B$4:$AR$4,1,86-Projects!$C$43+1),0)+IF(AND(Projects!$G$44="Yes",86&gt;=Projects!$C$44,86&lt;Projects!$C$44+Projects!$D$44),Projects!$B$44*INDEX(Curves!$B$4:$AR$4,1,86-Projects!$C$44+1),0)+IF(AND(Projects!$G$45="Yes",86&gt;=Projects!$C$45,86&lt;Projects!$C$45+Projects!$D$45),Projects!$B$45*INDEX(Curves!$B$4:$AR$4,1,86-Projects!$C$45+1),0)+IF(AND(Projects!$G$46="Yes",86&gt;=Projects!$C$46,86&lt;Projects!$C$46+Projects!$D$46),Projects!$B$46*INDEX(Curves!$B$4:$AR$4,1,86-Projects!$C$46+1),0)</f>
        <v>0</v>
      </c>
      <c r="CN96" s="315" t="n">
        <f aca="false">IF(AND(Projects!$G$17="Yes",87&gt;=Projects!$C$17,87&lt;Projects!$C$17+Projects!$D$17),Projects!$B$17*INDEX(Curves!$B$4:$AR$4,1,87-Projects!$C$17+1),0)+IF(AND(Projects!$G$18="Yes",87&gt;=Projects!$C$18,87&lt;Projects!$C$18+Projects!$D$18),Projects!$B$18*INDEX(Curves!$B$4:$AR$4,1,87-Projects!$C$18+1),0)+IF(AND(Projects!$G$19="Yes",87&gt;=Projects!$C$19,87&lt;Projects!$C$19+Projects!$D$19),Projects!$B$19*INDEX(Curves!$B$4:$AR$4,1,87-Projects!$C$19+1),0)+IF(AND(Projects!$G$20="Yes",87&gt;=Projects!$C$20,87&lt;Projects!$C$20+Projects!$D$20),Projects!$B$20*INDEX(Curves!$B$4:$AR$4,1,87-Projects!$C$20+1),0)+IF(AND(Projects!$G$21="Yes",87&gt;=Projects!$C$21,87&lt;Projects!$C$21+Projects!$D$21),Projects!$B$21*INDEX(Curves!$B$4:$AR$4,1,87-Projects!$C$21+1),0)+IF(AND(Projects!$G$22="Yes",87&gt;=Projects!$C$22,87&lt;Projects!$C$22+Projects!$D$22),Projects!$B$22*INDEX(Curves!$B$4:$AR$4,1,87-Projects!$C$22+1),0)+IF(AND(Projects!$G$23="Yes",87&gt;=Projects!$C$23,87&lt;Projects!$C$23+Projects!$D$23),Projects!$B$23*INDEX(Curves!$B$4:$AR$4,1,87-Projects!$C$23+1),0)+IF(AND(Projects!$G$24="Yes",87&gt;=Projects!$C$24,87&lt;Projects!$C$24+Projects!$D$24),Projects!$B$24*INDEX(Curves!$B$4:$AR$4,1,87-Projects!$C$24+1),0)+IF(AND(Projects!$G$25="Yes",87&gt;=Projects!$C$25,87&lt;Projects!$C$25+Projects!$D$25),Projects!$B$25*INDEX(Curves!$B$4:$AR$4,1,87-Projects!$C$25+1),0)+IF(AND(Projects!$G$26="Yes",87&gt;=Projects!$C$26,87&lt;Projects!$C$26+Projects!$D$26),Projects!$B$26*INDEX(Curves!$B$4:$AR$4,1,87-Projects!$C$26+1),0)+IF(AND(Projects!$G$27="Yes",87&gt;=Projects!$C$27,87&lt;Projects!$C$27+Projects!$D$27),Projects!$B$27*INDEX(Curves!$B$4:$AR$4,1,87-Projects!$C$27+1),0)+IF(AND(Projects!$G$28="Yes",87&gt;=Projects!$C$28,87&lt;Projects!$C$28+Projects!$D$28),Projects!$B$28*INDEX(Curves!$B$4:$AR$4,1,87-Projects!$C$28+1),0)+IF(AND(Projects!$G$29="Yes",87&gt;=Projects!$C$29,87&lt;Projects!$C$29+Projects!$D$29),Projects!$B$29*INDEX(Curves!$B$4:$AR$4,1,87-Projects!$C$29+1),0)+IF(AND(Projects!$G$30="Yes",87&gt;=Projects!$C$30,87&lt;Projects!$C$30+Projects!$D$30),Projects!$B$30*INDEX(Curves!$B$4:$AR$4,1,87-Projects!$C$30+1),0)+IF(AND(Projects!$G$31="Yes",87&gt;=Projects!$C$31,87&lt;Projects!$C$31+Projects!$D$31),Projects!$B$31*INDEX(Curves!$B$4:$AR$4,1,87-Projects!$C$31+1),0)+IF(AND(Projects!$G$32="Yes",87&gt;=Projects!$C$32,87&lt;Projects!$C$32+Projects!$D$32),Projects!$B$32*INDEX(Curves!$B$4:$AR$4,1,87-Projects!$C$32+1),0)+IF(AND(Projects!$G$33="Yes",87&gt;=Projects!$C$33,87&lt;Projects!$C$33+Projects!$D$33),Projects!$B$33*INDEX(Curves!$B$4:$AR$4,1,87-Projects!$C$33+1),0)+IF(AND(Projects!$G$34="Yes",87&gt;=Projects!$C$34,87&lt;Projects!$C$34+Projects!$D$34),Projects!$B$34*INDEX(Curves!$B$4:$AR$4,1,87-Projects!$C$34+1),0)+IF(AND(Projects!$G$35="Yes",87&gt;=Projects!$C$35,87&lt;Projects!$C$35+Projects!$D$35),Projects!$B$35*INDEX(Curves!$B$4:$AR$4,1,87-Projects!$C$35+1),0)+IF(AND(Projects!$G$36="Yes",87&gt;=Projects!$C$36,87&lt;Projects!$C$36+Projects!$D$36),Projects!$B$36*INDEX(Curves!$B$4:$AR$4,1,87-Projects!$C$36+1),0)+IF(AND(Projects!$G$37="Yes",87&gt;=Projects!$C$37,87&lt;Projects!$C$37+Projects!$D$37),Projects!$B$37*INDEX(Curves!$B$4:$AR$4,1,87-Projects!$C$37+1),0)+IF(AND(Projects!$G$38="Yes",87&gt;=Projects!$C$38,87&lt;Projects!$C$38+Projects!$D$38),Projects!$B$38*INDEX(Curves!$B$4:$AR$4,1,87-Projects!$C$38+1),0)+IF(AND(Projects!$G$39="Yes",87&gt;=Projects!$C$39,87&lt;Projects!$C$39+Projects!$D$39),Projects!$B$39*INDEX(Curves!$B$4:$AR$4,1,87-Projects!$C$39+1),0)+IF(AND(Projects!$G$40="Yes",87&gt;=Projects!$C$40,87&lt;Projects!$C$40+Projects!$D$40),Projects!$B$40*INDEX(Curves!$B$4:$AR$4,1,87-Projects!$C$40+1),0)+IF(AND(Projects!$G$41="Yes",87&gt;=Projects!$C$41,87&lt;Projects!$C$41+Projects!$D$41),Projects!$B$41*INDEX(Curves!$B$4:$AR$4,1,87-Projects!$C$41+1),0)+IF(AND(Projects!$G$42="Yes",87&gt;=Projects!$C$42,87&lt;Projects!$C$42+Projects!$D$42),Projects!$B$42*INDEX(Curves!$B$4:$AR$4,1,87-Projects!$C$42+1),0)+IF(AND(Projects!$G$43="Yes",87&gt;=Projects!$C$43,87&lt;Projects!$C$43+Projects!$D$43),Projects!$B$43*INDEX(Curves!$B$4:$AR$4,1,87-Projects!$C$43+1),0)+IF(AND(Projects!$G$44="Yes",87&gt;=Projects!$C$44,87&lt;Projects!$C$44+Projects!$D$44),Projects!$B$44*INDEX(Curves!$B$4:$AR$4,1,87-Projects!$C$44+1),0)+IF(AND(Projects!$G$45="Yes",87&gt;=Projects!$C$45,87&lt;Projects!$C$45+Projects!$D$45),Projects!$B$45*INDEX(Curves!$B$4:$AR$4,1,87-Projects!$C$45+1),0)+IF(AND(Projects!$G$46="Yes",87&gt;=Projects!$C$46,87&lt;Projects!$C$46+Projects!$D$46),Projects!$B$46*INDEX(Curves!$B$4:$AR$4,1,87-Projects!$C$46+1),0)</f>
        <v>0</v>
      </c>
      <c r="CO96" s="315" t="n">
        <f aca="false">IF(AND(Projects!$G$17="Yes",88&gt;=Projects!$C$17,88&lt;Projects!$C$17+Projects!$D$17),Projects!$B$17*INDEX(Curves!$B$4:$AR$4,1,88-Projects!$C$17+1),0)+IF(AND(Projects!$G$18="Yes",88&gt;=Projects!$C$18,88&lt;Projects!$C$18+Projects!$D$18),Projects!$B$18*INDEX(Curves!$B$4:$AR$4,1,88-Projects!$C$18+1),0)+IF(AND(Projects!$G$19="Yes",88&gt;=Projects!$C$19,88&lt;Projects!$C$19+Projects!$D$19),Projects!$B$19*INDEX(Curves!$B$4:$AR$4,1,88-Projects!$C$19+1),0)+IF(AND(Projects!$G$20="Yes",88&gt;=Projects!$C$20,88&lt;Projects!$C$20+Projects!$D$20),Projects!$B$20*INDEX(Curves!$B$4:$AR$4,1,88-Projects!$C$20+1),0)+IF(AND(Projects!$G$21="Yes",88&gt;=Projects!$C$21,88&lt;Projects!$C$21+Projects!$D$21),Projects!$B$21*INDEX(Curves!$B$4:$AR$4,1,88-Projects!$C$21+1),0)+IF(AND(Projects!$G$22="Yes",88&gt;=Projects!$C$22,88&lt;Projects!$C$22+Projects!$D$22),Projects!$B$22*INDEX(Curves!$B$4:$AR$4,1,88-Projects!$C$22+1),0)+IF(AND(Projects!$G$23="Yes",88&gt;=Projects!$C$23,88&lt;Projects!$C$23+Projects!$D$23),Projects!$B$23*INDEX(Curves!$B$4:$AR$4,1,88-Projects!$C$23+1),0)+IF(AND(Projects!$G$24="Yes",88&gt;=Projects!$C$24,88&lt;Projects!$C$24+Projects!$D$24),Projects!$B$24*INDEX(Curves!$B$4:$AR$4,1,88-Projects!$C$24+1),0)+IF(AND(Projects!$G$25="Yes",88&gt;=Projects!$C$25,88&lt;Projects!$C$25+Projects!$D$25),Projects!$B$25*INDEX(Curves!$B$4:$AR$4,1,88-Projects!$C$25+1),0)+IF(AND(Projects!$G$26="Yes",88&gt;=Projects!$C$26,88&lt;Projects!$C$26+Projects!$D$26),Projects!$B$26*INDEX(Curves!$B$4:$AR$4,1,88-Projects!$C$26+1),0)+IF(AND(Projects!$G$27="Yes",88&gt;=Projects!$C$27,88&lt;Projects!$C$27+Projects!$D$27),Projects!$B$27*INDEX(Curves!$B$4:$AR$4,1,88-Projects!$C$27+1),0)+IF(AND(Projects!$G$28="Yes",88&gt;=Projects!$C$28,88&lt;Projects!$C$28+Projects!$D$28),Projects!$B$28*INDEX(Curves!$B$4:$AR$4,1,88-Projects!$C$28+1),0)+IF(AND(Projects!$G$29="Yes",88&gt;=Projects!$C$29,88&lt;Projects!$C$29+Projects!$D$29),Projects!$B$29*INDEX(Curves!$B$4:$AR$4,1,88-Projects!$C$29+1),0)+IF(AND(Projects!$G$30="Yes",88&gt;=Projects!$C$30,88&lt;Projects!$C$30+Projects!$D$30),Projects!$B$30*INDEX(Curves!$B$4:$AR$4,1,88-Projects!$C$30+1),0)+IF(AND(Projects!$G$31="Yes",88&gt;=Projects!$C$31,88&lt;Projects!$C$31+Projects!$D$31),Projects!$B$31*INDEX(Curves!$B$4:$AR$4,1,88-Projects!$C$31+1),0)+IF(AND(Projects!$G$32="Yes",88&gt;=Projects!$C$32,88&lt;Projects!$C$32+Projects!$D$32),Projects!$B$32*INDEX(Curves!$B$4:$AR$4,1,88-Projects!$C$32+1),0)+IF(AND(Projects!$G$33="Yes",88&gt;=Projects!$C$33,88&lt;Projects!$C$33+Projects!$D$33),Projects!$B$33*INDEX(Curves!$B$4:$AR$4,1,88-Projects!$C$33+1),0)+IF(AND(Projects!$G$34="Yes",88&gt;=Projects!$C$34,88&lt;Projects!$C$34+Projects!$D$34),Projects!$B$34*INDEX(Curves!$B$4:$AR$4,1,88-Projects!$C$34+1),0)+IF(AND(Projects!$G$35="Yes",88&gt;=Projects!$C$35,88&lt;Projects!$C$35+Projects!$D$35),Projects!$B$35*INDEX(Curves!$B$4:$AR$4,1,88-Projects!$C$35+1),0)+IF(AND(Projects!$G$36="Yes",88&gt;=Projects!$C$36,88&lt;Projects!$C$36+Projects!$D$36),Projects!$B$36*INDEX(Curves!$B$4:$AR$4,1,88-Projects!$C$36+1),0)+IF(AND(Projects!$G$37="Yes",88&gt;=Projects!$C$37,88&lt;Projects!$C$37+Projects!$D$37),Projects!$B$37*INDEX(Curves!$B$4:$AR$4,1,88-Projects!$C$37+1),0)+IF(AND(Projects!$G$38="Yes",88&gt;=Projects!$C$38,88&lt;Projects!$C$38+Projects!$D$38),Projects!$B$38*INDEX(Curves!$B$4:$AR$4,1,88-Projects!$C$38+1),0)+IF(AND(Projects!$G$39="Yes",88&gt;=Projects!$C$39,88&lt;Projects!$C$39+Projects!$D$39),Projects!$B$39*INDEX(Curves!$B$4:$AR$4,1,88-Projects!$C$39+1),0)+IF(AND(Projects!$G$40="Yes",88&gt;=Projects!$C$40,88&lt;Projects!$C$40+Projects!$D$40),Projects!$B$40*INDEX(Curves!$B$4:$AR$4,1,88-Projects!$C$40+1),0)+IF(AND(Projects!$G$41="Yes",88&gt;=Projects!$C$41,88&lt;Projects!$C$41+Projects!$D$41),Projects!$B$41*INDEX(Curves!$B$4:$AR$4,1,88-Projects!$C$41+1),0)+IF(AND(Projects!$G$42="Yes",88&gt;=Projects!$C$42,88&lt;Projects!$C$42+Projects!$D$42),Projects!$B$42*INDEX(Curves!$B$4:$AR$4,1,88-Projects!$C$42+1),0)+IF(AND(Projects!$G$43="Yes",88&gt;=Projects!$C$43,88&lt;Projects!$C$43+Projects!$D$43),Projects!$B$43*INDEX(Curves!$B$4:$AR$4,1,88-Projects!$C$43+1),0)+IF(AND(Projects!$G$44="Yes",88&gt;=Projects!$C$44,88&lt;Projects!$C$44+Projects!$D$44),Projects!$B$44*INDEX(Curves!$B$4:$AR$4,1,88-Projects!$C$44+1),0)+IF(AND(Projects!$G$45="Yes",88&gt;=Projects!$C$45,88&lt;Projects!$C$45+Projects!$D$45),Projects!$B$45*INDEX(Curves!$B$4:$AR$4,1,88-Projects!$C$45+1),0)+IF(AND(Projects!$G$46="Yes",88&gt;=Projects!$C$46,88&lt;Projects!$C$46+Projects!$D$46),Projects!$B$46*INDEX(Curves!$B$4:$AR$4,1,88-Projects!$C$46+1),0)</f>
        <v>0</v>
      </c>
      <c r="CP96" s="315" t="n">
        <f aca="false">IF(AND(Projects!$G$17="Yes",89&gt;=Projects!$C$17,89&lt;Projects!$C$17+Projects!$D$17),Projects!$B$17*INDEX(Curves!$B$4:$AR$4,1,89-Projects!$C$17+1),0)+IF(AND(Projects!$G$18="Yes",89&gt;=Projects!$C$18,89&lt;Projects!$C$18+Projects!$D$18),Projects!$B$18*INDEX(Curves!$B$4:$AR$4,1,89-Projects!$C$18+1),0)+IF(AND(Projects!$G$19="Yes",89&gt;=Projects!$C$19,89&lt;Projects!$C$19+Projects!$D$19),Projects!$B$19*INDEX(Curves!$B$4:$AR$4,1,89-Projects!$C$19+1),0)+IF(AND(Projects!$G$20="Yes",89&gt;=Projects!$C$20,89&lt;Projects!$C$20+Projects!$D$20),Projects!$B$20*INDEX(Curves!$B$4:$AR$4,1,89-Projects!$C$20+1),0)+IF(AND(Projects!$G$21="Yes",89&gt;=Projects!$C$21,89&lt;Projects!$C$21+Projects!$D$21),Projects!$B$21*INDEX(Curves!$B$4:$AR$4,1,89-Projects!$C$21+1),0)+IF(AND(Projects!$G$22="Yes",89&gt;=Projects!$C$22,89&lt;Projects!$C$22+Projects!$D$22),Projects!$B$22*INDEX(Curves!$B$4:$AR$4,1,89-Projects!$C$22+1),0)+IF(AND(Projects!$G$23="Yes",89&gt;=Projects!$C$23,89&lt;Projects!$C$23+Projects!$D$23),Projects!$B$23*INDEX(Curves!$B$4:$AR$4,1,89-Projects!$C$23+1),0)+IF(AND(Projects!$G$24="Yes",89&gt;=Projects!$C$24,89&lt;Projects!$C$24+Projects!$D$24),Projects!$B$24*INDEX(Curves!$B$4:$AR$4,1,89-Projects!$C$24+1),0)+IF(AND(Projects!$G$25="Yes",89&gt;=Projects!$C$25,89&lt;Projects!$C$25+Projects!$D$25),Projects!$B$25*INDEX(Curves!$B$4:$AR$4,1,89-Projects!$C$25+1),0)+IF(AND(Projects!$G$26="Yes",89&gt;=Projects!$C$26,89&lt;Projects!$C$26+Projects!$D$26),Projects!$B$26*INDEX(Curves!$B$4:$AR$4,1,89-Projects!$C$26+1),0)+IF(AND(Projects!$G$27="Yes",89&gt;=Projects!$C$27,89&lt;Projects!$C$27+Projects!$D$27),Projects!$B$27*INDEX(Curves!$B$4:$AR$4,1,89-Projects!$C$27+1),0)+IF(AND(Projects!$G$28="Yes",89&gt;=Projects!$C$28,89&lt;Projects!$C$28+Projects!$D$28),Projects!$B$28*INDEX(Curves!$B$4:$AR$4,1,89-Projects!$C$28+1),0)+IF(AND(Projects!$G$29="Yes",89&gt;=Projects!$C$29,89&lt;Projects!$C$29+Projects!$D$29),Projects!$B$29*INDEX(Curves!$B$4:$AR$4,1,89-Projects!$C$29+1),0)+IF(AND(Projects!$G$30="Yes",89&gt;=Projects!$C$30,89&lt;Projects!$C$30+Projects!$D$30),Projects!$B$30*INDEX(Curves!$B$4:$AR$4,1,89-Projects!$C$30+1),0)+IF(AND(Projects!$G$31="Yes",89&gt;=Projects!$C$31,89&lt;Projects!$C$31+Projects!$D$31),Projects!$B$31*INDEX(Curves!$B$4:$AR$4,1,89-Projects!$C$31+1),0)+IF(AND(Projects!$G$32="Yes",89&gt;=Projects!$C$32,89&lt;Projects!$C$32+Projects!$D$32),Projects!$B$32*INDEX(Curves!$B$4:$AR$4,1,89-Projects!$C$32+1),0)+IF(AND(Projects!$G$33="Yes",89&gt;=Projects!$C$33,89&lt;Projects!$C$33+Projects!$D$33),Projects!$B$33*INDEX(Curves!$B$4:$AR$4,1,89-Projects!$C$33+1),0)+IF(AND(Projects!$G$34="Yes",89&gt;=Projects!$C$34,89&lt;Projects!$C$34+Projects!$D$34),Projects!$B$34*INDEX(Curves!$B$4:$AR$4,1,89-Projects!$C$34+1),0)+IF(AND(Projects!$G$35="Yes",89&gt;=Projects!$C$35,89&lt;Projects!$C$35+Projects!$D$35),Projects!$B$35*INDEX(Curves!$B$4:$AR$4,1,89-Projects!$C$35+1),0)+IF(AND(Projects!$G$36="Yes",89&gt;=Projects!$C$36,89&lt;Projects!$C$36+Projects!$D$36),Projects!$B$36*INDEX(Curves!$B$4:$AR$4,1,89-Projects!$C$36+1),0)+IF(AND(Projects!$G$37="Yes",89&gt;=Projects!$C$37,89&lt;Projects!$C$37+Projects!$D$37),Projects!$B$37*INDEX(Curves!$B$4:$AR$4,1,89-Projects!$C$37+1),0)+IF(AND(Projects!$G$38="Yes",89&gt;=Projects!$C$38,89&lt;Projects!$C$38+Projects!$D$38),Projects!$B$38*INDEX(Curves!$B$4:$AR$4,1,89-Projects!$C$38+1),0)+IF(AND(Projects!$G$39="Yes",89&gt;=Projects!$C$39,89&lt;Projects!$C$39+Projects!$D$39),Projects!$B$39*INDEX(Curves!$B$4:$AR$4,1,89-Projects!$C$39+1),0)+IF(AND(Projects!$G$40="Yes",89&gt;=Projects!$C$40,89&lt;Projects!$C$40+Projects!$D$40),Projects!$B$40*INDEX(Curves!$B$4:$AR$4,1,89-Projects!$C$40+1),0)+IF(AND(Projects!$G$41="Yes",89&gt;=Projects!$C$41,89&lt;Projects!$C$41+Projects!$D$41),Projects!$B$41*INDEX(Curves!$B$4:$AR$4,1,89-Projects!$C$41+1),0)+IF(AND(Projects!$G$42="Yes",89&gt;=Projects!$C$42,89&lt;Projects!$C$42+Projects!$D$42),Projects!$B$42*INDEX(Curves!$B$4:$AR$4,1,89-Projects!$C$42+1),0)+IF(AND(Projects!$G$43="Yes",89&gt;=Projects!$C$43,89&lt;Projects!$C$43+Projects!$D$43),Projects!$B$43*INDEX(Curves!$B$4:$AR$4,1,89-Projects!$C$43+1),0)+IF(AND(Projects!$G$44="Yes",89&gt;=Projects!$C$44,89&lt;Projects!$C$44+Projects!$D$44),Projects!$B$44*INDEX(Curves!$B$4:$AR$4,1,89-Projects!$C$44+1),0)+IF(AND(Projects!$G$45="Yes",89&gt;=Projects!$C$45,89&lt;Projects!$C$45+Projects!$D$45),Projects!$B$45*INDEX(Curves!$B$4:$AR$4,1,89-Projects!$C$45+1),0)+IF(AND(Projects!$G$46="Yes",89&gt;=Projects!$C$46,89&lt;Projects!$C$46+Projects!$D$46),Projects!$B$46*INDEX(Curves!$B$4:$AR$4,1,89-Projects!$C$46+1),0)</f>
        <v>0</v>
      </c>
      <c r="CQ96" s="315" t="n">
        <f aca="false">IF(AND(Projects!$G$17="Yes",90&gt;=Projects!$C$17,90&lt;Projects!$C$17+Projects!$D$17),Projects!$B$17*INDEX(Curves!$B$4:$AR$4,1,90-Projects!$C$17+1),0)+IF(AND(Projects!$G$18="Yes",90&gt;=Projects!$C$18,90&lt;Projects!$C$18+Projects!$D$18),Projects!$B$18*INDEX(Curves!$B$4:$AR$4,1,90-Projects!$C$18+1),0)+IF(AND(Projects!$G$19="Yes",90&gt;=Projects!$C$19,90&lt;Projects!$C$19+Projects!$D$19),Projects!$B$19*INDEX(Curves!$B$4:$AR$4,1,90-Projects!$C$19+1),0)+IF(AND(Projects!$G$20="Yes",90&gt;=Projects!$C$20,90&lt;Projects!$C$20+Projects!$D$20),Projects!$B$20*INDEX(Curves!$B$4:$AR$4,1,90-Projects!$C$20+1),0)+IF(AND(Projects!$G$21="Yes",90&gt;=Projects!$C$21,90&lt;Projects!$C$21+Projects!$D$21),Projects!$B$21*INDEX(Curves!$B$4:$AR$4,1,90-Projects!$C$21+1),0)+IF(AND(Projects!$G$22="Yes",90&gt;=Projects!$C$22,90&lt;Projects!$C$22+Projects!$D$22),Projects!$B$22*INDEX(Curves!$B$4:$AR$4,1,90-Projects!$C$22+1),0)+IF(AND(Projects!$G$23="Yes",90&gt;=Projects!$C$23,90&lt;Projects!$C$23+Projects!$D$23),Projects!$B$23*INDEX(Curves!$B$4:$AR$4,1,90-Projects!$C$23+1),0)+IF(AND(Projects!$G$24="Yes",90&gt;=Projects!$C$24,90&lt;Projects!$C$24+Projects!$D$24),Projects!$B$24*INDEX(Curves!$B$4:$AR$4,1,90-Projects!$C$24+1),0)+IF(AND(Projects!$G$25="Yes",90&gt;=Projects!$C$25,90&lt;Projects!$C$25+Projects!$D$25),Projects!$B$25*INDEX(Curves!$B$4:$AR$4,1,90-Projects!$C$25+1),0)+IF(AND(Projects!$G$26="Yes",90&gt;=Projects!$C$26,90&lt;Projects!$C$26+Projects!$D$26),Projects!$B$26*INDEX(Curves!$B$4:$AR$4,1,90-Projects!$C$26+1),0)+IF(AND(Projects!$G$27="Yes",90&gt;=Projects!$C$27,90&lt;Projects!$C$27+Projects!$D$27),Projects!$B$27*INDEX(Curves!$B$4:$AR$4,1,90-Projects!$C$27+1),0)+IF(AND(Projects!$G$28="Yes",90&gt;=Projects!$C$28,90&lt;Projects!$C$28+Projects!$D$28),Projects!$B$28*INDEX(Curves!$B$4:$AR$4,1,90-Projects!$C$28+1),0)+IF(AND(Projects!$G$29="Yes",90&gt;=Projects!$C$29,90&lt;Projects!$C$29+Projects!$D$29),Projects!$B$29*INDEX(Curves!$B$4:$AR$4,1,90-Projects!$C$29+1),0)+IF(AND(Projects!$G$30="Yes",90&gt;=Projects!$C$30,90&lt;Projects!$C$30+Projects!$D$30),Projects!$B$30*INDEX(Curves!$B$4:$AR$4,1,90-Projects!$C$30+1),0)+IF(AND(Projects!$G$31="Yes",90&gt;=Projects!$C$31,90&lt;Projects!$C$31+Projects!$D$31),Projects!$B$31*INDEX(Curves!$B$4:$AR$4,1,90-Projects!$C$31+1),0)+IF(AND(Projects!$G$32="Yes",90&gt;=Projects!$C$32,90&lt;Projects!$C$32+Projects!$D$32),Projects!$B$32*INDEX(Curves!$B$4:$AR$4,1,90-Projects!$C$32+1),0)+IF(AND(Projects!$G$33="Yes",90&gt;=Projects!$C$33,90&lt;Projects!$C$33+Projects!$D$33),Projects!$B$33*INDEX(Curves!$B$4:$AR$4,1,90-Projects!$C$33+1),0)+IF(AND(Projects!$G$34="Yes",90&gt;=Projects!$C$34,90&lt;Projects!$C$34+Projects!$D$34),Projects!$B$34*INDEX(Curves!$B$4:$AR$4,1,90-Projects!$C$34+1),0)+IF(AND(Projects!$G$35="Yes",90&gt;=Projects!$C$35,90&lt;Projects!$C$35+Projects!$D$35),Projects!$B$35*INDEX(Curves!$B$4:$AR$4,1,90-Projects!$C$35+1),0)+IF(AND(Projects!$G$36="Yes",90&gt;=Projects!$C$36,90&lt;Projects!$C$36+Projects!$D$36),Projects!$B$36*INDEX(Curves!$B$4:$AR$4,1,90-Projects!$C$36+1),0)+IF(AND(Projects!$G$37="Yes",90&gt;=Projects!$C$37,90&lt;Projects!$C$37+Projects!$D$37),Projects!$B$37*INDEX(Curves!$B$4:$AR$4,1,90-Projects!$C$37+1),0)+IF(AND(Projects!$G$38="Yes",90&gt;=Projects!$C$38,90&lt;Projects!$C$38+Projects!$D$38),Projects!$B$38*INDEX(Curves!$B$4:$AR$4,1,90-Projects!$C$38+1),0)+IF(AND(Projects!$G$39="Yes",90&gt;=Projects!$C$39,90&lt;Projects!$C$39+Projects!$D$39),Projects!$B$39*INDEX(Curves!$B$4:$AR$4,1,90-Projects!$C$39+1),0)+IF(AND(Projects!$G$40="Yes",90&gt;=Projects!$C$40,90&lt;Projects!$C$40+Projects!$D$40),Projects!$B$40*INDEX(Curves!$B$4:$AR$4,1,90-Projects!$C$40+1),0)+IF(AND(Projects!$G$41="Yes",90&gt;=Projects!$C$41,90&lt;Projects!$C$41+Projects!$D$41),Projects!$B$41*INDEX(Curves!$B$4:$AR$4,1,90-Projects!$C$41+1),0)+IF(AND(Projects!$G$42="Yes",90&gt;=Projects!$C$42,90&lt;Projects!$C$42+Projects!$D$42),Projects!$B$42*INDEX(Curves!$B$4:$AR$4,1,90-Projects!$C$42+1),0)+IF(AND(Projects!$G$43="Yes",90&gt;=Projects!$C$43,90&lt;Projects!$C$43+Projects!$D$43),Projects!$B$43*INDEX(Curves!$B$4:$AR$4,1,90-Projects!$C$43+1),0)+IF(AND(Projects!$G$44="Yes",90&gt;=Projects!$C$44,90&lt;Projects!$C$44+Projects!$D$44),Projects!$B$44*INDEX(Curves!$B$4:$AR$4,1,90-Projects!$C$44+1),0)+IF(AND(Projects!$G$45="Yes",90&gt;=Projects!$C$45,90&lt;Projects!$C$45+Projects!$D$45),Projects!$B$45*INDEX(Curves!$B$4:$AR$4,1,90-Projects!$C$45+1),0)+IF(AND(Projects!$G$46="Yes",90&gt;=Projects!$C$46,90&lt;Projects!$C$46+Projects!$D$46),Projects!$B$46*INDEX(Curves!$B$4:$AR$4,1,90-Projects!$C$46+1),0)</f>
        <v>0</v>
      </c>
      <c r="CR96" s="315" t="n">
        <f aca="false">IF(AND(Projects!$G$17="Yes",91&gt;=Projects!$C$17,91&lt;Projects!$C$17+Projects!$D$17),Projects!$B$17*INDEX(Curves!$B$4:$AR$4,1,91-Projects!$C$17+1),0)+IF(AND(Projects!$G$18="Yes",91&gt;=Projects!$C$18,91&lt;Projects!$C$18+Projects!$D$18),Projects!$B$18*INDEX(Curves!$B$4:$AR$4,1,91-Projects!$C$18+1),0)+IF(AND(Projects!$G$19="Yes",91&gt;=Projects!$C$19,91&lt;Projects!$C$19+Projects!$D$19),Projects!$B$19*INDEX(Curves!$B$4:$AR$4,1,91-Projects!$C$19+1),0)+IF(AND(Projects!$G$20="Yes",91&gt;=Projects!$C$20,91&lt;Projects!$C$20+Projects!$D$20),Projects!$B$20*INDEX(Curves!$B$4:$AR$4,1,91-Projects!$C$20+1),0)+IF(AND(Projects!$G$21="Yes",91&gt;=Projects!$C$21,91&lt;Projects!$C$21+Projects!$D$21),Projects!$B$21*INDEX(Curves!$B$4:$AR$4,1,91-Projects!$C$21+1),0)+IF(AND(Projects!$G$22="Yes",91&gt;=Projects!$C$22,91&lt;Projects!$C$22+Projects!$D$22),Projects!$B$22*INDEX(Curves!$B$4:$AR$4,1,91-Projects!$C$22+1),0)+IF(AND(Projects!$G$23="Yes",91&gt;=Projects!$C$23,91&lt;Projects!$C$23+Projects!$D$23),Projects!$B$23*INDEX(Curves!$B$4:$AR$4,1,91-Projects!$C$23+1),0)+IF(AND(Projects!$G$24="Yes",91&gt;=Projects!$C$24,91&lt;Projects!$C$24+Projects!$D$24),Projects!$B$24*INDEX(Curves!$B$4:$AR$4,1,91-Projects!$C$24+1),0)+IF(AND(Projects!$G$25="Yes",91&gt;=Projects!$C$25,91&lt;Projects!$C$25+Projects!$D$25),Projects!$B$25*INDEX(Curves!$B$4:$AR$4,1,91-Projects!$C$25+1),0)+IF(AND(Projects!$G$26="Yes",91&gt;=Projects!$C$26,91&lt;Projects!$C$26+Projects!$D$26),Projects!$B$26*INDEX(Curves!$B$4:$AR$4,1,91-Projects!$C$26+1),0)+IF(AND(Projects!$G$27="Yes",91&gt;=Projects!$C$27,91&lt;Projects!$C$27+Projects!$D$27),Projects!$B$27*INDEX(Curves!$B$4:$AR$4,1,91-Projects!$C$27+1),0)+IF(AND(Projects!$G$28="Yes",91&gt;=Projects!$C$28,91&lt;Projects!$C$28+Projects!$D$28),Projects!$B$28*INDEX(Curves!$B$4:$AR$4,1,91-Projects!$C$28+1),0)+IF(AND(Projects!$G$29="Yes",91&gt;=Projects!$C$29,91&lt;Projects!$C$29+Projects!$D$29),Projects!$B$29*INDEX(Curves!$B$4:$AR$4,1,91-Projects!$C$29+1),0)+IF(AND(Projects!$G$30="Yes",91&gt;=Projects!$C$30,91&lt;Projects!$C$30+Projects!$D$30),Projects!$B$30*INDEX(Curves!$B$4:$AR$4,1,91-Projects!$C$30+1),0)+IF(AND(Projects!$G$31="Yes",91&gt;=Projects!$C$31,91&lt;Projects!$C$31+Projects!$D$31),Projects!$B$31*INDEX(Curves!$B$4:$AR$4,1,91-Projects!$C$31+1),0)+IF(AND(Projects!$G$32="Yes",91&gt;=Projects!$C$32,91&lt;Projects!$C$32+Projects!$D$32),Projects!$B$32*INDEX(Curves!$B$4:$AR$4,1,91-Projects!$C$32+1),0)+IF(AND(Projects!$G$33="Yes",91&gt;=Projects!$C$33,91&lt;Projects!$C$33+Projects!$D$33),Projects!$B$33*INDEX(Curves!$B$4:$AR$4,1,91-Projects!$C$33+1),0)+IF(AND(Projects!$G$34="Yes",91&gt;=Projects!$C$34,91&lt;Projects!$C$34+Projects!$D$34),Projects!$B$34*INDEX(Curves!$B$4:$AR$4,1,91-Projects!$C$34+1),0)+IF(AND(Projects!$G$35="Yes",91&gt;=Projects!$C$35,91&lt;Projects!$C$35+Projects!$D$35),Projects!$B$35*INDEX(Curves!$B$4:$AR$4,1,91-Projects!$C$35+1),0)+IF(AND(Projects!$G$36="Yes",91&gt;=Projects!$C$36,91&lt;Projects!$C$36+Projects!$D$36),Projects!$B$36*INDEX(Curves!$B$4:$AR$4,1,91-Projects!$C$36+1),0)+IF(AND(Projects!$G$37="Yes",91&gt;=Projects!$C$37,91&lt;Projects!$C$37+Projects!$D$37),Projects!$B$37*INDEX(Curves!$B$4:$AR$4,1,91-Projects!$C$37+1),0)+IF(AND(Projects!$G$38="Yes",91&gt;=Projects!$C$38,91&lt;Projects!$C$38+Projects!$D$38),Projects!$B$38*INDEX(Curves!$B$4:$AR$4,1,91-Projects!$C$38+1),0)+IF(AND(Projects!$G$39="Yes",91&gt;=Projects!$C$39,91&lt;Projects!$C$39+Projects!$D$39),Projects!$B$39*INDEX(Curves!$B$4:$AR$4,1,91-Projects!$C$39+1),0)+IF(AND(Projects!$G$40="Yes",91&gt;=Projects!$C$40,91&lt;Projects!$C$40+Projects!$D$40),Projects!$B$40*INDEX(Curves!$B$4:$AR$4,1,91-Projects!$C$40+1),0)+IF(AND(Projects!$G$41="Yes",91&gt;=Projects!$C$41,91&lt;Projects!$C$41+Projects!$D$41),Projects!$B$41*INDEX(Curves!$B$4:$AR$4,1,91-Projects!$C$41+1),0)+IF(AND(Projects!$G$42="Yes",91&gt;=Projects!$C$42,91&lt;Projects!$C$42+Projects!$D$42),Projects!$B$42*INDEX(Curves!$B$4:$AR$4,1,91-Projects!$C$42+1),0)+IF(AND(Projects!$G$43="Yes",91&gt;=Projects!$C$43,91&lt;Projects!$C$43+Projects!$D$43),Projects!$B$43*INDEX(Curves!$B$4:$AR$4,1,91-Projects!$C$43+1),0)+IF(AND(Projects!$G$44="Yes",91&gt;=Projects!$C$44,91&lt;Projects!$C$44+Projects!$D$44),Projects!$B$44*INDEX(Curves!$B$4:$AR$4,1,91-Projects!$C$44+1),0)+IF(AND(Projects!$G$45="Yes",91&gt;=Projects!$C$45,91&lt;Projects!$C$45+Projects!$D$45),Projects!$B$45*INDEX(Curves!$B$4:$AR$4,1,91-Projects!$C$45+1),0)+IF(AND(Projects!$G$46="Yes",91&gt;=Projects!$C$46,91&lt;Projects!$C$46+Projects!$D$46),Projects!$B$46*INDEX(Curves!$B$4:$AR$4,1,91-Projects!$C$46+1),0)</f>
        <v>0</v>
      </c>
      <c r="CS96" s="315" t="n">
        <f aca="false">IF(AND(Projects!$G$17="Yes",92&gt;=Projects!$C$17,92&lt;Projects!$C$17+Projects!$D$17),Projects!$B$17*INDEX(Curves!$B$4:$AR$4,1,92-Projects!$C$17+1),0)+IF(AND(Projects!$G$18="Yes",92&gt;=Projects!$C$18,92&lt;Projects!$C$18+Projects!$D$18),Projects!$B$18*INDEX(Curves!$B$4:$AR$4,1,92-Projects!$C$18+1),0)+IF(AND(Projects!$G$19="Yes",92&gt;=Projects!$C$19,92&lt;Projects!$C$19+Projects!$D$19),Projects!$B$19*INDEX(Curves!$B$4:$AR$4,1,92-Projects!$C$19+1),0)+IF(AND(Projects!$G$20="Yes",92&gt;=Projects!$C$20,92&lt;Projects!$C$20+Projects!$D$20),Projects!$B$20*INDEX(Curves!$B$4:$AR$4,1,92-Projects!$C$20+1),0)+IF(AND(Projects!$G$21="Yes",92&gt;=Projects!$C$21,92&lt;Projects!$C$21+Projects!$D$21),Projects!$B$21*INDEX(Curves!$B$4:$AR$4,1,92-Projects!$C$21+1),0)+IF(AND(Projects!$G$22="Yes",92&gt;=Projects!$C$22,92&lt;Projects!$C$22+Projects!$D$22),Projects!$B$22*INDEX(Curves!$B$4:$AR$4,1,92-Projects!$C$22+1),0)+IF(AND(Projects!$G$23="Yes",92&gt;=Projects!$C$23,92&lt;Projects!$C$23+Projects!$D$23),Projects!$B$23*INDEX(Curves!$B$4:$AR$4,1,92-Projects!$C$23+1),0)+IF(AND(Projects!$G$24="Yes",92&gt;=Projects!$C$24,92&lt;Projects!$C$24+Projects!$D$24),Projects!$B$24*INDEX(Curves!$B$4:$AR$4,1,92-Projects!$C$24+1),0)+IF(AND(Projects!$G$25="Yes",92&gt;=Projects!$C$25,92&lt;Projects!$C$25+Projects!$D$25),Projects!$B$25*INDEX(Curves!$B$4:$AR$4,1,92-Projects!$C$25+1),0)+IF(AND(Projects!$G$26="Yes",92&gt;=Projects!$C$26,92&lt;Projects!$C$26+Projects!$D$26),Projects!$B$26*INDEX(Curves!$B$4:$AR$4,1,92-Projects!$C$26+1),0)+IF(AND(Projects!$G$27="Yes",92&gt;=Projects!$C$27,92&lt;Projects!$C$27+Projects!$D$27),Projects!$B$27*INDEX(Curves!$B$4:$AR$4,1,92-Projects!$C$27+1),0)+IF(AND(Projects!$G$28="Yes",92&gt;=Projects!$C$28,92&lt;Projects!$C$28+Projects!$D$28),Projects!$B$28*INDEX(Curves!$B$4:$AR$4,1,92-Projects!$C$28+1),0)+IF(AND(Projects!$G$29="Yes",92&gt;=Projects!$C$29,92&lt;Projects!$C$29+Projects!$D$29),Projects!$B$29*INDEX(Curves!$B$4:$AR$4,1,92-Projects!$C$29+1),0)+IF(AND(Projects!$G$30="Yes",92&gt;=Projects!$C$30,92&lt;Projects!$C$30+Projects!$D$30),Projects!$B$30*INDEX(Curves!$B$4:$AR$4,1,92-Projects!$C$30+1),0)+IF(AND(Projects!$G$31="Yes",92&gt;=Projects!$C$31,92&lt;Projects!$C$31+Projects!$D$31),Projects!$B$31*INDEX(Curves!$B$4:$AR$4,1,92-Projects!$C$31+1),0)+IF(AND(Projects!$G$32="Yes",92&gt;=Projects!$C$32,92&lt;Projects!$C$32+Projects!$D$32),Projects!$B$32*INDEX(Curves!$B$4:$AR$4,1,92-Projects!$C$32+1),0)+IF(AND(Projects!$G$33="Yes",92&gt;=Projects!$C$33,92&lt;Projects!$C$33+Projects!$D$33),Projects!$B$33*INDEX(Curves!$B$4:$AR$4,1,92-Projects!$C$33+1),0)+IF(AND(Projects!$G$34="Yes",92&gt;=Projects!$C$34,92&lt;Projects!$C$34+Projects!$D$34),Projects!$B$34*INDEX(Curves!$B$4:$AR$4,1,92-Projects!$C$34+1),0)+IF(AND(Projects!$G$35="Yes",92&gt;=Projects!$C$35,92&lt;Projects!$C$35+Projects!$D$35),Projects!$B$35*INDEX(Curves!$B$4:$AR$4,1,92-Projects!$C$35+1),0)+IF(AND(Projects!$G$36="Yes",92&gt;=Projects!$C$36,92&lt;Projects!$C$36+Projects!$D$36),Projects!$B$36*INDEX(Curves!$B$4:$AR$4,1,92-Projects!$C$36+1),0)+IF(AND(Projects!$G$37="Yes",92&gt;=Projects!$C$37,92&lt;Projects!$C$37+Projects!$D$37),Projects!$B$37*INDEX(Curves!$B$4:$AR$4,1,92-Projects!$C$37+1),0)+IF(AND(Projects!$G$38="Yes",92&gt;=Projects!$C$38,92&lt;Projects!$C$38+Projects!$D$38),Projects!$B$38*INDEX(Curves!$B$4:$AR$4,1,92-Projects!$C$38+1),0)+IF(AND(Projects!$G$39="Yes",92&gt;=Projects!$C$39,92&lt;Projects!$C$39+Projects!$D$39),Projects!$B$39*INDEX(Curves!$B$4:$AR$4,1,92-Projects!$C$39+1),0)+IF(AND(Projects!$G$40="Yes",92&gt;=Projects!$C$40,92&lt;Projects!$C$40+Projects!$D$40),Projects!$B$40*INDEX(Curves!$B$4:$AR$4,1,92-Projects!$C$40+1),0)+IF(AND(Projects!$G$41="Yes",92&gt;=Projects!$C$41,92&lt;Projects!$C$41+Projects!$D$41),Projects!$B$41*INDEX(Curves!$B$4:$AR$4,1,92-Projects!$C$41+1),0)+IF(AND(Projects!$G$42="Yes",92&gt;=Projects!$C$42,92&lt;Projects!$C$42+Projects!$D$42),Projects!$B$42*INDEX(Curves!$B$4:$AR$4,1,92-Projects!$C$42+1),0)+IF(AND(Projects!$G$43="Yes",92&gt;=Projects!$C$43,92&lt;Projects!$C$43+Projects!$D$43),Projects!$B$43*INDEX(Curves!$B$4:$AR$4,1,92-Projects!$C$43+1),0)+IF(AND(Projects!$G$44="Yes",92&gt;=Projects!$C$44,92&lt;Projects!$C$44+Projects!$D$44),Projects!$B$44*INDEX(Curves!$B$4:$AR$4,1,92-Projects!$C$44+1),0)+IF(AND(Projects!$G$45="Yes",92&gt;=Projects!$C$45,92&lt;Projects!$C$45+Projects!$D$45),Projects!$B$45*INDEX(Curves!$B$4:$AR$4,1,92-Projects!$C$45+1),0)+IF(AND(Projects!$G$46="Yes",92&gt;=Projects!$C$46,92&lt;Projects!$C$46+Projects!$D$46),Projects!$B$46*INDEX(Curves!$B$4:$AR$4,1,92-Projects!$C$46+1),0)</f>
        <v>0</v>
      </c>
      <c r="CT96" s="315" t="n">
        <f aca="false">IF(AND(Projects!$G$17="Yes",93&gt;=Projects!$C$17,93&lt;Projects!$C$17+Projects!$D$17),Projects!$B$17*INDEX(Curves!$B$4:$AR$4,1,93-Projects!$C$17+1),0)+IF(AND(Projects!$G$18="Yes",93&gt;=Projects!$C$18,93&lt;Projects!$C$18+Projects!$D$18),Projects!$B$18*INDEX(Curves!$B$4:$AR$4,1,93-Projects!$C$18+1),0)+IF(AND(Projects!$G$19="Yes",93&gt;=Projects!$C$19,93&lt;Projects!$C$19+Projects!$D$19),Projects!$B$19*INDEX(Curves!$B$4:$AR$4,1,93-Projects!$C$19+1),0)+IF(AND(Projects!$G$20="Yes",93&gt;=Projects!$C$20,93&lt;Projects!$C$20+Projects!$D$20),Projects!$B$20*INDEX(Curves!$B$4:$AR$4,1,93-Projects!$C$20+1),0)+IF(AND(Projects!$G$21="Yes",93&gt;=Projects!$C$21,93&lt;Projects!$C$21+Projects!$D$21),Projects!$B$21*INDEX(Curves!$B$4:$AR$4,1,93-Projects!$C$21+1),0)+IF(AND(Projects!$G$22="Yes",93&gt;=Projects!$C$22,93&lt;Projects!$C$22+Projects!$D$22),Projects!$B$22*INDEX(Curves!$B$4:$AR$4,1,93-Projects!$C$22+1),0)+IF(AND(Projects!$G$23="Yes",93&gt;=Projects!$C$23,93&lt;Projects!$C$23+Projects!$D$23),Projects!$B$23*INDEX(Curves!$B$4:$AR$4,1,93-Projects!$C$23+1),0)+IF(AND(Projects!$G$24="Yes",93&gt;=Projects!$C$24,93&lt;Projects!$C$24+Projects!$D$24),Projects!$B$24*INDEX(Curves!$B$4:$AR$4,1,93-Projects!$C$24+1),0)+IF(AND(Projects!$G$25="Yes",93&gt;=Projects!$C$25,93&lt;Projects!$C$25+Projects!$D$25),Projects!$B$25*INDEX(Curves!$B$4:$AR$4,1,93-Projects!$C$25+1),0)+IF(AND(Projects!$G$26="Yes",93&gt;=Projects!$C$26,93&lt;Projects!$C$26+Projects!$D$26),Projects!$B$26*INDEX(Curves!$B$4:$AR$4,1,93-Projects!$C$26+1),0)+IF(AND(Projects!$G$27="Yes",93&gt;=Projects!$C$27,93&lt;Projects!$C$27+Projects!$D$27),Projects!$B$27*INDEX(Curves!$B$4:$AR$4,1,93-Projects!$C$27+1),0)+IF(AND(Projects!$G$28="Yes",93&gt;=Projects!$C$28,93&lt;Projects!$C$28+Projects!$D$28),Projects!$B$28*INDEX(Curves!$B$4:$AR$4,1,93-Projects!$C$28+1),0)+IF(AND(Projects!$G$29="Yes",93&gt;=Projects!$C$29,93&lt;Projects!$C$29+Projects!$D$29),Projects!$B$29*INDEX(Curves!$B$4:$AR$4,1,93-Projects!$C$29+1),0)+IF(AND(Projects!$G$30="Yes",93&gt;=Projects!$C$30,93&lt;Projects!$C$30+Projects!$D$30),Projects!$B$30*INDEX(Curves!$B$4:$AR$4,1,93-Projects!$C$30+1),0)+IF(AND(Projects!$G$31="Yes",93&gt;=Projects!$C$31,93&lt;Projects!$C$31+Projects!$D$31),Projects!$B$31*INDEX(Curves!$B$4:$AR$4,1,93-Projects!$C$31+1),0)+IF(AND(Projects!$G$32="Yes",93&gt;=Projects!$C$32,93&lt;Projects!$C$32+Projects!$D$32),Projects!$B$32*INDEX(Curves!$B$4:$AR$4,1,93-Projects!$C$32+1),0)+IF(AND(Projects!$G$33="Yes",93&gt;=Projects!$C$33,93&lt;Projects!$C$33+Projects!$D$33),Projects!$B$33*INDEX(Curves!$B$4:$AR$4,1,93-Projects!$C$33+1),0)+IF(AND(Projects!$G$34="Yes",93&gt;=Projects!$C$34,93&lt;Projects!$C$34+Projects!$D$34),Projects!$B$34*INDEX(Curves!$B$4:$AR$4,1,93-Projects!$C$34+1),0)+IF(AND(Projects!$G$35="Yes",93&gt;=Projects!$C$35,93&lt;Projects!$C$35+Projects!$D$35),Projects!$B$35*INDEX(Curves!$B$4:$AR$4,1,93-Projects!$C$35+1),0)+IF(AND(Projects!$G$36="Yes",93&gt;=Projects!$C$36,93&lt;Projects!$C$36+Projects!$D$36),Projects!$B$36*INDEX(Curves!$B$4:$AR$4,1,93-Projects!$C$36+1),0)+IF(AND(Projects!$G$37="Yes",93&gt;=Projects!$C$37,93&lt;Projects!$C$37+Projects!$D$37),Projects!$B$37*INDEX(Curves!$B$4:$AR$4,1,93-Projects!$C$37+1),0)+IF(AND(Projects!$G$38="Yes",93&gt;=Projects!$C$38,93&lt;Projects!$C$38+Projects!$D$38),Projects!$B$38*INDEX(Curves!$B$4:$AR$4,1,93-Projects!$C$38+1),0)+IF(AND(Projects!$G$39="Yes",93&gt;=Projects!$C$39,93&lt;Projects!$C$39+Projects!$D$39),Projects!$B$39*INDEX(Curves!$B$4:$AR$4,1,93-Projects!$C$39+1),0)+IF(AND(Projects!$G$40="Yes",93&gt;=Projects!$C$40,93&lt;Projects!$C$40+Projects!$D$40),Projects!$B$40*INDEX(Curves!$B$4:$AR$4,1,93-Projects!$C$40+1),0)+IF(AND(Projects!$G$41="Yes",93&gt;=Projects!$C$41,93&lt;Projects!$C$41+Projects!$D$41),Projects!$B$41*INDEX(Curves!$B$4:$AR$4,1,93-Projects!$C$41+1),0)+IF(AND(Projects!$G$42="Yes",93&gt;=Projects!$C$42,93&lt;Projects!$C$42+Projects!$D$42),Projects!$B$42*INDEX(Curves!$B$4:$AR$4,1,93-Projects!$C$42+1),0)+IF(AND(Projects!$G$43="Yes",93&gt;=Projects!$C$43,93&lt;Projects!$C$43+Projects!$D$43),Projects!$B$43*INDEX(Curves!$B$4:$AR$4,1,93-Projects!$C$43+1),0)+IF(AND(Projects!$G$44="Yes",93&gt;=Projects!$C$44,93&lt;Projects!$C$44+Projects!$D$44),Projects!$B$44*INDEX(Curves!$B$4:$AR$4,1,93-Projects!$C$44+1),0)+IF(AND(Projects!$G$45="Yes",93&gt;=Projects!$C$45,93&lt;Projects!$C$45+Projects!$D$45),Projects!$B$45*INDEX(Curves!$B$4:$AR$4,1,93-Projects!$C$45+1),0)+IF(AND(Projects!$G$46="Yes",93&gt;=Projects!$C$46,93&lt;Projects!$C$46+Projects!$D$46),Projects!$B$46*INDEX(Curves!$B$4:$AR$4,1,93-Projects!$C$46+1),0)</f>
        <v>0</v>
      </c>
      <c r="CU96" s="315" t="n">
        <f aca="false">IF(AND(Projects!$G$17="Yes",94&gt;=Projects!$C$17,94&lt;Projects!$C$17+Projects!$D$17),Projects!$B$17*INDEX(Curves!$B$4:$AR$4,1,94-Projects!$C$17+1),0)+IF(AND(Projects!$G$18="Yes",94&gt;=Projects!$C$18,94&lt;Projects!$C$18+Projects!$D$18),Projects!$B$18*INDEX(Curves!$B$4:$AR$4,1,94-Projects!$C$18+1),0)+IF(AND(Projects!$G$19="Yes",94&gt;=Projects!$C$19,94&lt;Projects!$C$19+Projects!$D$19),Projects!$B$19*INDEX(Curves!$B$4:$AR$4,1,94-Projects!$C$19+1),0)+IF(AND(Projects!$G$20="Yes",94&gt;=Projects!$C$20,94&lt;Projects!$C$20+Projects!$D$20),Projects!$B$20*INDEX(Curves!$B$4:$AR$4,1,94-Projects!$C$20+1),0)+IF(AND(Projects!$G$21="Yes",94&gt;=Projects!$C$21,94&lt;Projects!$C$21+Projects!$D$21),Projects!$B$21*INDEX(Curves!$B$4:$AR$4,1,94-Projects!$C$21+1),0)+IF(AND(Projects!$G$22="Yes",94&gt;=Projects!$C$22,94&lt;Projects!$C$22+Projects!$D$22),Projects!$B$22*INDEX(Curves!$B$4:$AR$4,1,94-Projects!$C$22+1),0)+IF(AND(Projects!$G$23="Yes",94&gt;=Projects!$C$23,94&lt;Projects!$C$23+Projects!$D$23),Projects!$B$23*INDEX(Curves!$B$4:$AR$4,1,94-Projects!$C$23+1),0)+IF(AND(Projects!$G$24="Yes",94&gt;=Projects!$C$24,94&lt;Projects!$C$24+Projects!$D$24),Projects!$B$24*INDEX(Curves!$B$4:$AR$4,1,94-Projects!$C$24+1),0)+IF(AND(Projects!$G$25="Yes",94&gt;=Projects!$C$25,94&lt;Projects!$C$25+Projects!$D$25),Projects!$B$25*INDEX(Curves!$B$4:$AR$4,1,94-Projects!$C$25+1),0)+IF(AND(Projects!$G$26="Yes",94&gt;=Projects!$C$26,94&lt;Projects!$C$26+Projects!$D$26),Projects!$B$26*INDEX(Curves!$B$4:$AR$4,1,94-Projects!$C$26+1),0)+IF(AND(Projects!$G$27="Yes",94&gt;=Projects!$C$27,94&lt;Projects!$C$27+Projects!$D$27),Projects!$B$27*INDEX(Curves!$B$4:$AR$4,1,94-Projects!$C$27+1),0)+IF(AND(Projects!$G$28="Yes",94&gt;=Projects!$C$28,94&lt;Projects!$C$28+Projects!$D$28),Projects!$B$28*INDEX(Curves!$B$4:$AR$4,1,94-Projects!$C$28+1),0)+IF(AND(Projects!$G$29="Yes",94&gt;=Projects!$C$29,94&lt;Projects!$C$29+Projects!$D$29),Projects!$B$29*INDEX(Curves!$B$4:$AR$4,1,94-Projects!$C$29+1),0)+IF(AND(Projects!$G$30="Yes",94&gt;=Projects!$C$30,94&lt;Projects!$C$30+Projects!$D$30),Projects!$B$30*INDEX(Curves!$B$4:$AR$4,1,94-Projects!$C$30+1),0)+IF(AND(Projects!$G$31="Yes",94&gt;=Projects!$C$31,94&lt;Projects!$C$31+Projects!$D$31),Projects!$B$31*INDEX(Curves!$B$4:$AR$4,1,94-Projects!$C$31+1),0)+IF(AND(Projects!$G$32="Yes",94&gt;=Projects!$C$32,94&lt;Projects!$C$32+Projects!$D$32),Projects!$B$32*INDEX(Curves!$B$4:$AR$4,1,94-Projects!$C$32+1),0)+IF(AND(Projects!$G$33="Yes",94&gt;=Projects!$C$33,94&lt;Projects!$C$33+Projects!$D$33),Projects!$B$33*INDEX(Curves!$B$4:$AR$4,1,94-Projects!$C$33+1),0)+IF(AND(Projects!$G$34="Yes",94&gt;=Projects!$C$34,94&lt;Projects!$C$34+Projects!$D$34),Projects!$B$34*INDEX(Curves!$B$4:$AR$4,1,94-Projects!$C$34+1),0)+IF(AND(Projects!$G$35="Yes",94&gt;=Projects!$C$35,94&lt;Projects!$C$35+Projects!$D$35),Projects!$B$35*INDEX(Curves!$B$4:$AR$4,1,94-Projects!$C$35+1),0)+IF(AND(Projects!$G$36="Yes",94&gt;=Projects!$C$36,94&lt;Projects!$C$36+Projects!$D$36),Projects!$B$36*INDEX(Curves!$B$4:$AR$4,1,94-Projects!$C$36+1),0)+IF(AND(Projects!$G$37="Yes",94&gt;=Projects!$C$37,94&lt;Projects!$C$37+Projects!$D$37),Projects!$B$37*INDEX(Curves!$B$4:$AR$4,1,94-Projects!$C$37+1),0)+IF(AND(Projects!$G$38="Yes",94&gt;=Projects!$C$38,94&lt;Projects!$C$38+Projects!$D$38),Projects!$B$38*INDEX(Curves!$B$4:$AR$4,1,94-Projects!$C$38+1),0)+IF(AND(Projects!$G$39="Yes",94&gt;=Projects!$C$39,94&lt;Projects!$C$39+Projects!$D$39),Projects!$B$39*INDEX(Curves!$B$4:$AR$4,1,94-Projects!$C$39+1),0)+IF(AND(Projects!$G$40="Yes",94&gt;=Projects!$C$40,94&lt;Projects!$C$40+Projects!$D$40),Projects!$B$40*INDEX(Curves!$B$4:$AR$4,1,94-Projects!$C$40+1),0)+IF(AND(Projects!$G$41="Yes",94&gt;=Projects!$C$41,94&lt;Projects!$C$41+Projects!$D$41),Projects!$B$41*INDEX(Curves!$B$4:$AR$4,1,94-Projects!$C$41+1),0)+IF(AND(Projects!$G$42="Yes",94&gt;=Projects!$C$42,94&lt;Projects!$C$42+Projects!$D$42),Projects!$B$42*INDEX(Curves!$B$4:$AR$4,1,94-Projects!$C$42+1),0)+IF(AND(Projects!$G$43="Yes",94&gt;=Projects!$C$43,94&lt;Projects!$C$43+Projects!$D$43),Projects!$B$43*INDEX(Curves!$B$4:$AR$4,1,94-Projects!$C$43+1),0)+IF(AND(Projects!$G$44="Yes",94&gt;=Projects!$C$44,94&lt;Projects!$C$44+Projects!$D$44),Projects!$B$44*INDEX(Curves!$B$4:$AR$4,1,94-Projects!$C$44+1),0)+IF(AND(Projects!$G$45="Yes",94&gt;=Projects!$C$45,94&lt;Projects!$C$45+Projects!$D$45),Projects!$B$45*INDEX(Curves!$B$4:$AR$4,1,94-Projects!$C$45+1),0)+IF(AND(Projects!$G$46="Yes",94&gt;=Projects!$C$46,94&lt;Projects!$C$46+Projects!$D$46),Projects!$B$46*INDEX(Curves!$B$4:$AR$4,1,94-Projects!$C$46+1),0)</f>
        <v>0</v>
      </c>
      <c r="CV96" s="315" t="n">
        <f aca="false">IF(AND(Projects!$G$17="Yes",95&gt;=Projects!$C$17,95&lt;Projects!$C$17+Projects!$D$17),Projects!$B$17*INDEX(Curves!$B$4:$AR$4,1,95-Projects!$C$17+1),0)+IF(AND(Projects!$G$18="Yes",95&gt;=Projects!$C$18,95&lt;Projects!$C$18+Projects!$D$18),Projects!$B$18*INDEX(Curves!$B$4:$AR$4,1,95-Projects!$C$18+1),0)+IF(AND(Projects!$G$19="Yes",95&gt;=Projects!$C$19,95&lt;Projects!$C$19+Projects!$D$19),Projects!$B$19*INDEX(Curves!$B$4:$AR$4,1,95-Projects!$C$19+1),0)+IF(AND(Projects!$G$20="Yes",95&gt;=Projects!$C$20,95&lt;Projects!$C$20+Projects!$D$20),Projects!$B$20*INDEX(Curves!$B$4:$AR$4,1,95-Projects!$C$20+1),0)+IF(AND(Projects!$G$21="Yes",95&gt;=Projects!$C$21,95&lt;Projects!$C$21+Projects!$D$21),Projects!$B$21*INDEX(Curves!$B$4:$AR$4,1,95-Projects!$C$21+1),0)+IF(AND(Projects!$G$22="Yes",95&gt;=Projects!$C$22,95&lt;Projects!$C$22+Projects!$D$22),Projects!$B$22*INDEX(Curves!$B$4:$AR$4,1,95-Projects!$C$22+1),0)+IF(AND(Projects!$G$23="Yes",95&gt;=Projects!$C$23,95&lt;Projects!$C$23+Projects!$D$23),Projects!$B$23*INDEX(Curves!$B$4:$AR$4,1,95-Projects!$C$23+1),0)+IF(AND(Projects!$G$24="Yes",95&gt;=Projects!$C$24,95&lt;Projects!$C$24+Projects!$D$24),Projects!$B$24*INDEX(Curves!$B$4:$AR$4,1,95-Projects!$C$24+1),0)+IF(AND(Projects!$G$25="Yes",95&gt;=Projects!$C$25,95&lt;Projects!$C$25+Projects!$D$25),Projects!$B$25*INDEX(Curves!$B$4:$AR$4,1,95-Projects!$C$25+1),0)+IF(AND(Projects!$G$26="Yes",95&gt;=Projects!$C$26,95&lt;Projects!$C$26+Projects!$D$26),Projects!$B$26*INDEX(Curves!$B$4:$AR$4,1,95-Projects!$C$26+1),0)+IF(AND(Projects!$G$27="Yes",95&gt;=Projects!$C$27,95&lt;Projects!$C$27+Projects!$D$27),Projects!$B$27*INDEX(Curves!$B$4:$AR$4,1,95-Projects!$C$27+1),0)+IF(AND(Projects!$G$28="Yes",95&gt;=Projects!$C$28,95&lt;Projects!$C$28+Projects!$D$28),Projects!$B$28*INDEX(Curves!$B$4:$AR$4,1,95-Projects!$C$28+1),0)+IF(AND(Projects!$G$29="Yes",95&gt;=Projects!$C$29,95&lt;Projects!$C$29+Projects!$D$29),Projects!$B$29*INDEX(Curves!$B$4:$AR$4,1,95-Projects!$C$29+1),0)+IF(AND(Projects!$G$30="Yes",95&gt;=Projects!$C$30,95&lt;Projects!$C$30+Projects!$D$30),Projects!$B$30*INDEX(Curves!$B$4:$AR$4,1,95-Projects!$C$30+1),0)+IF(AND(Projects!$G$31="Yes",95&gt;=Projects!$C$31,95&lt;Projects!$C$31+Projects!$D$31),Projects!$B$31*INDEX(Curves!$B$4:$AR$4,1,95-Projects!$C$31+1),0)+IF(AND(Projects!$G$32="Yes",95&gt;=Projects!$C$32,95&lt;Projects!$C$32+Projects!$D$32),Projects!$B$32*INDEX(Curves!$B$4:$AR$4,1,95-Projects!$C$32+1),0)+IF(AND(Projects!$G$33="Yes",95&gt;=Projects!$C$33,95&lt;Projects!$C$33+Projects!$D$33),Projects!$B$33*INDEX(Curves!$B$4:$AR$4,1,95-Projects!$C$33+1),0)+IF(AND(Projects!$G$34="Yes",95&gt;=Projects!$C$34,95&lt;Projects!$C$34+Projects!$D$34),Projects!$B$34*INDEX(Curves!$B$4:$AR$4,1,95-Projects!$C$34+1),0)+IF(AND(Projects!$G$35="Yes",95&gt;=Projects!$C$35,95&lt;Projects!$C$35+Projects!$D$35),Projects!$B$35*INDEX(Curves!$B$4:$AR$4,1,95-Projects!$C$35+1),0)+IF(AND(Projects!$G$36="Yes",95&gt;=Projects!$C$36,95&lt;Projects!$C$36+Projects!$D$36),Projects!$B$36*INDEX(Curves!$B$4:$AR$4,1,95-Projects!$C$36+1),0)+IF(AND(Projects!$G$37="Yes",95&gt;=Projects!$C$37,95&lt;Projects!$C$37+Projects!$D$37),Projects!$B$37*INDEX(Curves!$B$4:$AR$4,1,95-Projects!$C$37+1),0)+IF(AND(Projects!$G$38="Yes",95&gt;=Projects!$C$38,95&lt;Projects!$C$38+Projects!$D$38),Projects!$B$38*INDEX(Curves!$B$4:$AR$4,1,95-Projects!$C$38+1),0)+IF(AND(Projects!$G$39="Yes",95&gt;=Projects!$C$39,95&lt;Projects!$C$39+Projects!$D$39),Projects!$B$39*INDEX(Curves!$B$4:$AR$4,1,95-Projects!$C$39+1),0)+IF(AND(Projects!$G$40="Yes",95&gt;=Projects!$C$40,95&lt;Projects!$C$40+Projects!$D$40),Projects!$B$40*INDEX(Curves!$B$4:$AR$4,1,95-Projects!$C$40+1),0)+IF(AND(Projects!$G$41="Yes",95&gt;=Projects!$C$41,95&lt;Projects!$C$41+Projects!$D$41),Projects!$B$41*INDEX(Curves!$B$4:$AR$4,1,95-Projects!$C$41+1),0)+IF(AND(Projects!$G$42="Yes",95&gt;=Projects!$C$42,95&lt;Projects!$C$42+Projects!$D$42),Projects!$B$42*INDEX(Curves!$B$4:$AR$4,1,95-Projects!$C$42+1),0)+IF(AND(Projects!$G$43="Yes",95&gt;=Projects!$C$43,95&lt;Projects!$C$43+Projects!$D$43),Projects!$B$43*INDEX(Curves!$B$4:$AR$4,1,95-Projects!$C$43+1),0)+IF(AND(Projects!$G$44="Yes",95&gt;=Projects!$C$44,95&lt;Projects!$C$44+Projects!$D$44),Projects!$B$44*INDEX(Curves!$B$4:$AR$4,1,95-Projects!$C$44+1),0)+IF(AND(Projects!$G$45="Yes",95&gt;=Projects!$C$45,95&lt;Projects!$C$45+Projects!$D$45),Projects!$B$45*INDEX(Curves!$B$4:$AR$4,1,95-Projects!$C$45+1),0)+IF(AND(Projects!$G$46="Yes",95&gt;=Projects!$C$46,95&lt;Projects!$C$46+Projects!$D$46),Projects!$B$46*INDEX(Curves!$B$4:$AR$4,1,95-Projects!$C$46+1),0)</f>
        <v>0</v>
      </c>
      <c r="CW96" s="315" t="n">
        <f aca="false">IF(AND(Projects!$G$17="Yes",96&gt;=Projects!$C$17,96&lt;Projects!$C$17+Projects!$D$17),Projects!$B$17*INDEX(Curves!$B$4:$AR$4,1,96-Projects!$C$17+1),0)+IF(AND(Projects!$G$18="Yes",96&gt;=Projects!$C$18,96&lt;Projects!$C$18+Projects!$D$18),Projects!$B$18*INDEX(Curves!$B$4:$AR$4,1,96-Projects!$C$18+1),0)+IF(AND(Projects!$G$19="Yes",96&gt;=Projects!$C$19,96&lt;Projects!$C$19+Projects!$D$19),Projects!$B$19*INDEX(Curves!$B$4:$AR$4,1,96-Projects!$C$19+1),0)+IF(AND(Projects!$G$20="Yes",96&gt;=Projects!$C$20,96&lt;Projects!$C$20+Projects!$D$20),Projects!$B$20*INDEX(Curves!$B$4:$AR$4,1,96-Projects!$C$20+1),0)+IF(AND(Projects!$G$21="Yes",96&gt;=Projects!$C$21,96&lt;Projects!$C$21+Projects!$D$21),Projects!$B$21*INDEX(Curves!$B$4:$AR$4,1,96-Projects!$C$21+1),0)+IF(AND(Projects!$G$22="Yes",96&gt;=Projects!$C$22,96&lt;Projects!$C$22+Projects!$D$22),Projects!$B$22*INDEX(Curves!$B$4:$AR$4,1,96-Projects!$C$22+1),0)+IF(AND(Projects!$G$23="Yes",96&gt;=Projects!$C$23,96&lt;Projects!$C$23+Projects!$D$23),Projects!$B$23*INDEX(Curves!$B$4:$AR$4,1,96-Projects!$C$23+1),0)+IF(AND(Projects!$G$24="Yes",96&gt;=Projects!$C$24,96&lt;Projects!$C$24+Projects!$D$24),Projects!$B$24*INDEX(Curves!$B$4:$AR$4,1,96-Projects!$C$24+1),0)+IF(AND(Projects!$G$25="Yes",96&gt;=Projects!$C$25,96&lt;Projects!$C$25+Projects!$D$25),Projects!$B$25*INDEX(Curves!$B$4:$AR$4,1,96-Projects!$C$25+1),0)+IF(AND(Projects!$G$26="Yes",96&gt;=Projects!$C$26,96&lt;Projects!$C$26+Projects!$D$26),Projects!$B$26*INDEX(Curves!$B$4:$AR$4,1,96-Projects!$C$26+1),0)+IF(AND(Projects!$G$27="Yes",96&gt;=Projects!$C$27,96&lt;Projects!$C$27+Projects!$D$27),Projects!$B$27*INDEX(Curves!$B$4:$AR$4,1,96-Projects!$C$27+1),0)+IF(AND(Projects!$G$28="Yes",96&gt;=Projects!$C$28,96&lt;Projects!$C$28+Projects!$D$28),Projects!$B$28*INDEX(Curves!$B$4:$AR$4,1,96-Projects!$C$28+1),0)+IF(AND(Projects!$G$29="Yes",96&gt;=Projects!$C$29,96&lt;Projects!$C$29+Projects!$D$29),Projects!$B$29*INDEX(Curves!$B$4:$AR$4,1,96-Projects!$C$29+1),0)+IF(AND(Projects!$G$30="Yes",96&gt;=Projects!$C$30,96&lt;Projects!$C$30+Projects!$D$30),Projects!$B$30*INDEX(Curves!$B$4:$AR$4,1,96-Projects!$C$30+1),0)+IF(AND(Projects!$G$31="Yes",96&gt;=Projects!$C$31,96&lt;Projects!$C$31+Projects!$D$31),Projects!$B$31*INDEX(Curves!$B$4:$AR$4,1,96-Projects!$C$31+1),0)+IF(AND(Projects!$G$32="Yes",96&gt;=Projects!$C$32,96&lt;Projects!$C$32+Projects!$D$32),Projects!$B$32*INDEX(Curves!$B$4:$AR$4,1,96-Projects!$C$32+1),0)+IF(AND(Projects!$G$33="Yes",96&gt;=Projects!$C$33,96&lt;Projects!$C$33+Projects!$D$33),Projects!$B$33*INDEX(Curves!$B$4:$AR$4,1,96-Projects!$C$33+1),0)+IF(AND(Projects!$G$34="Yes",96&gt;=Projects!$C$34,96&lt;Projects!$C$34+Projects!$D$34),Projects!$B$34*INDEX(Curves!$B$4:$AR$4,1,96-Projects!$C$34+1),0)+IF(AND(Projects!$G$35="Yes",96&gt;=Projects!$C$35,96&lt;Projects!$C$35+Projects!$D$35),Projects!$B$35*INDEX(Curves!$B$4:$AR$4,1,96-Projects!$C$35+1),0)+IF(AND(Projects!$G$36="Yes",96&gt;=Projects!$C$36,96&lt;Projects!$C$36+Projects!$D$36),Projects!$B$36*INDEX(Curves!$B$4:$AR$4,1,96-Projects!$C$36+1),0)+IF(AND(Projects!$G$37="Yes",96&gt;=Projects!$C$37,96&lt;Projects!$C$37+Projects!$D$37),Projects!$B$37*INDEX(Curves!$B$4:$AR$4,1,96-Projects!$C$37+1),0)+IF(AND(Projects!$G$38="Yes",96&gt;=Projects!$C$38,96&lt;Projects!$C$38+Projects!$D$38),Projects!$B$38*INDEX(Curves!$B$4:$AR$4,1,96-Projects!$C$38+1),0)+IF(AND(Projects!$G$39="Yes",96&gt;=Projects!$C$39,96&lt;Projects!$C$39+Projects!$D$39),Projects!$B$39*INDEX(Curves!$B$4:$AR$4,1,96-Projects!$C$39+1),0)+IF(AND(Projects!$G$40="Yes",96&gt;=Projects!$C$40,96&lt;Projects!$C$40+Projects!$D$40),Projects!$B$40*INDEX(Curves!$B$4:$AR$4,1,96-Projects!$C$40+1),0)+IF(AND(Projects!$G$41="Yes",96&gt;=Projects!$C$41,96&lt;Projects!$C$41+Projects!$D$41),Projects!$B$41*INDEX(Curves!$B$4:$AR$4,1,96-Projects!$C$41+1),0)+IF(AND(Projects!$G$42="Yes",96&gt;=Projects!$C$42,96&lt;Projects!$C$42+Projects!$D$42),Projects!$B$42*INDEX(Curves!$B$4:$AR$4,1,96-Projects!$C$42+1),0)+IF(AND(Projects!$G$43="Yes",96&gt;=Projects!$C$43,96&lt;Projects!$C$43+Projects!$D$43),Projects!$B$43*INDEX(Curves!$B$4:$AR$4,1,96-Projects!$C$43+1),0)+IF(AND(Projects!$G$44="Yes",96&gt;=Projects!$C$44,96&lt;Projects!$C$44+Projects!$D$44),Projects!$B$44*INDEX(Curves!$B$4:$AR$4,1,96-Projects!$C$44+1),0)+IF(AND(Projects!$G$45="Yes",96&gt;=Projects!$C$45,96&lt;Projects!$C$45+Projects!$D$45),Projects!$B$45*INDEX(Curves!$B$4:$AR$4,1,96-Projects!$C$45+1),0)+IF(AND(Projects!$G$46="Yes",96&gt;=Projects!$C$46,96&lt;Projects!$C$46+Projects!$D$46),Projects!$B$46*INDEX(Curves!$B$4:$AR$4,1,96-Projects!$C$46+1),0)</f>
        <v>0</v>
      </c>
      <c r="CX96" s="315" t="n">
        <f aca="false">IF(AND(Projects!$G$17="Yes",97&gt;=Projects!$C$17,97&lt;Projects!$C$17+Projects!$D$17),Projects!$B$17*INDEX(Curves!$B$4:$AR$4,1,97-Projects!$C$17+1),0)+IF(AND(Projects!$G$18="Yes",97&gt;=Projects!$C$18,97&lt;Projects!$C$18+Projects!$D$18),Projects!$B$18*INDEX(Curves!$B$4:$AR$4,1,97-Projects!$C$18+1),0)+IF(AND(Projects!$G$19="Yes",97&gt;=Projects!$C$19,97&lt;Projects!$C$19+Projects!$D$19),Projects!$B$19*INDEX(Curves!$B$4:$AR$4,1,97-Projects!$C$19+1),0)+IF(AND(Projects!$G$20="Yes",97&gt;=Projects!$C$20,97&lt;Projects!$C$20+Projects!$D$20),Projects!$B$20*INDEX(Curves!$B$4:$AR$4,1,97-Projects!$C$20+1),0)+IF(AND(Projects!$G$21="Yes",97&gt;=Projects!$C$21,97&lt;Projects!$C$21+Projects!$D$21),Projects!$B$21*INDEX(Curves!$B$4:$AR$4,1,97-Projects!$C$21+1),0)+IF(AND(Projects!$G$22="Yes",97&gt;=Projects!$C$22,97&lt;Projects!$C$22+Projects!$D$22),Projects!$B$22*INDEX(Curves!$B$4:$AR$4,1,97-Projects!$C$22+1),0)+IF(AND(Projects!$G$23="Yes",97&gt;=Projects!$C$23,97&lt;Projects!$C$23+Projects!$D$23),Projects!$B$23*INDEX(Curves!$B$4:$AR$4,1,97-Projects!$C$23+1),0)+IF(AND(Projects!$G$24="Yes",97&gt;=Projects!$C$24,97&lt;Projects!$C$24+Projects!$D$24),Projects!$B$24*INDEX(Curves!$B$4:$AR$4,1,97-Projects!$C$24+1),0)+IF(AND(Projects!$G$25="Yes",97&gt;=Projects!$C$25,97&lt;Projects!$C$25+Projects!$D$25),Projects!$B$25*INDEX(Curves!$B$4:$AR$4,1,97-Projects!$C$25+1),0)+IF(AND(Projects!$G$26="Yes",97&gt;=Projects!$C$26,97&lt;Projects!$C$26+Projects!$D$26),Projects!$B$26*INDEX(Curves!$B$4:$AR$4,1,97-Projects!$C$26+1),0)+IF(AND(Projects!$G$27="Yes",97&gt;=Projects!$C$27,97&lt;Projects!$C$27+Projects!$D$27),Projects!$B$27*INDEX(Curves!$B$4:$AR$4,1,97-Projects!$C$27+1),0)+IF(AND(Projects!$G$28="Yes",97&gt;=Projects!$C$28,97&lt;Projects!$C$28+Projects!$D$28),Projects!$B$28*INDEX(Curves!$B$4:$AR$4,1,97-Projects!$C$28+1),0)+IF(AND(Projects!$G$29="Yes",97&gt;=Projects!$C$29,97&lt;Projects!$C$29+Projects!$D$29),Projects!$B$29*INDEX(Curves!$B$4:$AR$4,1,97-Projects!$C$29+1),0)+IF(AND(Projects!$G$30="Yes",97&gt;=Projects!$C$30,97&lt;Projects!$C$30+Projects!$D$30),Projects!$B$30*INDEX(Curves!$B$4:$AR$4,1,97-Projects!$C$30+1),0)+IF(AND(Projects!$G$31="Yes",97&gt;=Projects!$C$31,97&lt;Projects!$C$31+Projects!$D$31),Projects!$B$31*INDEX(Curves!$B$4:$AR$4,1,97-Projects!$C$31+1),0)+IF(AND(Projects!$G$32="Yes",97&gt;=Projects!$C$32,97&lt;Projects!$C$32+Projects!$D$32),Projects!$B$32*INDEX(Curves!$B$4:$AR$4,1,97-Projects!$C$32+1),0)+IF(AND(Projects!$G$33="Yes",97&gt;=Projects!$C$33,97&lt;Projects!$C$33+Projects!$D$33),Projects!$B$33*INDEX(Curves!$B$4:$AR$4,1,97-Projects!$C$33+1),0)+IF(AND(Projects!$G$34="Yes",97&gt;=Projects!$C$34,97&lt;Projects!$C$34+Projects!$D$34),Projects!$B$34*INDEX(Curves!$B$4:$AR$4,1,97-Projects!$C$34+1),0)+IF(AND(Projects!$G$35="Yes",97&gt;=Projects!$C$35,97&lt;Projects!$C$35+Projects!$D$35),Projects!$B$35*INDEX(Curves!$B$4:$AR$4,1,97-Projects!$C$35+1),0)+IF(AND(Projects!$G$36="Yes",97&gt;=Projects!$C$36,97&lt;Projects!$C$36+Projects!$D$36),Projects!$B$36*INDEX(Curves!$B$4:$AR$4,1,97-Projects!$C$36+1),0)+IF(AND(Projects!$G$37="Yes",97&gt;=Projects!$C$37,97&lt;Projects!$C$37+Projects!$D$37),Projects!$B$37*INDEX(Curves!$B$4:$AR$4,1,97-Projects!$C$37+1),0)+IF(AND(Projects!$G$38="Yes",97&gt;=Projects!$C$38,97&lt;Projects!$C$38+Projects!$D$38),Projects!$B$38*INDEX(Curves!$B$4:$AR$4,1,97-Projects!$C$38+1),0)+IF(AND(Projects!$G$39="Yes",97&gt;=Projects!$C$39,97&lt;Projects!$C$39+Projects!$D$39),Projects!$B$39*INDEX(Curves!$B$4:$AR$4,1,97-Projects!$C$39+1),0)+IF(AND(Projects!$G$40="Yes",97&gt;=Projects!$C$40,97&lt;Projects!$C$40+Projects!$D$40),Projects!$B$40*INDEX(Curves!$B$4:$AR$4,1,97-Projects!$C$40+1),0)+IF(AND(Projects!$G$41="Yes",97&gt;=Projects!$C$41,97&lt;Projects!$C$41+Projects!$D$41),Projects!$B$41*INDEX(Curves!$B$4:$AR$4,1,97-Projects!$C$41+1),0)+IF(AND(Projects!$G$42="Yes",97&gt;=Projects!$C$42,97&lt;Projects!$C$42+Projects!$D$42),Projects!$B$42*INDEX(Curves!$B$4:$AR$4,1,97-Projects!$C$42+1),0)+IF(AND(Projects!$G$43="Yes",97&gt;=Projects!$C$43,97&lt;Projects!$C$43+Projects!$D$43),Projects!$B$43*INDEX(Curves!$B$4:$AR$4,1,97-Projects!$C$43+1),0)+IF(AND(Projects!$G$44="Yes",97&gt;=Projects!$C$44,97&lt;Projects!$C$44+Projects!$D$44),Projects!$B$44*INDEX(Curves!$B$4:$AR$4,1,97-Projects!$C$44+1),0)+IF(AND(Projects!$G$45="Yes",97&gt;=Projects!$C$45,97&lt;Projects!$C$45+Projects!$D$45),Projects!$B$45*INDEX(Curves!$B$4:$AR$4,1,97-Projects!$C$45+1),0)+IF(AND(Projects!$G$46="Yes",97&gt;=Projects!$C$46,97&lt;Projects!$C$46+Projects!$D$46),Projects!$B$46*INDEX(Curves!$B$4:$AR$4,1,97-Projects!$C$46+1),0)</f>
        <v>0</v>
      </c>
      <c r="CY96" s="315" t="n">
        <f aca="false">IF(AND(Projects!$G$17="Yes",98&gt;=Projects!$C$17,98&lt;Projects!$C$17+Projects!$D$17),Projects!$B$17*INDEX(Curves!$B$4:$AR$4,1,98-Projects!$C$17+1),0)+IF(AND(Projects!$G$18="Yes",98&gt;=Projects!$C$18,98&lt;Projects!$C$18+Projects!$D$18),Projects!$B$18*INDEX(Curves!$B$4:$AR$4,1,98-Projects!$C$18+1),0)+IF(AND(Projects!$G$19="Yes",98&gt;=Projects!$C$19,98&lt;Projects!$C$19+Projects!$D$19),Projects!$B$19*INDEX(Curves!$B$4:$AR$4,1,98-Projects!$C$19+1),0)+IF(AND(Projects!$G$20="Yes",98&gt;=Projects!$C$20,98&lt;Projects!$C$20+Projects!$D$20),Projects!$B$20*INDEX(Curves!$B$4:$AR$4,1,98-Projects!$C$20+1),0)+IF(AND(Projects!$G$21="Yes",98&gt;=Projects!$C$21,98&lt;Projects!$C$21+Projects!$D$21),Projects!$B$21*INDEX(Curves!$B$4:$AR$4,1,98-Projects!$C$21+1),0)+IF(AND(Projects!$G$22="Yes",98&gt;=Projects!$C$22,98&lt;Projects!$C$22+Projects!$D$22),Projects!$B$22*INDEX(Curves!$B$4:$AR$4,1,98-Projects!$C$22+1),0)+IF(AND(Projects!$G$23="Yes",98&gt;=Projects!$C$23,98&lt;Projects!$C$23+Projects!$D$23),Projects!$B$23*INDEX(Curves!$B$4:$AR$4,1,98-Projects!$C$23+1),0)+IF(AND(Projects!$G$24="Yes",98&gt;=Projects!$C$24,98&lt;Projects!$C$24+Projects!$D$24),Projects!$B$24*INDEX(Curves!$B$4:$AR$4,1,98-Projects!$C$24+1),0)+IF(AND(Projects!$G$25="Yes",98&gt;=Projects!$C$25,98&lt;Projects!$C$25+Projects!$D$25),Projects!$B$25*INDEX(Curves!$B$4:$AR$4,1,98-Projects!$C$25+1),0)+IF(AND(Projects!$G$26="Yes",98&gt;=Projects!$C$26,98&lt;Projects!$C$26+Projects!$D$26),Projects!$B$26*INDEX(Curves!$B$4:$AR$4,1,98-Projects!$C$26+1),0)+IF(AND(Projects!$G$27="Yes",98&gt;=Projects!$C$27,98&lt;Projects!$C$27+Projects!$D$27),Projects!$B$27*INDEX(Curves!$B$4:$AR$4,1,98-Projects!$C$27+1),0)+IF(AND(Projects!$G$28="Yes",98&gt;=Projects!$C$28,98&lt;Projects!$C$28+Projects!$D$28),Projects!$B$28*INDEX(Curves!$B$4:$AR$4,1,98-Projects!$C$28+1),0)+IF(AND(Projects!$G$29="Yes",98&gt;=Projects!$C$29,98&lt;Projects!$C$29+Projects!$D$29),Projects!$B$29*INDEX(Curves!$B$4:$AR$4,1,98-Projects!$C$29+1),0)+IF(AND(Projects!$G$30="Yes",98&gt;=Projects!$C$30,98&lt;Projects!$C$30+Projects!$D$30),Projects!$B$30*INDEX(Curves!$B$4:$AR$4,1,98-Projects!$C$30+1),0)+IF(AND(Projects!$G$31="Yes",98&gt;=Projects!$C$31,98&lt;Projects!$C$31+Projects!$D$31),Projects!$B$31*INDEX(Curves!$B$4:$AR$4,1,98-Projects!$C$31+1),0)+IF(AND(Projects!$G$32="Yes",98&gt;=Projects!$C$32,98&lt;Projects!$C$32+Projects!$D$32),Projects!$B$32*INDEX(Curves!$B$4:$AR$4,1,98-Projects!$C$32+1),0)+IF(AND(Projects!$G$33="Yes",98&gt;=Projects!$C$33,98&lt;Projects!$C$33+Projects!$D$33),Projects!$B$33*INDEX(Curves!$B$4:$AR$4,1,98-Projects!$C$33+1),0)+IF(AND(Projects!$G$34="Yes",98&gt;=Projects!$C$34,98&lt;Projects!$C$34+Projects!$D$34),Projects!$B$34*INDEX(Curves!$B$4:$AR$4,1,98-Projects!$C$34+1),0)+IF(AND(Projects!$G$35="Yes",98&gt;=Projects!$C$35,98&lt;Projects!$C$35+Projects!$D$35),Projects!$B$35*INDEX(Curves!$B$4:$AR$4,1,98-Projects!$C$35+1),0)+IF(AND(Projects!$G$36="Yes",98&gt;=Projects!$C$36,98&lt;Projects!$C$36+Projects!$D$36),Projects!$B$36*INDEX(Curves!$B$4:$AR$4,1,98-Projects!$C$36+1),0)+IF(AND(Projects!$G$37="Yes",98&gt;=Projects!$C$37,98&lt;Projects!$C$37+Projects!$D$37),Projects!$B$37*INDEX(Curves!$B$4:$AR$4,1,98-Projects!$C$37+1),0)+IF(AND(Projects!$G$38="Yes",98&gt;=Projects!$C$38,98&lt;Projects!$C$38+Projects!$D$38),Projects!$B$38*INDEX(Curves!$B$4:$AR$4,1,98-Projects!$C$38+1),0)+IF(AND(Projects!$G$39="Yes",98&gt;=Projects!$C$39,98&lt;Projects!$C$39+Projects!$D$39),Projects!$B$39*INDEX(Curves!$B$4:$AR$4,1,98-Projects!$C$39+1),0)+IF(AND(Projects!$G$40="Yes",98&gt;=Projects!$C$40,98&lt;Projects!$C$40+Projects!$D$40),Projects!$B$40*INDEX(Curves!$B$4:$AR$4,1,98-Projects!$C$40+1),0)+IF(AND(Projects!$G$41="Yes",98&gt;=Projects!$C$41,98&lt;Projects!$C$41+Projects!$D$41),Projects!$B$41*INDEX(Curves!$B$4:$AR$4,1,98-Projects!$C$41+1),0)+IF(AND(Projects!$G$42="Yes",98&gt;=Projects!$C$42,98&lt;Projects!$C$42+Projects!$D$42),Projects!$B$42*INDEX(Curves!$B$4:$AR$4,1,98-Projects!$C$42+1),0)+IF(AND(Projects!$G$43="Yes",98&gt;=Projects!$C$43,98&lt;Projects!$C$43+Projects!$D$43),Projects!$B$43*INDEX(Curves!$B$4:$AR$4,1,98-Projects!$C$43+1),0)+IF(AND(Projects!$G$44="Yes",98&gt;=Projects!$C$44,98&lt;Projects!$C$44+Projects!$D$44),Projects!$B$44*INDEX(Curves!$B$4:$AR$4,1,98-Projects!$C$44+1),0)+IF(AND(Projects!$G$45="Yes",98&gt;=Projects!$C$45,98&lt;Projects!$C$45+Projects!$D$45),Projects!$B$45*INDEX(Curves!$B$4:$AR$4,1,98-Projects!$C$45+1),0)+IF(AND(Projects!$G$46="Yes",98&gt;=Projects!$C$46,98&lt;Projects!$C$46+Projects!$D$46),Projects!$B$46*INDEX(Curves!$B$4:$AR$4,1,98-Projects!$C$46+1),0)</f>
        <v>0</v>
      </c>
      <c r="CZ96" s="315" t="n">
        <f aca="false">IF(AND(Projects!$G$17="Yes",99&gt;=Projects!$C$17,99&lt;Projects!$C$17+Projects!$D$17),Projects!$B$17*INDEX(Curves!$B$4:$AR$4,1,99-Projects!$C$17+1),0)+IF(AND(Projects!$G$18="Yes",99&gt;=Projects!$C$18,99&lt;Projects!$C$18+Projects!$D$18),Projects!$B$18*INDEX(Curves!$B$4:$AR$4,1,99-Projects!$C$18+1),0)+IF(AND(Projects!$G$19="Yes",99&gt;=Projects!$C$19,99&lt;Projects!$C$19+Projects!$D$19),Projects!$B$19*INDEX(Curves!$B$4:$AR$4,1,99-Projects!$C$19+1),0)+IF(AND(Projects!$G$20="Yes",99&gt;=Projects!$C$20,99&lt;Projects!$C$20+Projects!$D$20),Projects!$B$20*INDEX(Curves!$B$4:$AR$4,1,99-Projects!$C$20+1),0)+IF(AND(Projects!$G$21="Yes",99&gt;=Projects!$C$21,99&lt;Projects!$C$21+Projects!$D$21),Projects!$B$21*INDEX(Curves!$B$4:$AR$4,1,99-Projects!$C$21+1),0)+IF(AND(Projects!$G$22="Yes",99&gt;=Projects!$C$22,99&lt;Projects!$C$22+Projects!$D$22),Projects!$B$22*INDEX(Curves!$B$4:$AR$4,1,99-Projects!$C$22+1),0)+IF(AND(Projects!$G$23="Yes",99&gt;=Projects!$C$23,99&lt;Projects!$C$23+Projects!$D$23),Projects!$B$23*INDEX(Curves!$B$4:$AR$4,1,99-Projects!$C$23+1),0)+IF(AND(Projects!$G$24="Yes",99&gt;=Projects!$C$24,99&lt;Projects!$C$24+Projects!$D$24),Projects!$B$24*INDEX(Curves!$B$4:$AR$4,1,99-Projects!$C$24+1),0)+IF(AND(Projects!$G$25="Yes",99&gt;=Projects!$C$25,99&lt;Projects!$C$25+Projects!$D$25),Projects!$B$25*INDEX(Curves!$B$4:$AR$4,1,99-Projects!$C$25+1),0)+IF(AND(Projects!$G$26="Yes",99&gt;=Projects!$C$26,99&lt;Projects!$C$26+Projects!$D$26),Projects!$B$26*INDEX(Curves!$B$4:$AR$4,1,99-Projects!$C$26+1),0)+IF(AND(Projects!$G$27="Yes",99&gt;=Projects!$C$27,99&lt;Projects!$C$27+Projects!$D$27),Projects!$B$27*INDEX(Curves!$B$4:$AR$4,1,99-Projects!$C$27+1),0)+IF(AND(Projects!$G$28="Yes",99&gt;=Projects!$C$28,99&lt;Projects!$C$28+Projects!$D$28),Projects!$B$28*INDEX(Curves!$B$4:$AR$4,1,99-Projects!$C$28+1),0)+IF(AND(Projects!$G$29="Yes",99&gt;=Projects!$C$29,99&lt;Projects!$C$29+Projects!$D$29),Projects!$B$29*INDEX(Curves!$B$4:$AR$4,1,99-Projects!$C$29+1),0)+IF(AND(Projects!$G$30="Yes",99&gt;=Projects!$C$30,99&lt;Projects!$C$30+Projects!$D$30),Projects!$B$30*INDEX(Curves!$B$4:$AR$4,1,99-Projects!$C$30+1),0)+IF(AND(Projects!$G$31="Yes",99&gt;=Projects!$C$31,99&lt;Projects!$C$31+Projects!$D$31),Projects!$B$31*INDEX(Curves!$B$4:$AR$4,1,99-Projects!$C$31+1),0)+IF(AND(Projects!$G$32="Yes",99&gt;=Projects!$C$32,99&lt;Projects!$C$32+Projects!$D$32),Projects!$B$32*INDEX(Curves!$B$4:$AR$4,1,99-Projects!$C$32+1),0)+IF(AND(Projects!$G$33="Yes",99&gt;=Projects!$C$33,99&lt;Projects!$C$33+Projects!$D$33),Projects!$B$33*INDEX(Curves!$B$4:$AR$4,1,99-Projects!$C$33+1),0)+IF(AND(Projects!$G$34="Yes",99&gt;=Projects!$C$34,99&lt;Projects!$C$34+Projects!$D$34),Projects!$B$34*INDEX(Curves!$B$4:$AR$4,1,99-Projects!$C$34+1),0)+IF(AND(Projects!$G$35="Yes",99&gt;=Projects!$C$35,99&lt;Projects!$C$35+Projects!$D$35),Projects!$B$35*INDEX(Curves!$B$4:$AR$4,1,99-Projects!$C$35+1),0)+IF(AND(Projects!$G$36="Yes",99&gt;=Projects!$C$36,99&lt;Projects!$C$36+Projects!$D$36),Projects!$B$36*INDEX(Curves!$B$4:$AR$4,1,99-Projects!$C$36+1),0)+IF(AND(Projects!$G$37="Yes",99&gt;=Projects!$C$37,99&lt;Projects!$C$37+Projects!$D$37),Projects!$B$37*INDEX(Curves!$B$4:$AR$4,1,99-Projects!$C$37+1),0)+IF(AND(Projects!$G$38="Yes",99&gt;=Projects!$C$38,99&lt;Projects!$C$38+Projects!$D$38),Projects!$B$38*INDEX(Curves!$B$4:$AR$4,1,99-Projects!$C$38+1),0)+IF(AND(Projects!$G$39="Yes",99&gt;=Projects!$C$39,99&lt;Projects!$C$39+Projects!$D$39),Projects!$B$39*INDEX(Curves!$B$4:$AR$4,1,99-Projects!$C$39+1),0)+IF(AND(Projects!$G$40="Yes",99&gt;=Projects!$C$40,99&lt;Projects!$C$40+Projects!$D$40),Projects!$B$40*INDEX(Curves!$B$4:$AR$4,1,99-Projects!$C$40+1),0)+IF(AND(Projects!$G$41="Yes",99&gt;=Projects!$C$41,99&lt;Projects!$C$41+Projects!$D$41),Projects!$B$41*INDEX(Curves!$B$4:$AR$4,1,99-Projects!$C$41+1),0)+IF(AND(Projects!$G$42="Yes",99&gt;=Projects!$C$42,99&lt;Projects!$C$42+Projects!$D$42),Projects!$B$42*INDEX(Curves!$B$4:$AR$4,1,99-Projects!$C$42+1),0)+IF(AND(Projects!$G$43="Yes",99&gt;=Projects!$C$43,99&lt;Projects!$C$43+Projects!$D$43),Projects!$B$43*INDEX(Curves!$B$4:$AR$4,1,99-Projects!$C$43+1),0)+IF(AND(Projects!$G$44="Yes",99&gt;=Projects!$C$44,99&lt;Projects!$C$44+Projects!$D$44),Projects!$B$44*INDEX(Curves!$B$4:$AR$4,1,99-Projects!$C$44+1),0)+IF(AND(Projects!$G$45="Yes",99&gt;=Projects!$C$45,99&lt;Projects!$C$45+Projects!$D$45),Projects!$B$45*INDEX(Curves!$B$4:$AR$4,1,99-Projects!$C$45+1),0)+IF(AND(Projects!$G$46="Yes",99&gt;=Projects!$C$46,99&lt;Projects!$C$46+Projects!$D$46),Projects!$B$46*INDEX(Curves!$B$4:$AR$4,1,99-Projects!$C$46+1),0)</f>
        <v>0</v>
      </c>
      <c r="DA96" s="315" t="n">
        <f aca="false">IF(AND(Projects!$G$17="Yes",100&gt;=Projects!$C$17,100&lt;Projects!$C$17+Projects!$D$17),Projects!$B$17*INDEX(Curves!$B$4:$AR$4,1,100-Projects!$C$17+1),0)+IF(AND(Projects!$G$18="Yes",100&gt;=Projects!$C$18,100&lt;Projects!$C$18+Projects!$D$18),Projects!$B$18*INDEX(Curves!$B$4:$AR$4,1,100-Projects!$C$18+1),0)+IF(AND(Projects!$G$19="Yes",100&gt;=Projects!$C$19,100&lt;Projects!$C$19+Projects!$D$19),Projects!$B$19*INDEX(Curves!$B$4:$AR$4,1,100-Projects!$C$19+1),0)+IF(AND(Projects!$G$20="Yes",100&gt;=Projects!$C$20,100&lt;Projects!$C$20+Projects!$D$20),Projects!$B$20*INDEX(Curves!$B$4:$AR$4,1,100-Projects!$C$20+1),0)+IF(AND(Projects!$G$21="Yes",100&gt;=Projects!$C$21,100&lt;Projects!$C$21+Projects!$D$21),Projects!$B$21*INDEX(Curves!$B$4:$AR$4,1,100-Projects!$C$21+1),0)+IF(AND(Projects!$G$22="Yes",100&gt;=Projects!$C$22,100&lt;Projects!$C$22+Projects!$D$22),Projects!$B$22*INDEX(Curves!$B$4:$AR$4,1,100-Projects!$C$22+1),0)+IF(AND(Projects!$G$23="Yes",100&gt;=Projects!$C$23,100&lt;Projects!$C$23+Projects!$D$23),Projects!$B$23*INDEX(Curves!$B$4:$AR$4,1,100-Projects!$C$23+1),0)+IF(AND(Projects!$G$24="Yes",100&gt;=Projects!$C$24,100&lt;Projects!$C$24+Projects!$D$24),Projects!$B$24*INDEX(Curves!$B$4:$AR$4,1,100-Projects!$C$24+1),0)+IF(AND(Projects!$G$25="Yes",100&gt;=Projects!$C$25,100&lt;Projects!$C$25+Projects!$D$25),Projects!$B$25*INDEX(Curves!$B$4:$AR$4,1,100-Projects!$C$25+1),0)+IF(AND(Projects!$G$26="Yes",100&gt;=Projects!$C$26,100&lt;Projects!$C$26+Projects!$D$26),Projects!$B$26*INDEX(Curves!$B$4:$AR$4,1,100-Projects!$C$26+1),0)+IF(AND(Projects!$G$27="Yes",100&gt;=Projects!$C$27,100&lt;Projects!$C$27+Projects!$D$27),Projects!$B$27*INDEX(Curves!$B$4:$AR$4,1,100-Projects!$C$27+1),0)+IF(AND(Projects!$G$28="Yes",100&gt;=Projects!$C$28,100&lt;Projects!$C$28+Projects!$D$28),Projects!$B$28*INDEX(Curves!$B$4:$AR$4,1,100-Projects!$C$28+1),0)+IF(AND(Projects!$G$29="Yes",100&gt;=Projects!$C$29,100&lt;Projects!$C$29+Projects!$D$29),Projects!$B$29*INDEX(Curves!$B$4:$AR$4,1,100-Projects!$C$29+1),0)+IF(AND(Projects!$G$30="Yes",100&gt;=Projects!$C$30,100&lt;Projects!$C$30+Projects!$D$30),Projects!$B$30*INDEX(Curves!$B$4:$AR$4,1,100-Projects!$C$30+1),0)+IF(AND(Projects!$G$31="Yes",100&gt;=Projects!$C$31,100&lt;Projects!$C$31+Projects!$D$31),Projects!$B$31*INDEX(Curves!$B$4:$AR$4,1,100-Projects!$C$31+1),0)+IF(AND(Projects!$G$32="Yes",100&gt;=Projects!$C$32,100&lt;Projects!$C$32+Projects!$D$32),Projects!$B$32*INDEX(Curves!$B$4:$AR$4,1,100-Projects!$C$32+1),0)+IF(AND(Projects!$G$33="Yes",100&gt;=Projects!$C$33,100&lt;Projects!$C$33+Projects!$D$33),Projects!$B$33*INDEX(Curves!$B$4:$AR$4,1,100-Projects!$C$33+1),0)+IF(AND(Projects!$G$34="Yes",100&gt;=Projects!$C$34,100&lt;Projects!$C$34+Projects!$D$34),Projects!$B$34*INDEX(Curves!$B$4:$AR$4,1,100-Projects!$C$34+1),0)+IF(AND(Projects!$G$35="Yes",100&gt;=Projects!$C$35,100&lt;Projects!$C$35+Projects!$D$35),Projects!$B$35*INDEX(Curves!$B$4:$AR$4,1,100-Projects!$C$35+1),0)+IF(AND(Projects!$G$36="Yes",100&gt;=Projects!$C$36,100&lt;Projects!$C$36+Projects!$D$36),Projects!$B$36*INDEX(Curves!$B$4:$AR$4,1,100-Projects!$C$36+1),0)+IF(AND(Projects!$G$37="Yes",100&gt;=Projects!$C$37,100&lt;Projects!$C$37+Projects!$D$37),Projects!$B$37*INDEX(Curves!$B$4:$AR$4,1,100-Projects!$C$37+1),0)+IF(AND(Projects!$G$38="Yes",100&gt;=Projects!$C$38,100&lt;Projects!$C$38+Projects!$D$38),Projects!$B$38*INDEX(Curves!$B$4:$AR$4,1,100-Projects!$C$38+1),0)+IF(AND(Projects!$G$39="Yes",100&gt;=Projects!$C$39,100&lt;Projects!$C$39+Projects!$D$39),Projects!$B$39*INDEX(Curves!$B$4:$AR$4,1,100-Projects!$C$39+1),0)+IF(AND(Projects!$G$40="Yes",100&gt;=Projects!$C$40,100&lt;Projects!$C$40+Projects!$D$40),Projects!$B$40*INDEX(Curves!$B$4:$AR$4,1,100-Projects!$C$40+1),0)+IF(AND(Projects!$G$41="Yes",100&gt;=Projects!$C$41,100&lt;Projects!$C$41+Projects!$D$41),Projects!$B$41*INDEX(Curves!$B$4:$AR$4,1,100-Projects!$C$41+1),0)+IF(AND(Projects!$G$42="Yes",100&gt;=Projects!$C$42,100&lt;Projects!$C$42+Projects!$D$42),Projects!$B$42*INDEX(Curves!$B$4:$AR$4,1,100-Projects!$C$42+1),0)+IF(AND(Projects!$G$43="Yes",100&gt;=Projects!$C$43,100&lt;Projects!$C$43+Projects!$D$43),Projects!$B$43*INDEX(Curves!$B$4:$AR$4,1,100-Projects!$C$43+1),0)+IF(AND(Projects!$G$44="Yes",100&gt;=Projects!$C$44,100&lt;Projects!$C$44+Projects!$D$44),Projects!$B$44*INDEX(Curves!$B$4:$AR$4,1,100-Projects!$C$44+1),0)+IF(AND(Projects!$G$45="Yes",100&gt;=Projects!$C$45,100&lt;Projects!$C$45+Projects!$D$45),Projects!$B$45*INDEX(Curves!$B$4:$AR$4,1,100-Projects!$C$45+1),0)+IF(AND(Projects!$G$46="Yes",100&gt;=Projects!$C$46,100&lt;Projects!$C$46+Projects!$D$46),Projects!$B$46*INDEX(Curves!$B$4:$AR$4,1,100-Projects!$C$46+1),0)</f>
        <v>0</v>
      </c>
      <c r="DB96" s="315" t="n">
        <f aca="false">IF(AND(Projects!$G$17="Yes",101&gt;=Projects!$C$17,101&lt;Projects!$C$17+Projects!$D$17),Projects!$B$17*INDEX(Curves!$B$4:$AR$4,1,101-Projects!$C$17+1),0)+IF(AND(Projects!$G$18="Yes",101&gt;=Projects!$C$18,101&lt;Projects!$C$18+Projects!$D$18),Projects!$B$18*INDEX(Curves!$B$4:$AR$4,1,101-Projects!$C$18+1),0)+IF(AND(Projects!$G$19="Yes",101&gt;=Projects!$C$19,101&lt;Projects!$C$19+Projects!$D$19),Projects!$B$19*INDEX(Curves!$B$4:$AR$4,1,101-Projects!$C$19+1),0)+IF(AND(Projects!$G$20="Yes",101&gt;=Projects!$C$20,101&lt;Projects!$C$20+Projects!$D$20),Projects!$B$20*INDEX(Curves!$B$4:$AR$4,1,101-Projects!$C$20+1),0)+IF(AND(Projects!$G$21="Yes",101&gt;=Projects!$C$21,101&lt;Projects!$C$21+Projects!$D$21),Projects!$B$21*INDEX(Curves!$B$4:$AR$4,1,101-Projects!$C$21+1),0)+IF(AND(Projects!$G$22="Yes",101&gt;=Projects!$C$22,101&lt;Projects!$C$22+Projects!$D$22),Projects!$B$22*INDEX(Curves!$B$4:$AR$4,1,101-Projects!$C$22+1),0)+IF(AND(Projects!$G$23="Yes",101&gt;=Projects!$C$23,101&lt;Projects!$C$23+Projects!$D$23),Projects!$B$23*INDEX(Curves!$B$4:$AR$4,1,101-Projects!$C$23+1),0)+IF(AND(Projects!$G$24="Yes",101&gt;=Projects!$C$24,101&lt;Projects!$C$24+Projects!$D$24),Projects!$B$24*INDEX(Curves!$B$4:$AR$4,1,101-Projects!$C$24+1),0)+IF(AND(Projects!$G$25="Yes",101&gt;=Projects!$C$25,101&lt;Projects!$C$25+Projects!$D$25),Projects!$B$25*INDEX(Curves!$B$4:$AR$4,1,101-Projects!$C$25+1),0)+IF(AND(Projects!$G$26="Yes",101&gt;=Projects!$C$26,101&lt;Projects!$C$26+Projects!$D$26),Projects!$B$26*INDEX(Curves!$B$4:$AR$4,1,101-Projects!$C$26+1),0)+IF(AND(Projects!$G$27="Yes",101&gt;=Projects!$C$27,101&lt;Projects!$C$27+Projects!$D$27),Projects!$B$27*INDEX(Curves!$B$4:$AR$4,1,101-Projects!$C$27+1),0)+IF(AND(Projects!$G$28="Yes",101&gt;=Projects!$C$28,101&lt;Projects!$C$28+Projects!$D$28),Projects!$B$28*INDEX(Curves!$B$4:$AR$4,1,101-Projects!$C$28+1),0)+IF(AND(Projects!$G$29="Yes",101&gt;=Projects!$C$29,101&lt;Projects!$C$29+Projects!$D$29),Projects!$B$29*INDEX(Curves!$B$4:$AR$4,1,101-Projects!$C$29+1),0)+IF(AND(Projects!$G$30="Yes",101&gt;=Projects!$C$30,101&lt;Projects!$C$30+Projects!$D$30),Projects!$B$30*INDEX(Curves!$B$4:$AR$4,1,101-Projects!$C$30+1),0)+IF(AND(Projects!$G$31="Yes",101&gt;=Projects!$C$31,101&lt;Projects!$C$31+Projects!$D$31),Projects!$B$31*INDEX(Curves!$B$4:$AR$4,1,101-Projects!$C$31+1),0)+IF(AND(Projects!$G$32="Yes",101&gt;=Projects!$C$32,101&lt;Projects!$C$32+Projects!$D$32),Projects!$B$32*INDEX(Curves!$B$4:$AR$4,1,101-Projects!$C$32+1),0)+IF(AND(Projects!$G$33="Yes",101&gt;=Projects!$C$33,101&lt;Projects!$C$33+Projects!$D$33),Projects!$B$33*INDEX(Curves!$B$4:$AR$4,1,101-Projects!$C$33+1),0)+IF(AND(Projects!$G$34="Yes",101&gt;=Projects!$C$34,101&lt;Projects!$C$34+Projects!$D$34),Projects!$B$34*INDEX(Curves!$B$4:$AR$4,1,101-Projects!$C$34+1),0)+IF(AND(Projects!$G$35="Yes",101&gt;=Projects!$C$35,101&lt;Projects!$C$35+Projects!$D$35),Projects!$B$35*INDEX(Curves!$B$4:$AR$4,1,101-Projects!$C$35+1),0)+IF(AND(Projects!$G$36="Yes",101&gt;=Projects!$C$36,101&lt;Projects!$C$36+Projects!$D$36),Projects!$B$36*INDEX(Curves!$B$4:$AR$4,1,101-Projects!$C$36+1),0)+IF(AND(Projects!$G$37="Yes",101&gt;=Projects!$C$37,101&lt;Projects!$C$37+Projects!$D$37),Projects!$B$37*INDEX(Curves!$B$4:$AR$4,1,101-Projects!$C$37+1),0)+IF(AND(Projects!$G$38="Yes",101&gt;=Projects!$C$38,101&lt;Projects!$C$38+Projects!$D$38),Projects!$B$38*INDEX(Curves!$B$4:$AR$4,1,101-Projects!$C$38+1),0)+IF(AND(Projects!$G$39="Yes",101&gt;=Projects!$C$39,101&lt;Projects!$C$39+Projects!$D$39),Projects!$B$39*INDEX(Curves!$B$4:$AR$4,1,101-Projects!$C$39+1),0)+IF(AND(Projects!$G$40="Yes",101&gt;=Projects!$C$40,101&lt;Projects!$C$40+Projects!$D$40),Projects!$B$40*INDEX(Curves!$B$4:$AR$4,1,101-Projects!$C$40+1),0)+IF(AND(Projects!$G$41="Yes",101&gt;=Projects!$C$41,101&lt;Projects!$C$41+Projects!$D$41),Projects!$B$41*INDEX(Curves!$B$4:$AR$4,1,101-Projects!$C$41+1),0)+IF(AND(Projects!$G$42="Yes",101&gt;=Projects!$C$42,101&lt;Projects!$C$42+Projects!$D$42),Projects!$B$42*INDEX(Curves!$B$4:$AR$4,1,101-Projects!$C$42+1),0)+IF(AND(Projects!$G$43="Yes",101&gt;=Projects!$C$43,101&lt;Projects!$C$43+Projects!$D$43),Projects!$B$43*INDEX(Curves!$B$4:$AR$4,1,101-Projects!$C$43+1),0)+IF(AND(Projects!$G$44="Yes",101&gt;=Projects!$C$44,101&lt;Projects!$C$44+Projects!$D$44),Projects!$B$44*INDEX(Curves!$B$4:$AR$4,1,101-Projects!$C$44+1),0)+IF(AND(Projects!$G$45="Yes",101&gt;=Projects!$C$45,101&lt;Projects!$C$45+Projects!$D$45),Projects!$B$45*INDEX(Curves!$B$4:$AR$4,1,101-Projects!$C$45+1),0)+IF(AND(Projects!$G$46="Yes",101&gt;=Projects!$C$46,101&lt;Projects!$C$46+Projects!$D$46),Projects!$B$46*INDEX(Curves!$B$4:$AR$4,1,101-Projects!$C$46+1),0)</f>
        <v>0</v>
      </c>
      <c r="DC96" s="315" t="n">
        <f aca="false">IF(AND(Projects!$G$17="Yes",102&gt;=Projects!$C$17,102&lt;Projects!$C$17+Projects!$D$17),Projects!$B$17*INDEX(Curves!$B$4:$AR$4,1,102-Projects!$C$17+1),0)+IF(AND(Projects!$G$18="Yes",102&gt;=Projects!$C$18,102&lt;Projects!$C$18+Projects!$D$18),Projects!$B$18*INDEX(Curves!$B$4:$AR$4,1,102-Projects!$C$18+1),0)+IF(AND(Projects!$G$19="Yes",102&gt;=Projects!$C$19,102&lt;Projects!$C$19+Projects!$D$19),Projects!$B$19*INDEX(Curves!$B$4:$AR$4,1,102-Projects!$C$19+1),0)+IF(AND(Projects!$G$20="Yes",102&gt;=Projects!$C$20,102&lt;Projects!$C$20+Projects!$D$20),Projects!$B$20*INDEX(Curves!$B$4:$AR$4,1,102-Projects!$C$20+1),0)+IF(AND(Projects!$G$21="Yes",102&gt;=Projects!$C$21,102&lt;Projects!$C$21+Projects!$D$21),Projects!$B$21*INDEX(Curves!$B$4:$AR$4,1,102-Projects!$C$21+1),0)+IF(AND(Projects!$G$22="Yes",102&gt;=Projects!$C$22,102&lt;Projects!$C$22+Projects!$D$22),Projects!$B$22*INDEX(Curves!$B$4:$AR$4,1,102-Projects!$C$22+1),0)+IF(AND(Projects!$G$23="Yes",102&gt;=Projects!$C$23,102&lt;Projects!$C$23+Projects!$D$23),Projects!$B$23*INDEX(Curves!$B$4:$AR$4,1,102-Projects!$C$23+1),0)+IF(AND(Projects!$G$24="Yes",102&gt;=Projects!$C$24,102&lt;Projects!$C$24+Projects!$D$24),Projects!$B$24*INDEX(Curves!$B$4:$AR$4,1,102-Projects!$C$24+1),0)+IF(AND(Projects!$G$25="Yes",102&gt;=Projects!$C$25,102&lt;Projects!$C$25+Projects!$D$25),Projects!$B$25*INDEX(Curves!$B$4:$AR$4,1,102-Projects!$C$25+1),0)+IF(AND(Projects!$G$26="Yes",102&gt;=Projects!$C$26,102&lt;Projects!$C$26+Projects!$D$26),Projects!$B$26*INDEX(Curves!$B$4:$AR$4,1,102-Projects!$C$26+1),0)+IF(AND(Projects!$G$27="Yes",102&gt;=Projects!$C$27,102&lt;Projects!$C$27+Projects!$D$27),Projects!$B$27*INDEX(Curves!$B$4:$AR$4,1,102-Projects!$C$27+1),0)+IF(AND(Projects!$G$28="Yes",102&gt;=Projects!$C$28,102&lt;Projects!$C$28+Projects!$D$28),Projects!$B$28*INDEX(Curves!$B$4:$AR$4,1,102-Projects!$C$28+1),0)+IF(AND(Projects!$G$29="Yes",102&gt;=Projects!$C$29,102&lt;Projects!$C$29+Projects!$D$29),Projects!$B$29*INDEX(Curves!$B$4:$AR$4,1,102-Projects!$C$29+1),0)+IF(AND(Projects!$G$30="Yes",102&gt;=Projects!$C$30,102&lt;Projects!$C$30+Projects!$D$30),Projects!$B$30*INDEX(Curves!$B$4:$AR$4,1,102-Projects!$C$30+1),0)+IF(AND(Projects!$G$31="Yes",102&gt;=Projects!$C$31,102&lt;Projects!$C$31+Projects!$D$31),Projects!$B$31*INDEX(Curves!$B$4:$AR$4,1,102-Projects!$C$31+1),0)+IF(AND(Projects!$G$32="Yes",102&gt;=Projects!$C$32,102&lt;Projects!$C$32+Projects!$D$32),Projects!$B$32*INDEX(Curves!$B$4:$AR$4,1,102-Projects!$C$32+1),0)+IF(AND(Projects!$G$33="Yes",102&gt;=Projects!$C$33,102&lt;Projects!$C$33+Projects!$D$33),Projects!$B$33*INDEX(Curves!$B$4:$AR$4,1,102-Projects!$C$33+1),0)+IF(AND(Projects!$G$34="Yes",102&gt;=Projects!$C$34,102&lt;Projects!$C$34+Projects!$D$34),Projects!$B$34*INDEX(Curves!$B$4:$AR$4,1,102-Projects!$C$34+1),0)+IF(AND(Projects!$G$35="Yes",102&gt;=Projects!$C$35,102&lt;Projects!$C$35+Projects!$D$35),Projects!$B$35*INDEX(Curves!$B$4:$AR$4,1,102-Projects!$C$35+1),0)+IF(AND(Projects!$G$36="Yes",102&gt;=Projects!$C$36,102&lt;Projects!$C$36+Projects!$D$36),Projects!$B$36*INDEX(Curves!$B$4:$AR$4,1,102-Projects!$C$36+1),0)+IF(AND(Projects!$G$37="Yes",102&gt;=Projects!$C$37,102&lt;Projects!$C$37+Projects!$D$37),Projects!$B$37*INDEX(Curves!$B$4:$AR$4,1,102-Projects!$C$37+1),0)+IF(AND(Projects!$G$38="Yes",102&gt;=Projects!$C$38,102&lt;Projects!$C$38+Projects!$D$38),Projects!$B$38*INDEX(Curves!$B$4:$AR$4,1,102-Projects!$C$38+1),0)+IF(AND(Projects!$G$39="Yes",102&gt;=Projects!$C$39,102&lt;Projects!$C$39+Projects!$D$39),Projects!$B$39*INDEX(Curves!$B$4:$AR$4,1,102-Projects!$C$39+1),0)+IF(AND(Projects!$G$40="Yes",102&gt;=Projects!$C$40,102&lt;Projects!$C$40+Projects!$D$40),Projects!$B$40*INDEX(Curves!$B$4:$AR$4,1,102-Projects!$C$40+1),0)+IF(AND(Projects!$G$41="Yes",102&gt;=Projects!$C$41,102&lt;Projects!$C$41+Projects!$D$41),Projects!$B$41*INDEX(Curves!$B$4:$AR$4,1,102-Projects!$C$41+1),0)+IF(AND(Projects!$G$42="Yes",102&gt;=Projects!$C$42,102&lt;Projects!$C$42+Projects!$D$42),Projects!$B$42*INDEX(Curves!$B$4:$AR$4,1,102-Projects!$C$42+1),0)+IF(AND(Projects!$G$43="Yes",102&gt;=Projects!$C$43,102&lt;Projects!$C$43+Projects!$D$43),Projects!$B$43*INDEX(Curves!$B$4:$AR$4,1,102-Projects!$C$43+1),0)+IF(AND(Projects!$G$44="Yes",102&gt;=Projects!$C$44,102&lt;Projects!$C$44+Projects!$D$44),Projects!$B$44*INDEX(Curves!$B$4:$AR$4,1,102-Projects!$C$44+1),0)+IF(AND(Projects!$G$45="Yes",102&gt;=Projects!$C$45,102&lt;Projects!$C$45+Projects!$D$45),Projects!$B$45*INDEX(Curves!$B$4:$AR$4,1,102-Projects!$C$45+1),0)+IF(AND(Projects!$G$46="Yes",102&gt;=Projects!$C$46,102&lt;Projects!$C$46+Projects!$D$46),Projects!$B$46*INDEX(Curves!$B$4:$AR$4,1,102-Projects!$C$46+1),0)</f>
        <v>0</v>
      </c>
      <c r="DD96" s="315" t="n">
        <f aca="false">IF(AND(Projects!$G$17="Yes",103&gt;=Projects!$C$17,103&lt;Projects!$C$17+Projects!$D$17),Projects!$B$17*INDEX(Curves!$B$4:$AR$4,1,103-Projects!$C$17+1),0)+IF(AND(Projects!$G$18="Yes",103&gt;=Projects!$C$18,103&lt;Projects!$C$18+Projects!$D$18),Projects!$B$18*INDEX(Curves!$B$4:$AR$4,1,103-Projects!$C$18+1),0)+IF(AND(Projects!$G$19="Yes",103&gt;=Projects!$C$19,103&lt;Projects!$C$19+Projects!$D$19),Projects!$B$19*INDEX(Curves!$B$4:$AR$4,1,103-Projects!$C$19+1),0)+IF(AND(Projects!$G$20="Yes",103&gt;=Projects!$C$20,103&lt;Projects!$C$20+Projects!$D$20),Projects!$B$20*INDEX(Curves!$B$4:$AR$4,1,103-Projects!$C$20+1),0)+IF(AND(Projects!$G$21="Yes",103&gt;=Projects!$C$21,103&lt;Projects!$C$21+Projects!$D$21),Projects!$B$21*INDEX(Curves!$B$4:$AR$4,1,103-Projects!$C$21+1),0)+IF(AND(Projects!$G$22="Yes",103&gt;=Projects!$C$22,103&lt;Projects!$C$22+Projects!$D$22),Projects!$B$22*INDEX(Curves!$B$4:$AR$4,1,103-Projects!$C$22+1),0)+IF(AND(Projects!$G$23="Yes",103&gt;=Projects!$C$23,103&lt;Projects!$C$23+Projects!$D$23),Projects!$B$23*INDEX(Curves!$B$4:$AR$4,1,103-Projects!$C$23+1),0)+IF(AND(Projects!$G$24="Yes",103&gt;=Projects!$C$24,103&lt;Projects!$C$24+Projects!$D$24),Projects!$B$24*INDEX(Curves!$B$4:$AR$4,1,103-Projects!$C$24+1),0)+IF(AND(Projects!$G$25="Yes",103&gt;=Projects!$C$25,103&lt;Projects!$C$25+Projects!$D$25),Projects!$B$25*INDEX(Curves!$B$4:$AR$4,1,103-Projects!$C$25+1),0)+IF(AND(Projects!$G$26="Yes",103&gt;=Projects!$C$26,103&lt;Projects!$C$26+Projects!$D$26),Projects!$B$26*INDEX(Curves!$B$4:$AR$4,1,103-Projects!$C$26+1),0)+IF(AND(Projects!$G$27="Yes",103&gt;=Projects!$C$27,103&lt;Projects!$C$27+Projects!$D$27),Projects!$B$27*INDEX(Curves!$B$4:$AR$4,1,103-Projects!$C$27+1),0)+IF(AND(Projects!$G$28="Yes",103&gt;=Projects!$C$28,103&lt;Projects!$C$28+Projects!$D$28),Projects!$B$28*INDEX(Curves!$B$4:$AR$4,1,103-Projects!$C$28+1),0)+IF(AND(Projects!$G$29="Yes",103&gt;=Projects!$C$29,103&lt;Projects!$C$29+Projects!$D$29),Projects!$B$29*INDEX(Curves!$B$4:$AR$4,1,103-Projects!$C$29+1),0)+IF(AND(Projects!$G$30="Yes",103&gt;=Projects!$C$30,103&lt;Projects!$C$30+Projects!$D$30),Projects!$B$30*INDEX(Curves!$B$4:$AR$4,1,103-Projects!$C$30+1),0)+IF(AND(Projects!$G$31="Yes",103&gt;=Projects!$C$31,103&lt;Projects!$C$31+Projects!$D$31),Projects!$B$31*INDEX(Curves!$B$4:$AR$4,1,103-Projects!$C$31+1),0)+IF(AND(Projects!$G$32="Yes",103&gt;=Projects!$C$32,103&lt;Projects!$C$32+Projects!$D$32),Projects!$B$32*INDEX(Curves!$B$4:$AR$4,1,103-Projects!$C$32+1),0)+IF(AND(Projects!$G$33="Yes",103&gt;=Projects!$C$33,103&lt;Projects!$C$33+Projects!$D$33),Projects!$B$33*INDEX(Curves!$B$4:$AR$4,1,103-Projects!$C$33+1),0)+IF(AND(Projects!$G$34="Yes",103&gt;=Projects!$C$34,103&lt;Projects!$C$34+Projects!$D$34),Projects!$B$34*INDEX(Curves!$B$4:$AR$4,1,103-Projects!$C$34+1),0)+IF(AND(Projects!$G$35="Yes",103&gt;=Projects!$C$35,103&lt;Projects!$C$35+Projects!$D$35),Projects!$B$35*INDEX(Curves!$B$4:$AR$4,1,103-Projects!$C$35+1),0)+IF(AND(Projects!$G$36="Yes",103&gt;=Projects!$C$36,103&lt;Projects!$C$36+Projects!$D$36),Projects!$B$36*INDEX(Curves!$B$4:$AR$4,1,103-Projects!$C$36+1),0)+IF(AND(Projects!$G$37="Yes",103&gt;=Projects!$C$37,103&lt;Projects!$C$37+Projects!$D$37),Projects!$B$37*INDEX(Curves!$B$4:$AR$4,1,103-Projects!$C$37+1),0)+IF(AND(Projects!$G$38="Yes",103&gt;=Projects!$C$38,103&lt;Projects!$C$38+Projects!$D$38),Projects!$B$38*INDEX(Curves!$B$4:$AR$4,1,103-Projects!$C$38+1),0)+IF(AND(Projects!$G$39="Yes",103&gt;=Projects!$C$39,103&lt;Projects!$C$39+Projects!$D$39),Projects!$B$39*INDEX(Curves!$B$4:$AR$4,1,103-Projects!$C$39+1),0)+IF(AND(Projects!$G$40="Yes",103&gt;=Projects!$C$40,103&lt;Projects!$C$40+Projects!$D$40),Projects!$B$40*INDEX(Curves!$B$4:$AR$4,1,103-Projects!$C$40+1),0)+IF(AND(Projects!$G$41="Yes",103&gt;=Projects!$C$41,103&lt;Projects!$C$41+Projects!$D$41),Projects!$B$41*INDEX(Curves!$B$4:$AR$4,1,103-Projects!$C$41+1),0)+IF(AND(Projects!$G$42="Yes",103&gt;=Projects!$C$42,103&lt;Projects!$C$42+Projects!$D$42),Projects!$B$42*INDEX(Curves!$B$4:$AR$4,1,103-Projects!$C$42+1),0)+IF(AND(Projects!$G$43="Yes",103&gt;=Projects!$C$43,103&lt;Projects!$C$43+Projects!$D$43),Projects!$B$43*INDEX(Curves!$B$4:$AR$4,1,103-Projects!$C$43+1),0)+IF(AND(Projects!$G$44="Yes",103&gt;=Projects!$C$44,103&lt;Projects!$C$44+Projects!$D$44),Projects!$B$44*INDEX(Curves!$B$4:$AR$4,1,103-Projects!$C$44+1),0)+IF(AND(Projects!$G$45="Yes",103&gt;=Projects!$C$45,103&lt;Projects!$C$45+Projects!$D$45),Projects!$B$45*INDEX(Curves!$B$4:$AR$4,1,103-Projects!$C$45+1),0)+IF(AND(Projects!$G$46="Yes",103&gt;=Projects!$C$46,103&lt;Projects!$C$46+Projects!$D$46),Projects!$B$46*INDEX(Curves!$B$4:$AR$4,1,103-Projects!$C$46+1),0)</f>
        <v>0</v>
      </c>
      <c r="DE96" s="315" t="n">
        <f aca="false">IF(AND(Projects!$G$17="Yes",104&gt;=Projects!$C$17,104&lt;Projects!$C$17+Projects!$D$17),Projects!$B$17*INDEX(Curves!$B$4:$AR$4,1,104-Projects!$C$17+1),0)+IF(AND(Projects!$G$18="Yes",104&gt;=Projects!$C$18,104&lt;Projects!$C$18+Projects!$D$18),Projects!$B$18*INDEX(Curves!$B$4:$AR$4,1,104-Projects!$C$18+1),0)+IF(AND(Projects!$G$19="Yes",104&gt;=Projects!$C$19,104&lt;Projects!$C$19+Projects!$D$19),Projects!$B$19*INDEX(Curves!$B$4:$AR$4,1,104-Projects!$C$19+1),0)+IF(AND(Projects!$G$20="Yes",104&gt;=Projects!$C$20,104&lt;Projects!$C$20+Projects!$D$20),Projects!$B$20*INDEX(Curves!$B$4:$AR$4,1,104-Projects!$C$20+1),0)+IF(AND(Projects!$G$21="Yes",104&gt;=Projects!$C$21,104&lt;Projects!$C$21+Projects!$D$21),Projects!$B$21*INDEX(Curves!$B$4:$AR$4,1,104-Projects!$C$21+1),0)+IF(AND(Projects!$G$22="Yes",104&gt;=Projects!$C$22,104&lt;Projects!$C$22+Projects!$D$22),Projects!$B$22*INDEX(Curves!$B$4:$AR$4,1,104-Projects!$C$22+1),0)+IF(AND(Projects!$G$23="Yes",104&gt;=Projects!$C$23,104&lt;Projects!$C$23+Projects!$D$23),Projects!$B$23*INDEX(Curves!$B$4:$AR$4,1,104-Projects!$C$23+1),0)+IF(AND(Projects!$G$24="Yes",104&gt;=Projects!$C$24,104&lt;Projects!$C$24+Projects!$D$24),Projects!$B$24*INDEX(Curves!$B$4:$AR$4,1,104-Projects!$C$24+1),0)+IF(AND(Projects!$G$25="Yes",104&gt;=Projects!$C$25,104&lt;Projects!$C$25+Projects!$D$25),Projects!$B$25*INDEX(Curves!$B$4:$AR$4,1,104-Projects!$C$25+1),0)+IF(AND(Projects!$G$26="Yes",104&gt;=Projects!$C$26,104&lt;Projects!$C$26+Projects!$D$26),Projects!$B$26*INDEX(Curves!$B$4:$AR$4,1,104-Projects!$C$26+1),0)+IF(AND(Projects!$G$27="Yes",104&gt;=Projects!$C$27,104&lt;Projects!$C$27+Projects!$D$27),Projects!$B$27*INDEX(Curves!$B$4:$AR$4,1,104-Projects!$C$27+1),0)+IF(AND(Projects!$G$28="Yes",104&gt;=Projects!$C$28,104&lt;Projects!$C$28+Projects!$D$28),Projects!$B$28*INDEX(Curves!$B$4:$AR$4,1,104-Projects!$C$28+1),0)+IF(AND(Projects!$G$29="Yes",104&gt;=Projects!$C$29,104&lt;Projects!$C$29+Projects!$D$29),Projects!$B$29*INDEX(Curves!$B$4:$AR$4,1,104-Projects!$C$29+1),0)+IF(AND(Projects!$G$30="Yes",104&gt;=Projects!$C$30,104&lt;Projects!$C$30+Projects!$D$30),Projects!$B$30*INDEX(Curves!$B$4:$AR$4,1,104-Projects!$C$30+1),0)+IF(AND(Projects!$G$31="Yes",104&gt;=Projects!$C$31,104&lt;Projects!$C$31+Projects!$D$31),Projects!$B$31*INDEX(Curves!$B$4:$AR$4,1,104-Projects!$C$31+1),0)+IF(AND(Projects!$G$32="Yes",104&gt;=Projects!$C$32,104&lt;Projects!$C$32+Projects!$D$32),Projects!$B$32*INDEX(Curves!$B$4:$AR$4,1,104-Projects!$C$32+1),0)+IF(AND(Projects!$G$33="Yes",104&gt;=Projects!$C$33,104&lt;Projects!$C$33+Projects!$D$33),Projects!$B$33*INDEX(Curves!$B$4:$AR$4,1,104-Projects!$C$33+1),0)+IF(AND(Projects!$G$34="Yes",104&gt;=Projects!$C$34,104&lt;Projects!$C$34+Projects!$D$34),Projects!$B$34*INDEX(Curves!$B$4:$AR$4,1,104-Projects!$C$34+1),0)+IF(AND(Projects!$G$35="Yes",104&gt;=Projects!$C$35,104&lt;Projects!$C$35+Projects!$D$35),Projects!$B$35*INDEX(Curves!$B$4:$AR$4,1,104-Projects!$C$35+1),0)+IF(AND(Projects!$G$36="Yes",104&gt;=Projects!$C$36,104&lt;Projects!$C$36+Projects!$D$36),Projects!$B$36*INDEX(Curves!$B$4:$AR$4,1,104-Projects!$C$36+1),0)+IF(AND(Projects!$G$37="Yes",104&gt;=Projects!$C$37,104&lt;Projects!$C$37+Projects!$D$37),Projects!$B$37*INDEX(Curves!$B$4:$AR$4,1,104-Projects!$C$37+1),0)+IF(AND(Projects!$G$38="Yes",104&gt;=Projects!$C$38,104&lt;Projects!$C$38+Projects!$D$38),Projects!$B$38*INDEX(Curves!$B$4:$AR$4,1,104-Projects!$C$38+1),0)+IF(AND(Projects!$G$39="Yes",104&gt;=Projects!$C$39,104&lt;Projects!$C$39+Projects!$D$39),Projects!$B$39*INDEX(Curves!$B$4:$AR$4,1,104-Projects!$C$39+1),0)+IF(AND(Projects!$G$40="Yes",104&gt;=Projects!$C$40,104&lt;Projects!$C$40+Projects!$D$40),Projects!$B$40*INDEX(Curves!$B$4:$AR$4,1,104-Projects!$C$40+1),0)+IF(AND(Projects!$G$41="Yes",104&gt;=Projects!$C$41,104&lt;Projects!$C$41+Projects!$D$41),Projects!$B$41*INDEX(Curves!$B$4:$AR$4,1,104-Projects!$C$41+1),0)+IF(AND(Projects!$G$42="Yes",104&gt;=Projects!$C$42,104&lt;Projects!$C$42+Projects!$D$42),Projects!$B$42*INDEX(Curves!$B$4:$AR$4,1,104-Projects!$C$42+1),0)+IF(AND(Projects!$G$43="Yes",104&gt;=Projects!$C$43,104&lt;Projects!$C$43+Projects!$D$43),Projects!$B$43*INDEX(Curves!$B$4:$AR$4,1,104-Projects!$C$43+1),0)+IF(AND(Projects!$G$44="Yes",104&gt;=Projects!$C$44,104&lt;Projects!$C$44+Projects!$D$44),Projects!$B$44*INDEX(Curves!$B$4:$AR$4,1,104-Projects!$C$44+1),0)+IF(AND(Projects!$G$45="Yes",104&gt;=Projects!$C$45,104&lt;Projects!$C$45+Projects!$D$45),Projects!$B$45*INDEX(Curves!$B$4:$AR$4,1,104-Projects!$C$45+1),0)+IF(AND(Projects!$G$46="Yes",104&gt;=Projects!$C$46,104&lt;Projects!$C$46+Projects!$D$46),Projects!$B$46*INDEX(Curves!$B$4:$AR$4,1,104-Projects!$C$46+1),0)</f>
        <v>0</v>
      </c>
      <c r="DF96" s="315" t="n">
        <f aca="false">IF(AND(Projects!$G$17="Yes",105&gt;=Projects!$C$17,105&lt;Projects!$C$17+Projects!$D$17),Projects!$B$17*INDEX(Curves!$B$4:$AR$4,1,105-Projects!$C$17+1),0)+IF(AND(Projects!$G$18="Yes",105&gt;=Projects!$C$18,105&lt;Projects!$C$18+Projects!$D$18),Projects!$B$18*INDEX(Curves!$B$4:$AR$4,1,105-Projects!$C$18+1),0)+IF(AND(Projects!$G$19="Yes",105&gt;=Projects!$C$19,105&lt;Projects!$C$19+Projects!$D$19),Projects!$B$19*INDEX(Curves!$B$4:$AR$4,1,105-Projects!$C$19+1),0)+IF(AND(Projects!$G$20="Yes",105&gt;=Projects!$C$20,105&lt;Projects!$C$20+Projects!$D$20),Projects!$B$20*INDEX(Curves!$B$4:$AR$4,1,105-Projects!$C$20+1),0)+IF(AND(Projects!$G$21="Yes",105&gt;=Projects!$C$21,105&lt;Projects!$C$21+Projects!$D$21),Projects!$B$21*INDEX(Curves!$B$4:$AR$4,1,105-Projects!$C$21+1),0)+IF(AND(Projects!$G$22="Yes",105&gt;=Projects!$C$22,105&lt;Projects!$C$22+Projects!$D$22),Projects!$B$22*INDEX(Curves!$B$4:$AR$4,1,105-Projects!$C$22+1),0)+IF(AND(Projects!$G$23="Yes",105&gt;=Projects!$C$23,105&lt;Projects!$C$23+Projects!$D$23),Projects!$B$23*INDEX(Curves!$B$4:$AR$4,1,105-Projects!$C$23+1),0)+IF(AND(Projects!$G$24="Yes",105&gt;=Projects!$C$24,105&lt;Projects!$C$24+Projects!$D$24),Projects!$B$24*INDEX(Curves!$B$4:$AR$4,1,105-Projects!$C$24+1),0)+IF(AND(Projects!$G$25="Yes",105&gt;=Projects!$C$25,105&lt;Projects!$C$25+Projects!$D$25),Projects!$B$25*INDEX(Curves!$B$4:$AR$4,1,105-Projects!$C$25+1),0)+IF(AND(Projects!$G$26="Yes",105&gt;=Projects!$C$26,105&lt;Projects!$C$26+Projects!$D$26),Projects!$B$26*INDEX(Curves!$B$4:$AR$4,1,105-Projects!$C$26+1),0)+IF(AND(Projects!$G$27="Yes",105&gt;=Projects!$C$27,105&lt;Projects!$C$27+Projects!$D$27),Projects!$B$27*INDEX(Curves!$B$4:$AR$4,1,105-Projects!$C$27+1),0)+IF(AND(Projects!$G$28="Yes",105&gt;=Projects!$C$28,105&lt;Projects!$C$28+Projects!$D$28),Projects!$B$28*INDEX(Curves!$B$4:$AR$4,1,105-Projects!$C$28+1),0)+IF(AND(Projects!$G$29="Yes",105&gt;=Projects!$C$29,105&lt;Projects!$C$29+Projects!$D$29),Projects!$B$29*INDEX(Curves!$B$4:$AR$4,1,105-Projects!$C$29+1),0)+IF(AND(Projects!$G$30="Yes",105&gt;=Projects!$C$30,105&lt;Projects!$C$30+Projects!$D$30),Projects!$B$30*INDEX(Curves!$B$4:$AR$4,1,105-Projects!$C$30+1),0)+IF(AND(Projects!$G$31="Yes",105&gt;=Projects!$C$31,105&lt;Projects!$C$31+Projects!$D$31),Projects!$B$31*INDEX(Curves!$B$4:$AR$4,1,105-Projects!$C$31+1),0)+IF(AND(Projects!$G$32="Yes",105&gt;=Projects!$C$32,105&lt;Projects!$C$32+Projects!$D$32),Projects!$B$32*INDEX(Curves!$B$4:$AR$4,1,105-Projects!$C$32+1),0)+IF(AND(Projects!$G$33="Yes",105&gt;=Projects!$C$33,105&lt;Projects!$C$33+Projects!$D$33),Projects!$B$33*INDEX(Curves!$B$4:$AR$4,1,105-Projects!$C$33+1),0)+IF(AND(Projects!$G$34="Yes",105&gt;=Projects!$C$34,105&lt;Projects!$C$34+Projects!$D$34),Projects!$B$34*INDEX(Curves!$B$4:$AR$4,1,105-Projects!$C$34+1),0)+IF(AND(Projects!$G$35="Yes",105&gt;=Projects!$C$35,105&lt;Projects!$C$35+Projects!$D$35),Projects!$B$35*INDEX(Curves!$B$4:$AR$4,1,105-Projects!$C$35+1),0)+IF(AND(Projects!$G$36="Yes",105&gt;=Projects!$C$36,105&lt;Projects!$C$36+Projects!$D$36),Projects!$B$36*INDEX(Curves!$B$4:$AR$4,1,105-Projects!$C$36+1),0)+IF(AND(Projects!$G$37="Yes",105&gt;=Projects!$C$37,105&lt;Projects!$C$37+Projects!$D$37),Projects!$B$37*INDEX(Curves!$B$4:$AR$4,1,105-Projects!$C$37+1),0)+IF(AND(Projects!$G$38="Yes",105&gt;=Projects!$C$38,105&lt;Projects!$C$38+Projects!$D$38),Projects!$B$38*INDEX(Curves!$B$4:$AR$4,1,105-Projects!$C$38+1),0)+IF(AND(Projects!$G$39="Yes",105&gt;=Projects!$C$39,105&lt;Projects!$C$39+Projects!$D$39),Projects!$B$39*INDEX(Curves!$B$4:$AR$4,1,105-Projects!$C$39+1),0)+IF(AND(Projects!$G$40="Yes",105&gt;=Projects!$C$40,105&lt;Projects!$C$40+Projects!$D$40),Projects!$B$40*INDEX(Curves!$B$4:$AR$4,1,105-Projects!$C$40+1),0)+IF(AND(Projects!$G$41="Yes",105&gt;=Projects!$C$41,105&lt;Projects!$C$41+Projects!$D$41),Projects!$B$41*INDEX(Curves!$B$4:$AR$4,1,105-Projects!$C$41+1),0)+IF(AND(Projects!$G$42="Yes",105&gt;=Projects!$C$42,105&lt;Projects!$C$42+Projects!$D$42),Projects!$B$42*INDEX(Curves!$B$4:$AR$4,1,105-Projects!$C$42+1),0)+IF(AND(Projects!$G$43="Yes",105&gt;=Projects!$C$43,105&lt;Projects!$C$43+Projects!$D$43),Projects!$B$43*INDEX(Curves!$B$4:$AR$4,1,105-Projects!$C$43+1),0)+IF(AND(Projects!$G$44="Yes",105&gt;=Projects!$C$44,105&lt;Projects!$C$44+Projects!$D$44),Projects!$B$44*INDEX(Curves!$B$4:$AR$4,1,105-Projects!$C$44+1),0)+IF(AND(Projects!$G$45="Yes",105&gt;=Projects!$C$45,105&lt;Projects!$C$45+Projects!$D$45),Projects!$B$45*INDEX(Curves!$B$4:$AR$4,1,105-Projects!$C$45+1),0)+IF(AND(Projects!$G$46="Yes",105&gt;=Projects!$C$46,105&lt;Projects!$C$46+Projects!$D$46),Projects!$B$46*INDEX(Curves!$B$4:$AR$4,1,105-Projects!$C$46+1),0)</f>
        <v>0</v>
      </c>
    </row>
    <row r="97" customFormat="false" ht="15" hidden="false" customHeight="true" outlineLevel="0" collapsed="false">
      <c r="A97" s="72" t="s">
        <v>1179</v>
      </c>
      <c r="C97" s="315" t="n">
        <f aca="false">C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D97" s="315" t="n">
        <f aca="false">D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E97" s="315" t="n">
        <f aca="false">E96+SUMPRODUCT((Projects!$G$17:$G$46="Yes")*(0&gt;=Projects!$C$17:$C$46)*(0&lt;Projects!$C$17:$C$46+Projects!$D$17:$D$46)*Projects!$B$17:$B$46*Assumptions!$B$10/Projects!$D$17:$D$46*0.95)+SUMPRODUCT((Projects!$G$17:$G$46="Yes")*(0=Projects!$C$17:$C$46+Projects!$D$17:$D$46-1)*Projects!$B$17:$B$46*Assumptions!$B$10*0.05)+SUMPRODUCT((Projects!$G$17:$G$46="Yes")*(0&gt;=Projects!$C$17:$C$46)*(0&lt;Projects!$C$17:$C$46+Projects!$D$17:$D$46)*Projects!$B$17:$B$46*Assumptions!$B$11/Projects!$D$17:$D$46*0.95)+SUMPRODUCT((Projects!$G$17:$G$46="Yes")*(0=Projects!$C$17:$C$46+Projects!$D$17:$D$46-1)*Projects!$B$17:$B$46*Assumptions!$B$11*0.05)+SUMPRODUCT((Projects!$G$17:$G$46="Yes")*(0&gt;=Projects!$C$17:$C$46)*(0&lt;Projects!$C$17:$C$46+Projects!$D$17:$D$46)*Projects!$B$17:$B$46*Assumptions!$B$12/Projects!$D$17:$D$46*0.95)+SUMPRODUCT((Projects!$G$17:$G$46="Yes")*(0=Projects!$C$17:$C$46+Projects!$D$17:$D$46-1)*Projects!$B$17:$B$46*Assumptions!$B$12*0.05)</f>
        <v>0</v>
      </c>
      <c r="F97" s="315" t="n">
        <f aca="false">F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G97" s="315" t="n">
        <f aca="false">G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H97" s="315" t="n">
        <f aca="false">H96+SUMPRODUCT((Projects!$G$17:$G$46="Yes")*(3&gt;=Projects!$C$17:$C$46)*(3&lt;Projects!$C$17:$C$46+Projects!$D$17:$D$46)*Projects!$B$17:$B$46*Assumptions!$B$10/Projects!$D$17:$D$46*0.95)+SUMPRODUCT((Projects!$G$17:$G$46="Yes")*(3=Projects!$C$17:$C$46+Projects!$D$17:$D$46-1)*Projects!$B$17:$B$46*Assumptions!$B$10*0.05)+SUMPRODUCT((Projects!$G$17:$G$46="Yes")*(3&gt;=Projects!$C$17:$C$46)*(3&lt;Projects!$C$17:$C$46+Projects!$D$17:$D$46)*Projects!$B$17:$B$46*Assumptions!$B$11/Projects!$D$17:$D$46*0.95)+SUMPRODUCT((Projects!$G$17:$G$46="Yes")*(3=Projects!$C$17:$C$46+Projects!$D$17:$D$46-1)*Projects!$B$17:$B$46*Assumptions!$B$11*0.05)+SUMPRODUCT((Projects!$G$17:$G$46="Yes")*(3&gt;=Projects!$C$17:$C$46)*(3&lt;Projects!$C$17:$C$46+Projects!$D$17:$D$46)*Projects!$B$17:$B$46*Assumptions!$B$12/Projects!$D$17:$D$46*0.95)+SUMPRODUCT((Projects!$G$17:$G$46="Yes")*(3=Projects!$C$17:$C$46+Projects!$D$17:$D$46-1)*Projects!$B$17:$B$46*Assumptions!$B$12*0.05)</f>
        <v>0</v>
      </c>
      <c r="I97" s="315" t="n">
        <f aca="false">I96+SUMPRODUCT((Projects!$G$17:$G$46="Yes")*(4&gt;=Projects!$C$17:$C$46)*(4&lt;Projects!$C$17:$C$46+Projects!$D$17:$D$46)*Projects!$B$17:$B$46*Assumptions!$B$10/Projects!$D$17:$D$46*0.95)+SUMPRODUCT((Projects!$G$17:$G$46="Yes")*(4=Projects!$C$17:$C$46+Projects!$D$17:$D$46-1)*Projects!$B$17:$B$46*Assumptions!$B$10*0.05)+SUMPRODUCT((Projects!$G$17:$G$46="Yes")*(4&gt;=Projects!$C$17:$C$46)*(4&lt;Projects!$C$17:$C$46+Projects!$D$17:$D$46)*Projects!$B$17:$B$46*Assumptions!$B$11/Projects!$D$17:$D$46*0.95)+SUMPRODUCT((Projects!$G$17:$G$46="Yes")*(4=Projects!$C$17:$C$46+Projects!$D$17:$D$46-1)*Projects!$B$17:$B$46*Assumptions!$B$11*0.05)+SUMPRODUCT((Projects!$G$17:$G$46="Yes")*(4&gt;=Projects!$C$17:$C$46)*(4&lt;Projects!$C$17:$C$46+Projects!$D$17:$D$46)*Projects!$B$17:$B$46*Assumptions!$B$12/Projects!$D$17:$D$46*0.95)+SUMPRODUCT((Projects!$G$17:$G$46="Yes")*(4=Projects!$C$17:$C$46+Projects!$D$17:$D$46-1)*Projects!$B$17:$B$46*Assumptions!$B$12*0.05)</f>
        <v>0</v>
      </c>
      <c r="J97" s="315" t="n">
        <f aca="false">J96+SUMPRODUCT((Projects!$G$17:$G$46="Yes")*(5&gt;=Projects!$C$17:$C$46)*(5&lt;Projects!$C$17:$C$46+Projects!$D$17:$D$46)*Projects!$B$17:$B$46*Assumptions!$B$10/Projects!$D$17:$D$46*0.95)+SUMPRODUCT((Projects!$G$17:$G$46="Yes")*(5=Projects!$C$17:$C$46+Projects!$D$17:$D$46-1)*Projects!$B$17:$B$46*Assumptions!$B$10*0.05)+SUMPRODUCT((Projects!$G$17:$G$46="Yes")*(5&gt;=Projects!$C$17:$C$46)*(5&lt;Projects!$C$17:$C$46+Projects!$D$17:$D$46)*Projects!$B$17:$B$46*Assumptions!$B$11/Projects!$D$17:$D$46*0.95)+SUMPRODUCT((Projects!$G$17:$G$46="Yes")*(5=Projects!$C$17:$C$46+Projects!$D$17:$D$46-1)*Projects!$B$17:$B$46*Assumptions!$B$11*0.05)+SUMPRODUCT((Projects!$G$17:$G$46="Yes")*(5&gt;=Projects!$C$17:$C$46)*(5&lt;Projects!$C$17:$C$46+Projects!$D$17:$D$46)*Projects!$B$17:$B$46*Assumptions!$B$12/Projects!$D$17:$D$46*0.95)+SUMPRODUCT((Projects!$G$17:$G$46="Yes")*(5=Projects!$C$17:$C$46+Projects!$D$17:$D$46-1)*Projects!$B$17:$B$46*Assumptions!$B$12*0.05)</f>
        <v>0</v>
      </c>
      <c r="K97" s="315" t="n">
        <f aca="false">K96+SUMPRODUCT((Projects!$G$17:$G$46="Yes")*(6&gt;=Projects!$C$17:$C$46)*(6&lt;Projects!$C$17:$C$46+Projects!$D$17:$D$46)*Projects!$B$17:$B$46*Assumptions!$B$10/Projects!$D$17:$D$46*0.95)+SUMPRODUCT((Projects!$G$17:$G$46="Yes")*(6=Projects!$C$17:$C$46+Projects!$D$17:$D$46-1)*Projects!$B$17:$B$46*Assumptions!$B$10*0.05)+SUMPRODUCT((Projects!$G$17:$G$46="Yes")*(6&gt;=Projects!$C$17:$C$46)*(6&lt;Projects!$C$17:$C$46+Projects!$D$17:$D$46)*Projects!$B$17:$B$46*Assumptions!$B$11/Projects!$D$17:$D$46*0.95)+SUMPRODUCT((Projects!$G$17:$G$46="Yes")*(6=Projects!$C$17:$C$46+Projects!$D$17:$D$46-1)*Projects!$B$17:$B$46*Assumptions!$B$11*0.05)+SUMPRODUCT((Projects!$G$17:$G$46="Yes")*(6&gt;=Projects!$C$17:$C$46)*(6&lt;Projects!$C$17:$C$46+Projects!$D$17:$D$46)*Projects!$B$17:$B$46*Assumptions!$B$12/Projects!$D$17:$D$46*0.95)+SUMPRODUCT((Projects!$G$17:$G$46="Yes")*(6=Projects!$C$17:$C$46+Projects!$D$17:$D$46-1)*Projects!$B$17:$B$46*Assumptions!$B$12*0.05)</f>
        <v>0</v>
      </c>
      <c r="L97" s="315" t="n">
        <f aca="false">L96+SUMPRODUCT((Projects!$G$17:$G$46="Yes")*(7&gt;=Projects!$C$17:$C$46)*(7&lt;Projects!$C$17:$C$46+Projects!$D$17:$D$46)*Projects!$B$17:$B$46*Assumptions!$B$10/Projects!$D$17:$D$46*0.95)+SUMPRODUCT((Projects!$G$17:$G$46="Yes")*(7=Projects!$C$17:$C$46+Projects!$D$17:$D$46-1)*Projects!$B$17:$B$46*Assumptions!$B$10*0.05)+SUMPRODUCT((Projects!$G$17:$G$46="Yes")*(7&gt;=Projects!$C$17:$C$46)*(7&lt;Projects!$C$17:$C$46+Projects!$D$17:$D$46)*Projects!$B$17:$B$46*Assumptions!$B$11/Projects!$D$17:$D$46*0.95)+SUMPRODUCT((Projects!$G$17:$G$46="Yes")*(7=Projects!$C$17:$C$46+Projects!$D$17:$D$46-1)*Projects!$B$17:$B$46*Assumptions!$B$11*0.05)+SUMPRODUCT((Projects!$G$17:$G$46="Yes")*(7&gt;=Projects!$C$17:$C$46)*(7&lt;Projects!$C$17:$C$46+Projects!$D$17:$D$46)*Projects!$B$17:$B$46*Assumptions!$B$12/Projects!$D$17:$D$46*0.95)+SUMPRODUCT((Projects!$G$17:$G$46="Yes")*(7=Projects!$C$17:$C$46+Projects!$D$17:$D$46-1)*Projects!$B$17:$B$46*Assumptions!$B$12*0.05)</f>
        <v>0</v>
      </c>
      <c r="M97" s="315" t="n">
        <f aca="false">M96+SUMPRODUCT((Projects!$G$17:$G$46="Yes")*(8&gt;=Projects!$C$17:$C$46)*(8&lt;Projects!$C$17:$C$46+Projects!$D$17:$D$46)*Projects!$B$17:$B$46*Assumptions!$B$10/Projects!$D$17:$D$46*0.95)+SUMPRODUCT((Projects!$G$17:$G$46="Yes")*(8=Projects!$C$17:$C$46+Projects!$D$17:$D$46-1)*Projects!$B$17:$B$46*Assumptions!$B$10*0.05)+SUMPRODUCT((Projects!$G$17:$G$46="Yes")*(8&gt;=Projects!$C$17:$C$46)*(8&lt;Projects!$C$17:$C$46+Projects!$D$17:$D$46)*Projects!$B$17:$B$46*Assumptions!$B$11/Projects!$D$17:$D$46*0.95)+SUMPRODUCT((Projects!$G$17:$G$46="Yes")*(8=Projects!$C$17:$C$46+Projects!$D$17:$D$46-1)*Projects!$B$17:$B$46*Assumptions!$B$11*0.05)+SUMPRODUCT((Projects!$G$17:$G$46="Yes")*(8&gt;=Projects!$C$17:$C$46)*(8&lt;Projects!$C$17:$C$46+Projects!$D$17:$D$46)*Projects!$B$17:$B$46*Assumptions!$B$12/Projects!$D$17:$D$46*0.95)+SUMPRODUCT((Projects!$G$17:$G$46="Yes")*(8=Projects!$C$17:$C$46+Projects!$D$17:$D$46-1)*Projects!$B$17:$B$46*Assumptions!$B$12*0.05)</f>
        <v>0</v>
      </c>
      <c r="N97" s="315" t="n">
        <f aca="false">N96+SUMPRODUCT((Projects!$G$17:$G$46="Yes")*(9&gt;=Projects!$C$17:$C$46)*(9&lt;Projects!$C$17:$C$46+Projects!$D$17:$D$46)*Projects!$B$17:$B$46*Assumptions!$B$10/Projects!$D$17:$D$46*0.95)+SUMPRODUCT((Projects!$G$17:$G$46="Yes")*(9=Projects!$C$17:$C$46+Projects!$D$17:$D$46-1)*Projects!$B$17:$B$46*Assumptions!$B$10*0.05)+SUMPRODUCT((Projects!$G$17:$G$46="Yes")*(9&gt;=Projects!$C$17:$C$46)*(9&lt;Projects!$C$17:$C$46+Projects!$D$17:$D$46)*Projects!$B$17:$B$46*Assumptions!$B$11/Projects!$D$17:$D$46*0.95)+SUMPRODUCT((Projects!$G$17:$G$46="Yes")*(9=Projects!$C$17:$C$46+Projects!$D$17:$D$46-1)*Projects!$B$17:$B$46*Assumptions!$B$11*0.05)+SUMPRODUCT((Projects!$G$17:$G$46="Yes")*(9&gt;=Projects!$C$17:$C$46)*(9&lt;Projects!$C$17:$C$46+Projects!$D$17:$D$46)*Projects!$B$17:$B$46*Assumptions!$B$12/Projects!$D$17:$D$46*0.95)+SUMPRODUCT((Projects!$G$17:$G$46="Yes")*(9=Projects!$C$17:$C$46+Projects!$D$17:$D$46-1)*Projects!$B$17:$B$46*Assumptions!$B$12*0.05)</f>
        <v>0</v>
      </c>
      <c r="O97" s="315" t="n">
        <f aca="false">O96+SUMPRODUCT((Projects!$G$17:$G$46="Yes")*(10&gt;=Projects!$C$17:$C$46)*(10&lt;Projects!$C$17:$C$46+Projects!$D$17:$D$46)*Projects!$B$17:$B$46*Assumptions!$B$10/Projects!$D$17:$D$46*0.95)+SUMPRODUCT((Projects!$G$17:$G$46="Yes")*(10=Projects!$C$17:$C$46+Projects!$D$17:$D$46-1)*Projects!$B$17:$B$46*Assumptions!$B$10*0.05)+SUMPRODUCT((Projects!$G$17:$G$46="Yes")*(10&gt;=Projects!$C$17:$C$46)*(10&lt;Projects!$C$17:$C$46+Projects!$D$17:$D$46)*Projects!$B$17:$B$46*Assumptions!$B$11/Projects!$D$17:$D$46*0.95)+SUMPRODUCT((Projects!$G$17:$G$46="Yes")*(10=Projects!$C$17:$C$46+Projects!$D$17:$D$46-1)*Projects!$B$17:$B$46*Assumptions!$B$11*0.05)+SUMPRODUCT((Projects!$G$17:$G$46="Yes")*(10&gt;=Projects!$C$17:$C$46)*(10&lt;Projects!$C$17:$C$46+Projects!$D$17:$D$46)*Projects!$B$17:$B$46*Assumptions!$B$12/Projects!$D$17:$D$46*0.95)+SUMPRODUCT((Projects!$G$17:$G$46="Yes")*(10=Projects!$C$17:$C$46+Projects!$D$17:$D$46-1)*Projects!$B$17:$B$46*Assumptions!$B$12*0.05)</f>
        <v>494214.210919813</v>
      </c>
      <c r="P97" s="315" t="n">
        <f aca="false">P96+SUMPRODUCT((Projects!$G$17:$G$46="Yes")*(11&gt;=Projects!$C$17:$C$46)*(11&lt;Projects!$C$17:$C$46+Projects!$D$17:$D$46)*Projects!$B$17:$B$46*Assumptions!$B$10/Projects!$D$17:$D$46*0.95)+SUMPRODUCT((Projects!$G$17:$G$46="Yes")*(11=Projects!$C$17:$C$46+Projects!$D$17:$D$46-1)*Projects!$B$17:$B$46*Assumptions!$B$10*0.05)+SUMPRODUCT((Projects!$G$17:$G$46="Yes")*(11&gt;=Projects!$C$17:$C$46)*(11&lt;Projects!$C$17:$C$46+Projects!$D$17:$D$46)*Projects!$B$17:$B$46*Assumptions!$B$11/Projects!$D$17:$D$46*0.95)+SUMPRODUCT((Projects!$G$17:$G$46="Yes")*(11=Projects!$C$17:$C$46+Projects!$D$17:$D$46-1)*Projects!$B$17:$B$46*Assumptions!$B$11*0.05)+SUMPRODUCT((Projects!$G$17:$G$46="Yes")*(11&gt;=Projects!$C$17:$C$46)*(11&lt;Projects!$C$17:$C$46+Projects!$D$17:$D$46)*Projects!$B$17:$B$46*Assumptions!$B$12/Projects!$D$17:$D$46*0.95)+SUMPRODUCT((Projects!$G$17:$G$46="Yes")*(11=Projects!$C$17:$C$46+Projects!$D$17:$D$46-1)*Projects!$B$17:$B$46*Assumptions!$B$12*0.05)</f>
        <v>589057.503554813</v>
      </c>
      <c r="Q97" s="315" t="n">
        <f aca="false">Q96+SUMPRODUCT((Projects!$G$17:$G$46="Yes")*(12&gt;=Projects!$C$17:$C$46)*(12&lt;Projects!$C$17:$C$46+Projects!$D$17:$D$46)*Projects!$B$17:$B$46*Assumptions!$B$10/Projects!$D$17:$D$46*0.95)+SUMPRODUCT((Projects!$G$17:$G$46="Yes")*(12=Projects!$C$17:$C$46+Projects!$D$17:$D$46-1)*Projects!$B$17:$B$46*Assumptions!$B$10*0.05)+SUMPRODUCT((Projects!$G$17:$G$46="Yes")*(12&gt;=Projects!$C$17:$C$46)*(12&lt;Projects!$C$17:$C$46+Projects!$D$17:$D$46)*Projects!$B$17:$B$46*Assumptions!$B$11/Projects!$D$17:$D$46*0.95)+SUMPRODUCT((Projects!$G$17:$G$46="Yes")*(12=Projects!$C$17:$C$46+Projects!$D$17:$D$46-1)*Projects!$B$17:$B$46*Assumptions!$B$11*0.05)+SUMPRODUCT((Projects!$G$17:$G$46="Yes")*(12&gt;=Projects!$C$17:$C$46)*(12&lt;Projects!$C$17:$C$46+Projects!$D$17:$D$46)*Projects!$B$17:$B$46*Assumptions!$B$12/Projects!$D$17:$D$46*0.95)+SUMPRODUCT((Projects!$G$17:$G$46="Yes")*(12=Projects!$C$17:$C$46+Projects!$D$17:$D$46-1)*Projects!$B$17:$B$46*Assumptions!$B$12*0.05)</f>
        <v>691146.191863563</v>
      </c>
      <c r="R97" s="315" t="n">
        <f aca="false">R96+SUMPRODUCT((Projects!$G$17:$G$46="Yes")*(13&gt;=Projects!$C$17:$C$46)*(13&lt;Projects!$C$17:$C$46+Projects!$D$17:$D$46)*Projects!$B$17:$B$46*Assumptions!$B$10/Projects!$D$17:$D$46*0.95)+SUMPRODUCT((Projects!$G$17:$G$46="Yes")*(13=Projects!$C$17:$C$46+Projects!$D$17:$D$46-1)*Projects!$B$17:$B$46*Assumptions!$B$10*0.05)+SUMPRODUCT((Projects!$G$17:$G$46="Yes")*(13&gt;=Projects!$C$17:$C$46)*(13&lt;Projects!$C$17:$C$46+Projects!$D$17:$D$46)*Projects!$B$17:$B$46*Assumptions!$B$11/Projects!$D$17:$D$46*0.95)+SUMPRODUCT((Projects!$G$17:$G$46="Yes")*(13=Projects!$C$17:$C$46+Projects!$D$17:$D$46-1)*Projects!$B$17:$B$46*Assumptions!$B$11*0.05)+SUMPRODUCT((Projects!$G$17:$G$46="Yes")*(13&gt;=Projects!$C$17:$C$46)*(13&lt;Projects!$C$17:$C$46+Projects!$D$17:$D$46)*Projects!$B$17:$B$46*Assumptions!$B$12/Projects!$D$17:$D$46*0.95)+SUMPRODUCT((Projects!$G$17:$G$46="Yes")*(13=Projects!$C$17:$C$46+Projects!$D$17:$D$46-1)*Projects!$B$17:$B$46*Assumptions!$B$12*0.05)</f>
        <v>796409.487501063</v>
      </c>
      <c r="S97" s="315" t="n">
        <f aca="false">S96+SUMPRODUCT((Projects!$G$17:$G$46="Yes")*(14&gt;=Projects!$C$17:$C$46)*(14&lt;Projects!$C$17:$C$46+Projects!$D$17:$D$46)*Projects!$B$17:$B$46*Assumptions!$B$10/Projects!$D$17:$D$46*0.95)+SUMPRODUCT((Projects!$G$17:$G$46="Yes")*(14=Projects!$C$17:$C$46+Projects!$D$17:$D$46-1)*Projects!$B$17:$B$46*Assumptions!$B$10*0.05)+SUMPRODUCT((Projects!$G$17:$G$46="Yes")*(14&gt;=Projects!$C$17:$C$46)*(14&lt;Projects!$C$17:$C$46+Projects!$D$17:$D$46)*Projects!$B$17:$B$46*Assumptions!$B$11/Projects!$D$17:$D$46*0.95)+SUMPRODUCT((Projects!$G$17:$G$46="Yes")*(14=Projects!$C$17:$C$46+Projects!$D$17:$D$46-1)*Projects!$B$17:$B$46*Assumptions!$B$11*0.05)+SUMPRODUCT((Projects!$G$17:$G$46="Yes")*(14&gt;=Projects!$C$17:$C$46)*(14&lt;Projects!$C$17:$C$46+Projects!$D$17:$D$46)*Projects!$B$17:$B$46*Assumptions!$B$12/Projects!$D$17:$D$46*0.95)+SUMPRODUCT((Projects!$G$17:$G$46="Yes")*(14=Projects!$C$17:$C$46+Projects!$D$17:$D$46-1)*Projects!$B$17:$B$46*Assumptions!$B$12*0.05)</f>
        <v>1398119.57190181</v>
      </c>
      <c r="T97" s="315" t="n">
        <f aca="false">T96+SUMPRODUCT((Projects!$G$17:$G$46="Yes")*(15&gt;=Projects!$C$17:$C$46)*(15&lt;Projects!$C$17:$C$46+Projects!$D$17:$D$46)*Projects!$B$17:$B$46*Assumptions!$B$10/Projects!$D$17:$D$46*0.95)+SUMPRODUCT((Projects!$G$17:$G$46="Yes")*(15=Projects!$C$17:$C$46+Projects!$D$17:$D$46-1)*Projects!$B$17:$B$46*Assumptions!$B$10*0.05)+SUMPRODUCT((Projects!$G$17:$G$46="Yes")*(15&gt;=Projects!$C$17:$C$46)*(15&lt;Projects!$C$17:$C$46+Projects!$D$17:$D$46)*Projects!$B$17:$B$46*Assumptions!$B$11/Projects!$D$17:$D$46*0.95)+SUMPRODUCT((Projects!$G$17:$G$46="Yes")*(15=Projects!$C$17:$C$46+Projects!$D$17:$D$46-1)*Projects!$B$17:$B$46*Assumptions!$B$11*0.05)+SUMPRODUCT((Projects!$G$17:$G$46="Yes")*(15&gt;=Projects!$C$17:$C$46)*(15&lt;Projects!$C$17:$C$46+Projects!$D$17:$D$46)*Projects!$B$17:$B$46*Assumptions!$B$12/Projects!$D$17:$D$46*0.95)+SUMPRODUCT((Projects!$G$17:$G$46="Yes")*(15=Projects!$C$17:$C$46+Projects!$D$17:$D$46-1)*Projects!$B$17:$B$46*Assumptions!$B$12*0.05)</f>
        <v>1957736.09564356</v>
      </c>
      <c r="U97" s="315" t="n">
        <f aca="false">U96+SUMPRODUCT((Projects!$G$17:$G$46="Yes")*(16&gt;=Projects!$C$17:$C$46)*(16&lt;Projects!$C$17:$C$46+Projects!$D$17:$D$46)*Projects!$B$17:$B$46*Assumptions!$B$10/Projects!$D$17:$D$46*0.95)+SUMPRODUCT((Projects!$G$17:$G$46="Yes")*(16=Projects!$C$17:$C$46+Projects!$D$17:$D$46-1)*Projects!$B$17:$B$46*Assumptions!$B$10*0.05)+SUMPRODUCT((Projects!$G$17:$G$46="Yes")*(16&gt;=Projects!$C$17:$C$46)*(16&lt;Projects!$C$17:$C$46+Projects!$D$17:$D$46)*Projects!$B$17:$B$46*Assumptions!$B$11/Projects!$D$17:$D$46*0.95)+SUMPRODUCT((Projects!$G$17:$G$46="Yes")*(16=Projects!$C$17:$C$46+Projects!$D$17:$D$46-1)*Projects!$B$17:$B$46*Assumptions!$B$11*0.05)+SUMPRODUCT((Projects!$G$17:$G$46="Yes")*(16&gt;=Projects!$C$17:$C$46)*(16&lt;Projects!$C$17:$C$46+Projects!$D$17:$D$46)*Projects!$B$17:$B$46*Assumptions!$B$12/Projects!$D$17:$D$46*0.95)+SUMPRODUCT((Projects!$G$17:$G$46="Yes")*(16=Projects!$C$17:$C$46+Projects!$D$17:$D$46-1)*Projects!$B$17:$B$46*Assumptions!$B$12*0.05)</f>
        <v>2813656.04998676</v>
      </c>
      <c r="V97" s="315" t="n">
        <f aca="false">V96+SUMPRODUCT((Projects!$G$17:$G$46="Yes")*(17&gt;=Projects!$C$17:$C$46)*(17&lt;Projects!$C$17:$C$46+Projects!$D$17:$D$46)*Projects!$B$17:$B$46*Assumptions!$B$10/Projects!$D$17:$D$46*0.95)+SUMPRODUCT((Projects!$G$17:$G$46="Yes")*(17=Projects!$C$17:$C$46+Projects!$D$17:$D$46-1)*Projects!$B$17:$B$46*Assumptions!$B$10*0.05)+SUMPRODUCT((Projects!$G$17:$G$46="Yes")*(17&gt;=Projects!$C$17:$C$46)*(17&lt;Projects!$C$17:$C$46+Projects!$D$17:$D$46)*Projects!$B$17:$B$46*Assumptions!$B$11/Projects!$D$17:$D$46*0.95)+SUMPRODUCT((Projects!$G$17:$G$46="Yes")*(17=Projects!$C$17:$C$46+Projects!$D$17:$D$46-1)*Projects!$B$17:$B$46*Assumptions!$B$11*0.05)+SUMPRODUCT((Projects!$G$17:$G$46="Yes")*(17&gt;=Projects!$C$17:$C$46)*(17&lt;Projects!$C$17:$C$46+Projects!$D$17:$D$46)*Projects!$B$17:$B$46*Assumptions!$B$12/Projects!$D$17:$D$46*0.95)+SUMPRODUCT((Projects!$G$17:$G$46="Yes")*(17=Projects!$C$17:$C$46+Projects!$D$17:$D$46-1)*Projects!$B$17:$B$46*Assumptions!$B$12*0.05)</f>
        <v>3174311.51111901</v>
      </c>
      <c r="W97" s="315" t="n">
        <f aca="false">W96+SUMPRODUCT((Projects!$G$17:$G$46="Yes")*(18&gt;=Projects!$C$17:$C$46)*(18&lt;Projects!$C$17:$C$46+Projects!$D$17:$D$46)*Projects!$B$17:$B$46*Assumptions!$B$10/Projects!$D$17:$D$46*0.95)+SUMPRODUCT((Projects!$G$17:$G$46="Yes")*(18=Projects!$C$17:$C$46+Projects!$D$17:$D$46-1)*Projects!$B$17:$B$46*Assumptions!$B$10*0.05)+SUMPRODUCT((Projects!$G$17:$G$46="Yes")*(18&gt;=Projects!$C$17:$C$46)*(18&lt;Projects!$C$17:$C$46+Projects!$D$17:$D$46)*Projects!$B$17:$B$46*Assumptions!$B$11/Projects!$D$17:$D$46*0.95)+SUMPRODUCT((Projects!$G$17:$G$46="Yes")*(18=Projects!$C$17:$C$46+Projects!$D$17:$D$46-1)*Projects!$B$17:$B$46*Assumptions!$B$11*0.05)+SUMPRODUCT((Projects!$G$17:$G$46="Yes")*(18&gt;=Projects!$C$17:$C$46)*(18&lt;Projects!$C$17:$C$46+Projects!$D$17:$D$46)*Projects!$B$17:$B$46*Assumptions!$B$12/Projects!$D$17:$D$46*0.95)+SUMPRODUCT((Projects!$G$17:$G$46="Yes")*(18=Projects!$C$17:$C$46+Projects!$D$17:$D$46-1)*Projects!$B$17:$B$46*Assumptions!$B$12*0.05)</f>
        <v>3520853.66670301</v>
      </c>
      <c r="X97" s="315" t="n">
        <f aca="false">X96+SUMPRODUCT((Projects!$G$17:$G$46="Yes")*(19&gt;=Projects!$C$17:$C$46)*(19&lt;Projects!$C$17:$C$46+Projects!$D$17:$D$46)*Projects!$B$17:$B$46*Assumptions!$B$10/Projects!$D$17:$D$46*0.95)+SUMPRODUCT((Projects!$G$17:$G$46="Yes")*(19=Projects!$C$17:$C$46+Projects!$D$17:$D$46-1)*Projects!$B$17:$B$46*Assumptions!$B$10*0.05)+SUMPRODUCT((Projects!$G$17:$G$46="Yes")*(19&gt;=Projects!$C$17:$C$46)*(19&lt;Projects!$C$17:$C$46+Projects!$D$17:$D$46)*Projects!$B$17:$B$46*Assumptions!$B$11/Projects!$D$17:$D$46*0.95)+SUMPRODUCT((Projects!$G$17:$G$46="Yes")*(19=Projects!$C$17:$C$46+Projects!$D$17:$D$46-1)*Projects!$B$17:$B$46*Assumptions!$B$11*0.05)+SUMPRODUCT((Projects!$G$17:$G$46="Yes")*(19&gt;=Projects!$C$17:$C$46)*(19&lt;Projects!$C$17:$C$46+Projects!$D$17:$D$46)*Projects!$B$17:$B$46*Assumptions!$B$12/Projects!$D$17:$D$46*0.95)+SUMPRODUCT((Projects!$G$17:$G$46="Yes")*(19=Projects!$C$17:$C$46+Projects!$D$17:$D$46-1)*Projects!$B$17:$B$46*Assumptions!$B$12*0.05)</f>
        <v>3835880.51560051</v>
      </c>
      <c r="Y97" s="315" t="n">
        <f aca="false">Y96+SUMPRODUCT((Projects!$G$17:$G$46="Yes")*(20&gt;=Projects!$C$17:$C$46)*(20&lt;Projects!$C$17:$C$46+Projects!$D$17:$D$46)*Projects!$B$17:$B$46*Assumptions!$B$10/Projects!$D$17:$D$46*0.95)+SUMPRODUCT((Projects!$G$17:$G$46="Yes")*(20=Projects!$C$17:$C$46+Projects!$D$17:$D$46-1)*Projects!$B$17:$B$46*Assumptions!$B$10*0.05)+SUMPRODUCT((Projects!$G$17:$G$46="Yes")*(20&gt;=Projects!$C$17:$C$46)*(20&lt;Projects!$C$17:$C$46+Projects!$D$17:$D$46)*Projects!$B$17:$B$46*Assumptions!$B$11/Projects!$D$17:$D$46*0.95)+SUMPRODUCT((Projects!$G$17:$G$46="Yes")*(20=Projects!$C$17:$C$46+Projects!$D$17:$D$46-1)*Projects!$B$17:$B$46*Assumptions!$B$11*0.05)+SUMPRODUCT((Projects!$G$17:$G$46="Yes")*(20&gt;=Projects!$C$17:$C$46)*(20&lt;Projects!$C$17:$C$46+Projects!$D$17:$D$46)*Projects!$B$17:$B$46*Assumptions!$B$12/Projects!$D$17:$D$46*0.95)+SUMPRODUCT((Projects!$G$17:$G$46="Yes")*(20=Projects!$C$17:$C$46+Projects!$D$17:$D$46-1)*Projects!$B$17:$B$46*Assumptions!$B$12*0.05)</f>
        <v>4884928.45167079</v>
      </c>
      <c r="Z97" s="315" t="n">
        <f aca="false">Z96+SUMPRODUCT((Projects!$G$17:$G$46="Yes")*(21&gt;=Projects!$C$17:$C$46)*(21&lt;Projects!$C$17:$C$46+Projects!$D$17:$D$46)*Projects!$B$17:$B$46*Assumptions!$B$10/Projects!$D$17:$D$46*0.95)+SUMPRODUCT((Projects!$G$17:$G$46="Yes")*(21=Projects!$C$17:$C$46+Projects!$D$17:$D$46-1)*Projects!$B$17:$B$46*Assumptions!$B$10*0.05)+SUMPRODUCT((Projects!$G$17:$G$46="Yes")*(21&gt;=Projects!$C$17:$C$46)*(21&lt;Projects!$C$17:$C$46+Projects!$D$17:$D$46)*Projects!$B$17:$B$46*Assumptions!$B$11/Projects!$D$17:$D$46*0.95)+SUMPRODUCT((Projects!$G$17:$G$46="Yes")*(21=Projects!$C$17:$C$46+Projects!$D$17:$D$46-1)*Projects!$B$17:$B$46*Assumptions!$B$11*0.05)+SUMPRODUCT((Projects!$G$17:$G$46="Yes")*(21&gt;=Projects!$C$17:$C$46)*(21&lt;Projects!$C$17:$C$46+Projects!$D$17:$D$46)*Projects!$B$17:$B$46*Assumptions!$B$12/Projects!$D$17:$D$46*0.95)+SUMPRODUCT((Projects!$G$17:$G$46="Yes")*(21=Projects!$C$17:$C$46+Projects!$D$17:$D$46-1)*Projects!$B$17:$B$46*Assumptions!$B$12*0.05)</f>
        <v>5242643.52087331</v>
      </c>
      <c r="AA97" s="315" t="n">
        <f aca="false">AA96+SUMPRODUCT((Projects!$G$17:$G$46="Yes")*(22&gt;=Projects!$C$17:$C$46)*(22&lt;Projects!$C$17:$C$46+Projects!$D$17:$D$46)*Projects!$B$17:$B$46*Assumptions!$B$10/Projects!$D$17:$D$46*0.95)+SUMPRODUCT((Projects!$G$17:$G$46="Yes")*(22=Projects!$C$17:$C$46+Projects!$D$17:$D$46-1)*Projects!$B$17:$B$46*Assumptions!$B$10*0.05)+SUMPRODUCT((Projects!$G$17:$G$46="Yes")*(22&gt;=Projects!$C$17:$C$46)*(22&lt;Projects!$C$17:$C$46+Projects!$D$17:$D$46)*Projects!$B$17:$B$46*Assumptions!$B$11/Projects!$D$17:$D$46*0.95)+SUMPRODUCT((Projects!$G$17:$G$46="Yes")*(22=Projects!$C$17:$C$46+Projects!$D$17:$D$46-1)*Projects!$B$17:$B$46*Assumptions!$B$11*0.05)+SUMPRODUCT((Projects!$G$17:$G$46="Yes")*(22&gt;=Projects!$C$17:$C$46)*(22&lt;Projects!$C$17:$C$46+Projects!$D$17:$D$46)*Projects!$B$17:$B$46*Assumptions!$B$12/Projects!$D$17:$D$46*0.95)+SUMPRODUCT((Projects!$G$17:$G$46="Yes")*(22=Projects!$C$17:$C$46+Projects!$D$17:$D$46-1)*Projects!$B$17:$B$46*Assumptions!$B$12*0.05)</f>
        <v>5534828.43059024</v>
      </c>
      <c r="AB97" s="315" t="n">
        <f aca="false">AB96+SUMPRODUCT((Projects!$G$17:$G$46="Yes")*(23&gt;=Projects!$C$17:$C$46)*(23&lt;Projects!$C$17:$C$46+Projects!$D$17:$D$46)*Projects!$B$17:$B$46*Assumptions!$B$10/Projects!$D$17:$D$46*0.95)+SUMPRODUCT((Projects!$G$17:$G$46="Yes")*(23=Projects!$C$17:$C$46+Projects!$D$17:$D$46-1)*Projects!$B$17:$B$46*Assumptions!$B$10*0.05)+SUMPRODUCT((Projects!$G$17:$G$46="Yes")*(23&gt;=Projects!$C$17:$C$46)*(23&lt;Projects!$C$17:$C$46+Projects!$D$17:$D$46)*Projects!$B$17:$B$46*Assumptions!$B$11/Projects!$D$17:$D$46*0.95)+SUMPRODUCT((Projects!$G$17:$G$46="Yes")*(23=Projects!$C$17:$C$46+Projects!$D$17:$D$46-1)*Projects!$B$17:$B$46*Assumptions!$B$11*0.05)+SUMPRODUCT((Projects!$G$17:$G$46="Yes")*(23&gt;=Projects!$C$17:$C$46)*(23&lt;Projects!$C$17:$C$46+Projects!$D$17:$D$46)*Projects!$B$17:$B$46*Assumptions!$B$12/Projects!$D$17:$D$46*0.95)+SUMPRODUCT((Projects!$G$17:$G$46="Yes")*(23=Projects!$C$17:$C$46+Projects!$D$17:$D$46-1)*Projects!$B$17:$B$46*Assumptions!$B$12*0.05)</f>
        <v>5746356.59930139</v>
      </c>
      <c r="AC97" s="315" t="n">
        <f aca="false">AC96+SUMPRODUCT((Projects!$G$17:$G$46="Yes")*(24&gt;=Projects!$C$17:$C$46)*(24&lt;Projects!$C$17:$C$46+Projects!$D$17:$D$46)*Projects!$B$17:$B$46*Assumptions!$B$10/Projects!$D$17:$D$46*0.95)+SUMPRODUCT((Projects!$G$17:$G$46="Yes")*(24=Projects!$C$17:$C$46+Projects!$D$17:$D$46-1)*Projects!$B$17:$B$46*Assumptions!$B$10*0.05)+SUMPRODUCT((Projects!$G$17:$G$46="Yes")*(24&gt;=Projects!$C$17:$C$46)*(24&lt;Projects!$C$17:$C$46+Projects!$D$17:$D$46)*Projects!$B$17:$B$46*Assumptions!$B$11/Projects!$D$17:$D$46*0.95)+SUMPRODUCT((Projects!$G$17:$G$46="Yes")*(24=Projects!$C$17:$C$46+Projects!$D$17:$D$46-1)*Projects!$B$17:$B$46*Assumptions!$B$11*0.05)+SUMPRODUCT((Projects!$G$17:$G$46="Yes")*(24&gt;=Projects!$C$17:$C$46)*(24&lt;Projects!$C$17:$C$46+Projects!$D$17:$D$46)*Projects!$B$17:$B$46*Assumptions!$B$12/Projects!$D$17:$D$46*0.95)+SUMPRODUCT((Projects!$G$17:$G$46="Yes")*(24=Projects!$C$17:$C$46+Projects!$D$17:$D$46-1)*Projects!$B$17:$B$46*Assumptions!$B$12*0.05)</f>
        <v>5865807.96926087</v>
      </c>
      <c r="AD97" s="315" t="n">
        <f aca="false">AD96+SUMPRODUCT((Projects!$G$17:$G$46="Yes")*(25&gt;=Projects!$C$17:$C$46)*(25&lt;Projects!$C$17:$C$46+Projects!$D$17:$D$46)*Projects!$B$17:$B$46*Assumptions!$B$10/Projects!$D$17:$D$46*0.95)+SUMPRODUCT((Projects!$G$17:$G$46="Yes")*(25=Projects!$C$17:$C$46+Projects!$D$17:$D$46-1)*Projects!$B$17:$B$46*Assumptions!$B$10*0.05)+SUMPRODUCT((Projects!$G$17:$G$46="Yes")*(25&gt;=Projects!$C$17:$C$46)*(25&lt;Projects!$C$17:$C$46+Projects!$D$17:$D$46)*Projects!$B$17:$B$46*Assumptions!$B$11/Projects!$D$17:$D$46*0.95)+SUMPRODUCT((Projects!$G$17:$G$46="Yes")*(25=Projects!$C$17:$C$46+Projects!$D$17:$D$46-1)*Projects!$B$17:$B$46*Assumptions!$B$11*0.05)+SUMPRODUCT((Projects!$G$17:$G$46="Yes")*(25&gt;=Projects!$C$17:$C$46)*(25&lt;Projects!$C$17:$C$46+Projects!$D$17:$D$46)*Projects!$B$17:$B$46*Assumptions!$B$12/Projects!$D$17:$D$46*0.95)+SUMPRODUCT((Projects!$G$17:$G$46="Yes")*(25=Projects!$C$17:$C$46+Projects!$D$17:$D$46-1)*Projects!$B$17:$B$46*Assumptions!$B$12*0.05)</f>
        <v>5886342.26809669</v>
      </c>
      <c r="AE97" s="315" t="n">
        <f aca="false">AE96+SUMPRODUCT((Projects!$G$17:$G$46="Yes")*(26&gt;=Projects!$C$17:$C$46)*(26&lt;Projects!$C$17:$C$46+Projects!$D$17:$D$46)*Projects!$B$17:$B$46*Assumptions!$B$10/Projects!$D$17:$D$46*0.95)+SUMPRODUCT((Projects!$G$17:$G$46="Yes")*(26=Projects!$C$17:$C$46+Projects!$D$17:$D$46-1)*Projects!$B$17:$B$46*Assumptions!$B$10*0.05)+SUMPRODUCT((Projects!$G$17:$G$46="Yes")*(26&gt;=Projects!$C$17:$C$46)*(26&lt;Projects!$C$17:$C$46+Projects!$D$17:$D$46)*Projects!$B$17:$B$46*Assumptions!$B$11/Projects!$D$17:$D$46*0.95)+SUMPRODUCT((Projects!$G$17:$G$46="Yes")*(26=Projects!$C$17:$C$46+Projects!$D$17:$D$46-1)*Projects!$B$17:$B$46*Assumptions!$B$11*0.05)+SUMPRODUCT((Projects!$G$17:$G$46="Yes")*(26&gt;=Projects!$C$17:$C$46)*(26&lt;Projects!$C$17:$C$46+Projects!$D$17:$D$46)*Projects!$B$17:$B$46*Assumptions!$B$12/Projects!$D$17:$D$46*0.95)+SUMPRODUCT((Projects!$G$17:$G$46="Yes")*(26=Projects!$C$17:$C$46+Projects!$D$17:$D$46-1)*Projects!$B$17:$B$46*Assumptions!$B$12*0.05)</f>
        <v>5806471.02370289</v>
      </c>
      <c r="AF97" s="315" t="n">
        <f aca="false">AF96+SUMPRODUCT((Projects!$G$17:$G$46="Yes")*(27&gt;=Projects!$C$17:$C$46)*(27&lt;Projects!$C$17:$C$46+Projects!$D$17:$D$46)*Projects!$B$17:$B$46*Assumptions!$B$10/Projects!$D$17:$D$46*0.95)+SUMPRODUCT((Projects!$G$17:$G$46="Yes")*(27=Projects!$C$17:$C$46+Projects!$D$17:$D$46-1)*Projects!$B$17:$B$46*Assumptions!$B$10*0.05)+SUMPRODUCT((Projects!$G$17:$G$46="Yes")*(27&gt;=Projects!$C$17:$C$46)*(27&lt;Projects!$C$17:$C$46+Projects!$D$17:$D$46)*Projects!$B$17:$B$46*Assumptions!$B$11/Projects!$D$17:$D$46*0.95)+SUMPRODUCT((Projects!$G$17:$G$46="Yes")*(27=Projects!$C$17:$C$46+Projects!$D$17:$D$46-1)*Projects!$B$17:$B$46*Assumptions!$B$11*0.05)+SUMPRODUCT((Projects!$G$17:$G$46="Yes")*(27&gt;=Projects!$C$17:$C$46)*(27&lt;Projects!$C$17:$C$46+Projects!$D$17:$D$46)*Projects!$B$17:$B$46*Assumptions!$B$12/Projects!$D$17:$D$46*0.95)+SUMPRODUCT((Projects!$G$17:$G$46="Yes")*(27=Projects!$C$17:$C$46+Projects!$D$17:$D$46-1)*Projects!$B$17:$B$46*Assumptions!$B$12*0.05)</f>
        <v>5630103.693469</v>
      </c>
      <c r="AG97" s="315" t="n">
        <f aca="false">AG96+SUMPRODUCT((Projects!$G$17:$G$46="Yes")*(28&gt;=Projects!$C$17:$C$46)*(28&lt;Projects!$C$17:$C$46+Projects!$D$17:$D$46)*Projects!$B$17:$B$46*Assumptions!$B$10/Projects!$D$17:$D$46*0.95)+SUMPRODUCT((Projects!$G$17:$G$46="Yes")*(28=Projects!$C$17:$C$46+Projects!$D$17:$D$46-1)*Projects!$B$17:$B$46*Assumptions!$B$10*0.05)+SUMPRODUCT((Projects!$G$17:$G$46="Yes")*(28&gt;=Projects!$C$17:$C$46)*(28&lt;Projects!$C$17:$C$46+Projects!$D$17:$D$46)*Projects!$B$17:$B$46*Assumptions!$B$11/Projects!$D$17:$D$46*0.95)+SUMPRODUCT((Projects!$G$17:$G$46="Yes")*(28=Projects!$C$17:$C$46+Projects!$D$17:$D$46-1)*Projects!$B$17:$B$46*Assumptions!$B$11*0.05)+SUMPRODUCT((Projects!$G$17:$G$46="Yes")*(28&gt;=Projects!$C$17:$C$46)*(28&lt;Projects!$C$17:$C$46+Projects!$D$17:$D$46)*Projects!$B$17:$B$46*Assumptions!$B$12/Projects!$D$17:$D$46*0.95)+SUMPRODUCT((Projects!$G$17:$G$46="Yes")*(28=Projects!$C$17:$C$46+Projects!$D$17:$D$46-1)*Projects!$B$17:$B$46*Assumptions!$B$12*0.05)</f>
        <v>5457776.7882363</v>
      </c>
      <c r="AH97" s="315" t="n">
        <f aca="false">AH96+SUMPRODUCT((Projects!$G$17:$G$46="Yes")*(29&gt;=Projects!$C$17:$C$46)*(29&lt;Projects!$C$17:$C$46+Projects!$D$17:$D$46)*Projects!$B$17:$B$46*Assumptions!$B$10/Projects!$D$17:$D$46*0.95)+SUMPRODUCT((Projects!$G$17:$G$46="Yes")*(29=Projects!$C$17:$C$46+Projects!$D$17:$D$46-1)*Projects!$B$17:$B$46*Assumptions!$B$10*0.05)+SUMPRODUCT((Projects!$G$17:$G$46="Yes")*(29&gt;=Projects!$C$17:$C$46)*(29&lt;Projects!$C$17:$C$46+Projects!$D$17:$D$46)*Projects!$B$17:$B$46*Assumptions!$B$11/Projects!$D$17:$D$46*0.95)+SUMPRODUCT((Projects!$G$17:$G$46="Yes")*(29=Projects!$C$17:$C$46+Projects!$D$17:$D$46-1)*Projects!$B$17:$B$46*Assumptions!$B$11*0.05)+SUMPRODUCT((Projects!$G$17:$G$46="Yes")*(29&gt;=Projects!$C$17:$C$46)*(29&lt;Projects!$C$17:$C$46+Projects!$D$17:$D$46)*Projects!$B$17:$B$46*Assumptions!$B$12/Projects!$D$17:$D$46*0.95)+SUMPRODUCT((Projects!$G$17:$G$46="Yes")*(29=Projects!$C$17:$C$46+Projects!$D$17:$D$46-1)*Projects!$B$17:$B$46*Assumptions!$B$12*0.05)</f>
        <v>4619149.02751626</v>
      </c>
      <c r="AI97" s="315" t="n">
        <f aca="false">AI96+SUMPRODUCT((Projects!$G$17:$G$46="Yes")*(30&gt;=Projects!$C$17:$C$46)*(30&lt;Projects!$C$17:$C$46+Projects!$D$17:$D$46)*Projects!$B$17:$B$46*Assumptions!$B$10/Projects!$D$17:$D$46*0.95)+SUMPRODUCT((Projects!$G$17:$G$46="Yes")*(30=Projects!$C$17:$C$46+Projects!$D$17:$D$46-1)*Projects!$B$17:$B$46*Assumptions!$B$10*0.05)+SUMPRODUCT((Projects!$G$17:$G$46="Yes")*(30&gt;=Projects!$C$17:$C$46)*(30&lt;Projects!$C$17:$C$46+Projects!$D$17:$D$46)*Projects!$B$17:$B$46*Assumptions!$B$11/Projects!$D$17:$D$46*0.95)+SUMPRODUCT((Projects!$G$17:$G$46="Yes")*(30=Projects!$C$17:$C$46+Projects!$D$17:$D$46-1)*Projects!$B$17:$B$46*Assumptions!$B$11*0.05)+SUMPRODUCT((Projects!$G$17:$G$46="Yes")*(30&gt;=Projects!$C$17:$C$46)*(30&lt;Projects!$C$17:$C$46+Projects!$D$17:$D$46)*Projects!$B$17:$B$46*Assumptions!$B$12/Projects!$D$17:$D$46*0.95)+SUMPRODUCT((Projects!$G$17:$G$46="Yes")*(30=Projects!$C$17:$C$46+Projects!$D$17:$D$46-1)*Projects!$B$17:$B$46*Assumptions!$B$12*0.05)</f>
        <v>4297246.06061942</v>
      </c>
      <c r="AJ97" s="315" t="n">
        <f aca="false">AJ96+SUMPRODUCT((Projects!$G$17:$G$46="Yes")*(31&gt;=Projects!$C$17:$C$46)*(31&lt;Projects!$C$17:$C$46+Projects!$D$17:$D$46)*Projects!$B$17:$B$46*Assumptions!$B$10/Projects!$D$17:$D$46*0.95)+SUMPRODUCT((Projects!$G$17:$G$46="Yes")*(31=Projects!$C$17:$C$46+Projects!$D$17:$D$46-1)*Projects!$B$17:$B$46*Assumptions!$B$10*0.05)+SUMPRODUCT((Projects!$G$17:$G$46="Yes")*(31&gt;=Projects!$C$17:$C$46)*(31&lt;Projects!$C$17:$C$46+Projects!$D$17:$D$46)*Projects!$B$17:$B$46*Assumptions!$B$11/Projects!$D$17:$D$46*0.95)+SUMPRODUCT((Projects!$G$17:$G$46="Yes")*(31=Projects!$C$17:$C$46+Projects!$D$17:$D$46-1)*Projects!$B$17:$B$46*Assumptions!$B$11*0.05)+SUMPRODUCT((Projects!$G$17:$G$46="Yes")*(31&gt;=Projects!$C$17:$C$46)*(31&lt;Projects!$C$17:$C$46+Projects!$D$17:$D$46)*Projects!$B$17:$B$46*Assumptions!$B$12/Projects!$D$17:$D$46*0.95)+SUMPRODUCT((Projects!$G$17:$G$46="Yes")*(31=Projects!$C$17:$C$46+Projects!$D$17:$D$46-1)*Projects!$B$17:$B$46*Assumptions!$B$12*0.05)</f>
        <v>3924586.96317618</v>
      </c>
      <c r="AK97" s="315" t="n">
        <f aca="false">AK96+SUMPRODUCT((Projects!$G$17:$G$46="Yes")*(32&gt;=Projects!$C$17:$C$46)*(32&lt;Projects!$C$17:$C$46+Projects!$D$17:$D$46)*Projects!$B$17:$B$46*Assumptions!$B$10/Projects!$D$17:$D$46*0.95)+SUMPRODUCT((Projects!$G$17:$G$46="Yes")*(32=Projects!$C$17:$C$46+Projects!$D$17:$D$46-1)*Projects!$B$17:$B$46*Assumptions!$B$10*0.05)+SUMPRODUCT((Projects!$G$17:$G$46="Yes")*(32&gt;=Projects!$C$17:$C$46)*(32&lt;Projects!$C$17:$C$46+Projects!$D$17:$D$46)*Projects!$B$17:$B$46*Assumptions!$B$11/Projects!$D$17:$D$46*0.95)+SUMPRODUCT((Projects!$G$17:$G$46="Yes")*(32=Projects!$C$17:$C$46+Projects!$D$17:$D$46-1)*Projects!$B$17:$B$46*Assumptions!$B$11*0.05)+SUMPRODUCT((Projects!$G$17:$G$46="Yes")*(32&gt;=Projects!$C$17:$C$46)*(32&lt;Projects!$C$17:$C$46+Projects!$D$17:$D$46)*Projects!$B$17:$B$46*Assumptions!$B$12/Projects!$D$17:$D$46*0.95)+SUMPRODUCT((Projects!$G$17:$G$46="Yes")*(32=Projects!$C$17:$C$46+Projects!$D$17:$D$46-1)*Projects!$B$17:$B$46*Assumptions!$B$12*0.05)</f>
        <v>3612992.03032757</v>
      </c>
      <c r="AL97" s="315" t="n">
        <f aca="false">AL96+SUMPRODUCT((Projects!$G$17:$G$46="Yes")*(33&gt;=Projects!$C$17:$C$46)*(33&lt;Projects!$C$17:$C$46+Projects!$D$17:$D$46)*Projects!$B$17:$B$46*Assumptions!$B$10/Projects!$D$17:$D$46*0.95)+SUMPRODUCT((Projects!$G$17:$G$46="Yes")*(33=Projects!$C$17:$C$46+Projects!$D$17:$D$46-1)*Projects!$B$17:$B$46*Assumptions!$B$10*0.05)+SUMPRODUCT((Projects!$G$17:$G$46="Yes")*(33&gt;=Projects!$C$17:$C$46)*(33&lt;Projects!$C$17:$C$46+Projects!$D$17:$D$46)*Projects!$B$17:$B$46*Assumptions!$B$11/Projects!$D$17:$D$46*0.95)+SUMPRODUCT((Projects!$G$17:$G$46="Yes")*(33=Projects!$C$17:$C$46+Projects!$D$17:$D$46-1)*Projects!$B$17:$B$46*Assumptions!$B$11*0.05)+SUMPRODUCT((Projects!$G$17:$G$46="Yes")*(33&gt;=Projects!$C$17:$C$46)*(33&lt;Projects!$C$17:$C$46+Projects!$D$17:$D$46)*Projects!$B$17:$B$46*Assumptions!$B$12/Projects!$D$17:$D$46*0.95)+SUMPRODUCT((Projects!$G$17:$G$46="Yes")*(33=Projects!$C$17:$C$46+Projects!$D$17:$D$46-1)*Projects!$B$17:$B$46*Assumptions!$B$12*0.05)</f>
        <v>2760454.60678312</v>
      </c>
      <c r="AM97" s="315" t="n">
        <f aca="false">AM96+SUMPRODUCT((Projects!$G$17:$G$46="Yes")*(34&gt;=Projects!$C$17:$C$46)*(34&lt;Projects!$C$17:$C$46+Projects!$D$17:$D$46)*Projects!$B$17:$B$46*Assumptions!$B$10/Projects!$D$17:$D$46*0.95)+SUMPRODUCT((Projects!$G$17:$G$46="Yes")*(34=Projects!$C$17:$C$46+Projects!$D$17:$D$46-1)*Projects!$B$17:$B$46*Assumptions!$B$10*0.05)+SUMPRODUCT((Projects!$G$17:$G$46="Yes")*(34&gt;=Projects!$C$17:$C$46)*(34&lt;Projects!$C$17:$C$46+Projects!$D$17:$D$46)*Projects!$B$17:$B$46*Assumptions!$B$11/Projects!$D$17:$D$46*0.95)+SUMPRODUCT((Projects!$G$17:$G$46="Yes")*(34=Projects!$C$17:$C$46+Projects!$D$17:$D$46-1)*Projects!$B$17:$B$46*Assumptions!$B$11*0.05)+SUMPRODUCT((Projects!$G$17:$G$46="Yes")*(34&gt;=Projects!$C$17:$C$46)*(34&lt;Projects!$C$17:$C$46+Projects!$D$17:$D$46)*Projects!$B$17:$B$46*Assumptions!$B$12/Projects!$D$17:$D$46*0.95)+SUMPRODUCT((Projects!$G$17:$G$46="Yes")*(34=Projects!$C$17:$C$46+Projects!$D$17:$D$46-1)*Projects!$B$17:$B$46*Assumptions!$B$12*0.05)</f>
        <v>2162194.91150625</v>
      </c>
      <c r="AN97" s="315" t="n">
        <f aca="false">AN96+SUMPRODUCT((Projects!$G$17:$G$46="Yes")*(35&gt;=Projects!$C$17:$C$46)*(35&lt;Projects!$C$17:$C$46+Projects!$D$17:$D$46)*Projects!$B$17:$B$46*Assumptions!$B$10/Projects!$D$17:$D$46*0.95)+SUMPRODUCT((Projects!$G$17:$G$46="Yes")*(35=Projects!$C$17:$C$46+Projects!$D$17:$D$46-1)*Projects!$B$17:$B$46*Assumptions!$B$10*0.05)+SUMPRODUCT((Projects!$G$17:$G$46="Yes")*(35&gt;=Projects!$C$17:$C$46)*(35&lt;Projects!$C$17:$C$46+Projects!$D$17:$D$46)*Projects!$B$17:$B$46*Assumptions!$B$11/Projects!$D$17:$D$46*0.95)+SUMPRODUCT((Projects!$G$17:$G$46="Yes")*(35=Projects!$C$17:$C$46+Projects!$D$17:$D$46-1)*Projects!$B$17:$B$46*Assumptions!$B$11*0.05)+SUMPRODUCT((Projects!$G$17:$G$46="Yes")*(35&gt;=Projects!$C$17:$C$46)*(35&lt;Projects!$C$17:$C$46+Projects!$D$17:$D$46)*Projects!$B$17:$B$46*Assumptions!$B$12/Projects!$D$17:$D$46*0.95)+SUMPRODUCT((Projects!$G$17:$G$46="Yes")*(35=Projects!$C$17:$C$46+Projects!$D$17:$D$46-1)*Projects!$B$17:$B$46*Assumptions!$B$12*0.05)</f>
        <v>1280784.45973787</v>
      </c>
      <c r="AO97" s="315" t="n">
        <f aca="false">AO96+SUMPRODUCT((Projects!$G$17:$G$46="Yes")*(36&gt;=Projects!$C$17:$C$46)*(36&lt;Projects!$C$17:$C$46+Projects!$D$17:$D$46)*Projects!$B$17:$B$46*Assumptions!$B$10/Projects!$D$17:$D$46*0.95)+SUMPRODUCT((Projects!$G$17:$G$46="Yes")*(36=Projects!$C$17:$C$46+Projects!$D$17:$D$46-1)*Projects!$B$17:$B$46*Assumptions!$B$10*0.05)+SUMPRODUCT((Projects!$G$17:$G$46="Yes")*(36&gt;=Projects!$C$17:$C$46)*(36&lt;Projects!$C$17:$C$46+Projects!$D$17:$D$46)*Projects!$B$17:$B$46*Assumptions!$B$11/Projects!$D$17:$D$46*0.95)+SUMPRODUCT((Projects!$G$17:$G$46="Yes")*(36=Projects!$C$17:$C$46+Projects!$D$17:$D$46-1)*Projects!$B$17:$B$46*Assumptions!$B$11*0.05)+SUMPRODUCT((Projects!$G$17:$G$46="Yes")*(36&gt;=Projects!$C$17:$C$46)*(36&lt;Projects!$C$17:$C$46+Projects!$D$17:$D$46)*Projects!$B$17:$B$46*Assumptions!$B$12/Projects!$D$17:$D$46*0.95)+SUMPRODUCT((Projects!$G$17:$G$46="Yes")*(36=Projects!$C$17:$C$46+Projects!$D$17:$D$46-1)*Projects!$B$17:$B$46*Assumptions!$B$12*0.05)</f>
        <v>1107351.98881847</v>
      </c>
      <c r="AP97" s="315" t="n">
        <f aca="false">AP96+SUMPRODUCT((Projects!$G$17:$G$46="Yes")*(37&gt;=Projects!$C$17:$C$46)*(37&lt;Projects!$C$17:$C$46+Projects!$D$17:$D$46)*Projects!$B$17:$B$46*Assumptions!$B$10/Projects!$D$17:$D$46*0.95)+SUMPRODUCT((Projects!$G$17:$G$46="Yes")*(37=Projects!$C$17:$C$46+Projects!$D$17:$D$46-1)*Projects!$B$17:$B$46*Assumptions!$B$10*0.05)+SUMPRODUCT((Projects!$G$17:$G$46="Yes")*(37&gt;=Projects!$C$17:$C$46)*(37&lt;Projects!$C$17:$C$46+Projects!$D$17:$D$46)*Projects!$B$17:$B$46*Assumptions!$B$11/Projects!$D$17:$D$46*0.95)+SUMPRODUCT((Projects!$G$17:$G$46="Yes")*(37=Projects!$C$17:$C$46+Projects!$D$17:$D$46-1)*Projects!$B$17:$B$46*Assumptions!$B$11*0.05)+SUMPRODUCT((Projects!$G$17:$G$46="Yes")*(37&gt;=Projects!$C$17:$C$46)*(37&lt;Projects!$C$17:$C$46+Projects!$D$17:$D$46)*Projects!$B$17:$B$46*Assumptions!$B$12/Projects!$D$17:$D$46*0.95)+SUMPRODUCT((Projects!$G$17:$G$46="Yes")*(37=Projects!$C$17:$C$46+Projects!$D$17:$D$46-1)*Projects!$B$17:$B$46*Assumptions!$B$12*0.05)</f>
        <v>939150.020990294</v>
      </c>
      <c r="AQ97" s="315" t="n">
        <f aca="false">AQ96+SUMPRODUCT((Projects!$G$17:$G$46="Yes")*(38&gt;=Projects!$C$17:$C$46)*(38&lt;Projects!$C$17:$C$46+Projects!$D$17:$D$46)*Projects!$B$17:$B$46*Assumptions!$B$10/Projects!$D$17:$D$46*0.95)+SUMPRODUCT((Projects!$G$17:$G$46="Yes")*(38=Projects!$C$17:$C$46+Projects!$D$17:$D$46-1)*Projects!$B$17:$B$46*Assumptions!$B$10*0.05)+SUMPRODUCT((Projects!$G$17:$G$46="Yes")*(38&gt;=Projects!$C$17:$C$46)*(38&lt;Projects!$C$17:$C$46+Projects!$D$17:$D$46)*Projects!$B$17:$B$46*Assumptions!$B$11/Projects!$D$17:$D$46*0.95)+SUMPRODUCT((Projects!$G$17:$G$46="Yes")*(38=Projects!$C$17:$C$46+Projects!$D$17:$D$46-1)*Projects!$B$17:$B$46*Assumptions!$B$11*0.05)+SUMPRODUCT((Projects!$G$17:$G$46="Yes")*(38&gt;=Projects!$C$17:$C$46)*(38&lt;Projects!$C$17:$C$46+Projects!$D$17:$D$46)*Projects!$B$17:$B$46*Assumptions!$B$12/Projects!$D$17:$D$46*0.95)+SUMPRODUCT((Projects!$G$17:$G$46="Yes")*(38=Projects!$C$17:$C$46+Projects!$D$17:$D$46-1)*Projects!$B$17:$B$46*Assumptions!$B$12*0.05)</f>
        <v>782885.612848774</v>
      </c>
      <c r="AR97" s="315" t="n">
        <f aca="false">AR96+SUMPRODUCT((Projects!$G$17:$G$46="Yes")*(39&gt;=Projects!$C$17:$C$46)*(39&lt;Projects!$C$17:$C$46+Projects!$D$17:$D$46)*Projects!$B$17:$B$46*Assumptions!$B$10/Projects!$D$17:$D$46*0.95)+SUMPRODUCT((Projects!$G$17:$G$46="Yes")*(39=Projects!$C$17:$C$46+Projects!$D$17:$D$46-1)*Projects!$B$17:$B$46*Assumptions!$B$10*0.05)+SUMPRODUCT((Projects!$G$17:$G$46="Yes")*(39&gt;=Projects!$C$17:$C$46)*(39&lt;Projects!$C$17:$C$46+Projects!$D$17:$D$46)*Projects!$B$17:$B$46*Assumptions!$B$11/Projects!$D$17:$D$46*0.95)+SUMPRODUCT((Projects!$G$17:$G$46="Yes")*(39=Projects!$C$17:$C$46+Projects!$D$17:$D$46-1)*Projects!$B$17:$B$46*Assumptions!$B$11*0.05)+SUMPRODUCT((Projects!$G$17:$G$46="Yes")*(39&gt;=Projects!$C$17:$C$46)*(39&lt;Projects!$C$17:$C$46+Projects!$D$17:$D$46)*Projects!$B$17:$B$46*Assumptions!$B$12/Projects!$D$17:$D$46*0.95)+SUMPRODUCT((Projects!$G$17:$G$46="Yes")*(39=Projects!$C$17:$C$46+Projects!$D$17:$D$46-1)*Projects!$B$17:$B$46*Assumptions!$B$12*0.05)</f>
        <v>119262.404858914</v>
      </c>
      <c r="AS97" s="315" t="n">
        <f aca="false">AS96+SUMPRODUCT((Projects!$G$17:$G$46="Yes")*(40&gt;=Projects!$C$17:$C$46)*(40&lt;Projects!$C$17:$C$46+Projects!$D$17:$D$46)*Projects!$B$17:$B$46*Assumptions!$B$10/Projects!$D$17:$D$46*0.95)+SUMPRODUCT((Projects!$G$17:$G$46="Yes")*(40=Projects!$C$17:$C$46+Projects!$D$17:$D$46-1)*Projects!$B$17:$B$46*Assumptions!$B$10*0.05)+SUMPRODUCT((Projects!$G$17:$G$46="Yes")*(40&gt;=Projects!$C$17:$C$46)*(40&lt;Projects!$C$17:$C$46+Projects!$D$17:$D$46)*Projects!$B$17:$B$46*Assumptions!$B$11/Projects!$D$17:$D$46*0.95)+SUMPRODUCT((Projects!$G$17:$G$46="Yes")*(40=Projects!$C$17:$C$46+Projects!$D$17:$D$46-1)*Projects!$B$17:$B$46*Assumptions!$B$11*0.05)+SUMPRODUCT((Projects!$G$17:$G$46="Yes")*(40&gt;=Projects!$C$17:$C$46)*(40&lt;Projects!$C$17:$C$46+Projects!$D$17:$D$46)*Projects!$B$17:$B$46*Assumptions!$B$12/Projects!$D$17:$D$46*0.95)+SUMPRODUCT((Projects!$G$17:$G$46="Yes")*(40=Projects!$C$17:$C$46+Projects!$D$17:$D$46-1)*Projects!$B$17:$B$46*Assumptions!$B$12*0.05)</f>
        <v>119262.404858914</v>
      </c>
      <c r="AT97" s="315" t="n">
        <f aca="false">AT96+SUMPRODUCT((Projects!$G$17:$G$46="Yes")*(41&gt;=Projects!$C$17:$C$46)*(41&lt;Projects!$C$17:$C$46+Projects!$D$17:$D$46)*Projects!$B$17:$B$46*Assumptions!$B$10/Projects!$D$17:$D$46*0.95)+SUMPRODUCT((Projects!$G$17:$G$46="Yes")*(41=Projects!$C$17:$C$46+Projects!$D$17:$D$46-1)*Projects!$B$17:$B$46*Assumptions!$B$10*0.05)+SUMPRODUCT((Projects!$G$17:$G$46="Yes")*(41&gt;=Projects!$C$17:$C$46)*(41&lt;Projects!$C$17:$C$46+Projects!$D$17:$D$46)*Projects!$B$17:$B$46*Assumptions!$B$11/Projects!$D$17:$D$46*0.95)+SUMPRODUCT((Projects!$G$17:$G$46="Yes")*(41=Projects!$C$17:$C$46+Projects!$D$17:$D$46-1)*Projects!$B$17:$B$46*Assumptions!$B$11*0.05)+SUMPRODUCT((Projects!$G$17:$G$46="Yes")*(41&gt;=Projects!$C$17:$C$46)*(41&lt;Projects!$C$17:$C$46+Projects!$D$17:$D$46)*Projects!$B$17:$B$46*Assumptions!$B$12/Projects!$D$17:$D$46*0.95)+SUMPRODUCT((Projects!$G$17:$G$46="Yes")*(41=Projects!$C$17:$C$46+Projects!$D$17:$D$46-1)*Projects!$B$17:$B$46*Assumptions!$B$12*0.05)</f>
        <v>119262.404858914</v>
      </c>
      <c r="AU97" s="315" t="n">
        <f aca="false">AU96+SUMPRODUCT((Projects!$G$17:$G$46="Yes")*(42&gt;=Projects!$C$17:$C$46)*(42&lt;Projects!$C$17:$C$46+Projects!$D$17:$D$46)*Projects!$B$17:$B$46*Assumptions!$B$10/Projects!$D$17:$D$46*0.95)+SUMPRODUCT((Projects!$G$17:$G$46="Yes")*(42=Projects!$C$17:$C$46+Projects!$D$17:$D$46-1)*Projects!$B$17:$B$46*Assumptions!$B$10*0.05)+SUMPRODUCT((Projects!$G$17:$G$46="Yes")*(42&gt;=Projects!$C$17:$C$46)*(42&lt;Projects!$C$17:$C$46+Projects!$D$17:$D$46)*Projects!$B$17:$B$46*Assumptions!$B$11/Projects!$D$17:$D$46*0.95)+SUMPRODUCT((Projects!$G$17:$G$46="Yes")*(42=Projects!$C$17:$C$46+Projects!$D$17:$D$46-1)*Projects!$B$17:$B$46*Assumptions!$B$11*0.05)+SUMPRODUCT((Projects!$G$17:$G$46="Yes")*(42&gt;=Projects!$C$17:$C$46)*(42&lt;Projects!$C$17:$C$46+Projects!$D$17:$D$46)*Projects!$B$17:$B$46*Assumptions!$B$12/Projects!$D$17:$D$46*0.95)+SUMPRODUCT((Projects!$G$17:$G$46="Yes")*(42=Projects!$C$17:$C$46+Projects!$D$17:$D$46-1)*Projects!$B$17:$B$46*Assumptions!$B$12*0.05)</f>
        <v>119262.404858914</v>
      </c>
      <c r="AV97" s="315" t="n">
        <f aca="false">AV96+SUMPRODUCT((Projects!$G$17:$G$46="Yes")*(43&gt;=Projects!$C$17:$C$46)*(43&lt;Projects!$C$17:$C$46+Projects!$D$17:$D$46)*Projects!$B$17:$B$46*Assumptions!$B$10/Projects!$D$17:$D$46*0.95)+SUMPRODUCT((Projects!$G$17:$G$46="Yes")*(43=Projects!$C$17:$C$46+Projects!$D$17:$D$46-1)*Projects!$B$17:$B$46*Assumptions!$B$10*0.05)+SUMPRODUCT((Projects!$G$17:$G$46="Yes")*(43&gt;=Projects!$C$17:$C$46)*(43&lt;Projects!$C$17:$C$46+Projects!$D$17:$D$46)*Projects!$B$17:$B$46*Assumptions!$B$11/Projects!$D$17:$D$46*0.95)+SUMPRODUCT((Projects!$G$17:$G$46="Yes")*(43=Projects!$C$17:$C$46+Projects!$D$17:$D$46-1)*Projects!$B$17:$B$46*Assumptions!$B$11*0.05)+SUMPRODUCT((Projects!$G$17:$G$46="Yes")*(43&gt;=Projects!$C$17:$C$46)*(43&lt;Projects!$C$17:$C$46+Projects!$D$17:$D$46)*Projects!$B$17:$B$46*Assumptions!$B$12/Projects!$D$17:$D$46*0.95)+SUMPRODUCT((Projects!$G$17:$G$46="Yes")*(43=Projects!$C$17:$C$46+Projects!$D$17:$D$46-1)*Projects!$B$17:$B$46*Assumptions!$B$12*0.05)</f>
        <v>269909.653101753</v>
      </c>
      <c r="AW97" s="315" t="n">
        <f aca="false">AW96+SUMPRODUCT((Projects!$G$17:$G$46="Yes")*(44&gt;=Projects!$C$17:$C$46)*(44&lt;Projects!$C$17:$C$46+Projects!$D$17:$D$46)*Projects!$B$17:$B$46*Assumptions!$B$10/Projects!$D$17:$D$46*0.95)+SUMPRODUCT((Projects!$G$17:$G$46="Yes")*(44=Projects!$C$17:$C$46+Projects!$D$17:$D$46-1)*Projects!$B$17:$B$46*Assumptions!$B$10*0.05)+SUMPRODUCT((Projects!$G$17:$G$46="Yes")*(44&gt;=Projects!$C$17:$C$46)*(44&lt;Projects!$C$17:$C$46+Projects!$D$17:$D$46)*Projects!$B$17:$B$46*Assumptions!$B$11/Projects!$D$17:$D$46*0.95)+SUMPRODUCT((Projects!$G$17:$G$46="Yes")*(44=Projects!$C$17:$C$46+Projects!$D$17:$D$46-1)*Projects!$B$17:$B$46*Assumptions!$B$11*0.05)+SUMPRODUCT((Projects!$G$17:$G$46="Yes")*(44&gt;=Projects!$C$17:$C$46)*(44&lt;Projects!$C$17:$C$46+Projects!$D$17:$D$46)*Projects!$B$17:$B$46*Assumptions!$B$12/Projects!$D$17:$D$46*0.95)+SUMPRODUCT((Projects!$G$17:$G$46="Yes")*(44=Projects!$C$17:$C$46+Projects!$D$17:$D$46-1)*Projects!$B$17:$B$46*Assumptions!$B$12*0.05)</f>
        <v>0</v>
      </c>
      <c r="AX97" s="315" t="n">
        <f aca="false">AX96+SUMPRODUCT((Projects!$G$17:$G$46="Yes")*(45&gt;=Projects!$C$17:$C$46)*(45&lt;Projects!$C$17:$C$46+Projects!$D$17:$D$46)*Projects!$B$17:$B$46*Assumptions!$B$10/Projects!$D$17:$D$46*0.95)+SUMPRODUCT((Projects!$G$17:$G$46="Yes")*(45=Projects!$C$17:$C$46+Projects!$D$17:$D$46-1)*Projects!$B$17:$B$46*Assumptions!$B$10*0.05)+SUMPRODUCT((Projects!$G$17:$G$46="Yes")*(45&gt;=Projects!$C$17:$C$46)*(45&lt;Projects!$C$17:$C$46+Projects!$D$17:$D$46)*Projects!$B$17:$B$46*Assumptions!$B$11/Projects!$D$17:$D$46*0.95)+SUMPRODUCT((Projects!$G$17:$G$46="Yes")*(45=Projects!$C$17:$C$46+Projects!$D$17:$D$46-1)*Projects!$B$17:$B$46*Assumptions!$B$11*0.05)+SUMPRODUCT((Projects!$G$17:$G$46="Yes")*(45&gt;=Projects!$C$17:$C$46)*(45&lt;Projects!$C$17:$C$46+Projects!$D$17:$D$46)*Projects!$B$17:$B$46*Assumptions!$B$12/Projects!$D$17:$D$46*0.95)+SUMPRODUCT((Projects!$G$17:$G$46="Yes")*(45=Projects!$C$17:$C$46+Projects!$D$17:$D$46-1)*Projects!$B$17:$B$46*Assumptions!$B$12*0.05)</f>
        <v>0</v>
      </c>
      <c r="AY97" s="315" t="n">
        <f aca="false">AY96+SUMPRODUCT((Projects!$G$17:$G$46="Yes")*(46&gt;=Projects!$C$17:$C$46)*(46&lt;Projects!$C$17:$C$46+Projects!$D$17:$D$46)*Projects!$B$17:$B$46*Assumptions!$B$10/Projects!$D$17:$D$46*0.95)+SUMPRODUCT((Projects!$G$17:$G$46="Yes")*(46=Projects!$C$17:$C$46+Projects!$D$17:$D$46-1)*Projects!$B$17:$B$46*Assumptions!$B$10*0.05)+SUMPRODUCT((Projects!$G$17:$G$46="Yes")*(46&gt;=Projects!$C$17:$C$46)*(46&lt;Projects!$C$17:$C$46+Projects!$D$17:$D$46)*Projects!$B$17:$B$46*Assumptions!$B$11/Projects!$D$17:$D$46*0.95)+SUMPRODUCT((Projects!$G$17:$G$46="Yes")*(46=Projects!$C$17:$C$46+Projects!$D$17:$D$46-1)*Projects!$B$17:$B$46*Assumptions!$B$11*0.05)+SUMPRODUCT((Projects!$G$17:$G$46="Yes")*(46&gt;=Projects!$C$17:$C$46)*(46&lt;Projects!$C$17:$C$46+Projects!$D$17:$D$46)*Projects!$B$17:$B$46*Assumptions!$B$12/Projects!$D$17:$D$46*0.95)+SUMPRODUCT((Projects!$G$17:$G$46="Yes")*(46=Projects!$C$17:$C$46+Projects!$D$17:$D$46-1)*Projects!$B$17:$B$46*Assumptions!$B$12*0.05)</f>
        <v>0</v>
      </c>
      <c r="AZ97" s="315" t="n">
        <f aca="false">AZ96+SUMPRODUCT((Projects!$G$17:$G$46="Yes")*(47&gt;=Projects!$C$17:$C$46)*(47&lt;Projects!$C$17:$C$46+Projects!$D$17:$D$46)*Projects!$B$17:$B$46*Assumptions!$B$10/Projects!$D$17:$D$46*0.95)+SUMPRODUCT((Projects!$G$17:$G$46="Yes")*(47=Projects!$C$17:$C$46+Projects!$D$17:$D$46-1)*Projects!$B$17:$B$46*Assumptions!$B$10*0.05)+SUMPRODUCT((Projects!$G$17:$G$46="Yes")*(47&gt;=Projects!$C$17:$C$46)*(47&lt;Projects!$C$17:$C$46+Projects!$D$17:$D$46)*Projects!$B$17:$B$46*Assumptions!$B$11/Projects!$D$17:$D$46*0.95)+SUMPRODUCT((Projects!$G$17:$G$46="Yes")*(47=Projects!$C$17:$C$46+Projects!$D$17:$D$46-1)*Projects!$B$17:$B$46*Assumptions!$B$11*0.05)+SUMPRODUCT((Projects!$G$17:$G$46="Yes")*(47&gt;=Projects!$C$17:$C$46)*(47&lt;Projects!$C$17:$C$46+Projects!$D$17:$D$46)*Projects!$B$17:$B$46*Assumptions!$B$12/Projects!$D$17:$D$46*0.95)+SUMPRODUCT((Projects!$G$17:$G$46="Yes")*(47=Projects!$C$17:$C$46+Projects!$D$17:$D$46-1)*Projects!$B$17:$B$46*Assumptions!$B$12*0.05)</f>
        <v>0</v>
      </c>
      <c r="BA97" s="315" t="n">
        <f aca="false">BA96+SUMPRODUCT((Projects!$G$17:$G$46="Yes")*(48&gt;=Projects!$C$17:$C$46)*(48&lt;Projects!$C$17:$C$46+Projects!$D$17:$D$46)*Projects!$B$17:$B$46*Assumptions!$B$10/Projects!$D$17:$D$46*0.95)+SUMPRODUCT((Projects!$G$17:$G$46="Yes")*(48=Projects!$C$17:$C$46+Projects!$D$17:$D$46-1)*Projects!$B$17:$B$46*Assumptions!$B$10*0.05)+SUMPRODUCT((Projects!$G$17:$G$46="Yes")*(48&gt;=Projects!$C$17:$C$46)*(48&lt;Projects!$C$17:$C$46+Projects!$D$17:$D$46)*Projects!$B$17:$B$46*Assumptions!$B$11/Projects!$D$17:$D$46*0.95)+SUMPRODUCT((Projects!$G$17:$G$46="Yes")*(48=Projects!$C$17:$C$46+Projects!$D$17:$D$46-1)*Projects!$B$17:$B$46*Assumptions!$B$11*0.05)+SUMPRODUCT((Projects!$G$17:$G$46="Yes")*(48&gt;=Projects!$C$17:$C$46)*(48&lt;Projects!$C$17:$C$46+Projects!$D$17:$D$46)*Projects!$B$17:$B$46*Assumptions!$B$12/Projects!$D$17:$D$46*0.95)+SUMPRODUCT((Projects!$G$17:$G$46="Yes")*(48=Projects!$C$17:$C$46+Projects!$D$17:$D$46-1)*Projects!$B$17:$B$46*Assumptions!$B$12*0.05)</f>
        <v>0</v>
      </c>
      <c r="BB97" s="315" t="n">
        <f aca="false">BB96+SUMPRODUCT((Projects!$G$17:$G$46="Yes")*(49&gt;=Projects!$C$17:$C$46)*(49&lt;Projects!$C$17:$C$46+Projects!$D$17:$D$46)*Projects!$B$17:$B$46*Assumptions!$B$10/Projects!$D$17:$D$46*0.95)+SUMPRODUCT((Projects!$G$17:$G$46="Yes")*(49=Projects!$C$17:$C$46+Projects!$D$17:$D$46-1)*Projects!$B$17:$B$46*Assumptions!$B$10*0.05)+SUMPRODUCT((Projects!$G$17:$G$46="Yes")*(49&gt;=Projects!$C$17:$C$46)*(49&lt;Projects!$C$17:$C$46+Projects!$D$17:$D$46)*Projects!$B$17:$B$46*Assumptions!$B$11/Projects!$D$17:$D$46*0.95)+SUMPRODUCT((Projects!$G$17:$G$46="Yes")*(49=Projects!$C$17:$C$46+Projects!$D$17:$D$46-1)*Projects!$B$17:$B$46*Assumptions!$B$11*0.05)+SUMPRODUCT((Projects!$G$17:$G$46="Yes")*(49&gt;=Projects!$C$17:$C$46)*(49&lt;Projects!$C$17:$C$46+Projects!$D$17:$D$46)*Projects!$B$17:$B$46*Assumptions!$B$12/Projects!$D$17:$D$46*0.95)+SUMPRODUCT((Projects!$G$17:$G$46="Yes")*(49=Projects!$C$17:$C$46+Projects!$D$17:$D$46-1)*Projects!$B$17:$B$46*Assumptions!$B$12*0.05)</f>
        <v>0</v>
      </c>
      <c r="BC97" s="315" t="n">
        <f aca="false">BC96+SUMPRODUCT((Projects!$G$17:$G$46="Yes")*(50&gt;=Projects!$C$17:$C$46)*(50&lt;Projects!$C$17:$C$46+Projects!$D$17:$D$46)*Projects!$B$17:$B$46*Assumptions!$B$10/Projects!$D$17:$D$46*0.95)+SUMPRODUCT((Projects!$G$17:$G$46="Yes")*(50=Projects!$C$17:$C$46+Projects!$D$17:$D$46-1)*Projects!$B$17:$B$46*Assumptions!$B$10*0.05)+SUMPRODUCT((Projects!$G$17:$G$46="Yes")*(50&gt;=Projects!$C$17:$C$46)*(50&lt;Projects!$C$17:$C$46+Projects!$D$17:$D$46)*Projects!$B$17:$B$46*Assumptions!$B$11/Projects!$D$17:$D$46*0.95)+SUMPRODUCT((Projects!$G$17:$G$46="Yes")*(50=Projects!$C$17:$C$46+Projects!$D$17:$D$46-1)*Projects!$B$17:$B$46*Assumptions!$B$11*0.05)+SUMPRODUCT((Projects!$G$17:$G$46="Yes")*(50&gt;=Projects!$C$17:$C$46)*(50&lt;Projects!$C$17:$C$46+Projects!$D$17:$D$46)*Projects!$B$17:$B$46*Assumptions!$B$12/Projects!$D$17:$D$46*0.95)+SUMPRODUCT((Projects!$G$17:$G$46="Yes")*(50=Projects!$C$17:$C$46+Projects!$D$17:$D$46-1)*Projects!$B$17:$B$46*Assumptions!$B$12*0.05)</f>
        <v>0</v>
      </c>
      <c r="BD97" s="315" t="n">
        <f aca="false">BD96+SUMPRODUCT((Projects!$G$17:$G$46="Yes")*(51&gt;=Projects!$C$17:$C$46)*(51&lt;Projects!$C$17:$C$46+Projects!$D$17:$D$46)*Projects!$B$17:$B$46*Assumptions!$B$10/Projects!$D$17:$D$46*0.95)+SUMPRODUCT((Projects!$G$17:$G$46="Yes")*(51=Projects!$C$17:$C$46+Projects!$D$17:$D$46-1)*Projects!$B$17:$B$46*Assumptions!$B$10*0.05)+SUMPRODUCT((Projects!$G$17:$G$46="Yes")*(51&gt;=Projects!$C$17:$C$46)*(51&lt;Projects!$C$17:$C$46+Projects!$D$17:$D$46)*Projects!$B$17:$B$46*Assumptions!$B$11/Projects!$D$17:$D$46*0.95)+SUMPRODUCT((Projects!$G$17:$G$46="Yes")*(51=Projects!$C$17:$C$46+Projects!$D$17:$D$46-1)*Projects!$B$17:$B$46*Assumptions!$B$11*0.05)+SUMPRODUCT((Projects!$G$17:$G$46="Yes")*(51&gt;=Projects!$C$17:$C$46)*(51&lt;Projects!$C$17:$C$46+Projects!$D$17:$D$46)*Projects!$B$17:$B$46*Assumptions!$B$12/Projects!$D$17:$D$46*0.95)+SUMPRODUCT((Projects!$G$17:$G$46="Yes")*(51=Projects!$C$17:$C$46+Projects!$D$17:$D$46-1)*Projects!$B$17:$B$46*Assumptions!$B$12*0.05)</f>
        <v>0</v>
      </c>
      <c r="BE97" s="315" t="n">
        <f aca="false">BE96+SUMPRODUCT((Projects!$G$17:$G$46="Yes")*(52&gt;=Projects!$C$17:$C$46)*(52&lt;Projects!$C$17:$C$46+Projects!$D$17:$D$46)*Projects!$B$17:$B$46*Assumptions!$B$10/Projects!$D$17:$D$46*0.95)+SUMPRODUCT((Projects!$G$17:$G$46="Yes")*(52=Projects!$C$17:$C$46+Projects!$D$17:$D$46-1)*Projects!$B$17:$B$46*Assumptions!$B$10*0.05)+SUMPRODUCT((Projects!$G$17:$G$46="Yes")*(52&gt;=Projects!$C$17:$C$46)*(52&lt;Projects!$C$17:$C$46+Projects!$D$17:$D$46)*Projects!$B$17:$B$46*Assumptions!$B$11/Projects!$D$17:$D$46*0.95)+SUMPRODUCT((Projects!$G$17:$G$46="Yes")*(52=Projects!$C$17:$C$46+Projects!$D$17:$D$46-1)*Projects!$B$17:$B$46*Assumptions!$B$11*0.05)+SUMPRODUCT((Projects!$G$17:$G$46="Yes")*(52&gt;=Projects!$C$17:$C$46)*(52&lt;Projects!$C$17:$C$46+Projects!$D$17:$D$46)*Projects!$B$17:$B$46*Assumptions!$B$12/Projects!$D$17:$D$46*0.95)+SUMPRODUCT((Projects!$G$17:$G$46="Yes")*(52=Projects!$C$17:$C$46+Projects!$D$17:$D$46-1)*Projects!$B$17:$B$46*Assumptions!$B$12*0.05)</f>
        <v>0</v>
      </c>
      <c r="BF97" s="315" t="n">
        <f aca="false">BF96+SUMPRODUCT((Projects!$G$17:$G$46="Yes")*(53&gt;=Projects!$C$17:$C$46)*(53&lt;Projects!$C$17:$C$46+Projects!$D$17:$D$46)*Projects!$B$17:$B$46*Assumptions!$B$10/Projects!$D$17:$D$46*0.95)+SUMPRODUCT((Projects!$G$17:$G$46="Yes")*(53=Projects!$C$17:$C$46+Projects!$D$17:$D$46-1)*Projects!$B$17:$B$46*Assumptions!$B$10*0.05)+SUMPRODUCT((Projects!$G$17:$G$46="Yes")*(53&gt;=Projects!$C$17:$C$46)*(53&lt;Projects!$C$17:$C$46+Projects!$D$17:$D$46)*Projects!$B$17:$B$46*Assumptions!$B$11/Projects!$D$17:$D$46*0.95)+SUMPRODUCT((Projects!$G$17:$G$46="Yes")*(53=Projects!$C$17:$C$46+Projects!$D$17:$D$46-1)*Projects!$B$17:$B$46*Assumptions!$B$11*0.05)+SUMPRODUCT((Projects!$G$17:$G$46="Yes")*(53&gt;=Projects!$C$17:$C$46)*(53&lt;Projects!$C$17:$C$46+Projects!$D$17:$D$46)*Projects!$B$17:$B$46*Assumptions!$B$12/Projects!$D$17:$D$46*0.95)+SUMPRODUCT((Projects!$G$17:$G$46="Yes")*(53=Projects!$C$17:$C$46+Projects!$D$17:$D$46-1)*Projects!$B$17:$B$46*Assumptions!$B$12*0.05)</f>
        <v>0</v>
      </c>
      <c r="BG97" s="315" t="n">
        <f aca="false">BG96+SUMPRODUCT((Projects!$G$17:$G$46="Yes")*(54&gt;=Projects!$C$17:$C$46)*(54&lt;Projects!$C$17:$C$46+Projects!$D$17:$D$46)*Projects!$B$17:$B$46*Assumptions!$B$10/Projects!$D$17:$D$46*0.95)+SUMPRODUCT((Projects!$G$17:$G$46="Yes")*(54=Projects!$C$17:$C$46+Projects!$D$17:$D$46-1)*Projects!$B$17:$B$46*Assumptions!$B$10*0.05)+SUMPRODUCT((Projects!$G$17:$G$46="Yes")*(54&gt;=Projects!$C$17:$C$46)*(54&lt;Projects!$C$17:$C$46+Projects!$D$17:$D$46)*Projects!$B$17:$B$46*Assumptions!$B$11/Projects!$D$17:$D$46*0.95)+SUMPRODUCT((Projects!$G$17:$G$46="Yes")*(54=Projects!$C$17:$C$46+Projects!$D$17:$D$46-1)*Projects!$B$17:$B$46*Assumptions!$B$11*0.05)+SUMPRODUCT((Projects!$G$17:$G$46="Yes")*(54&gt;=Projects!$C$17:$C$46)*(54&lt;Projects!$C$17:$C$46+Projects!$D$17:$D$46)*Projects!$B$17:$B$46*Assumptions!$B$12/Projects!$D$17:$D$46*0.95)+SUMPRODUCT((Projects!$G$17:$G$46="Yes")*(54=Projects!$C$17:$C$46+Projects!$D$17:$D$46-1)*Projects!$B$17:$B$46*Assumptions!$B$12*0.05)</f>
        <v>0</v>
      </c>
      <c r="BH97" s="315" t="n">
        <f aca="false">BH96+SUMPRODUCT((Projects!$G$17:$G$46="Yes")*(55&gt;=Projects!$C$17:$C$46)*(55&lt;Projects!$C$17:$C$46+Projects!$D$17:$D$46)*Projects!$B$17:$B$46*Assumptions!$B$10/Projects!$D$17:$D$46*0.95)+SUMPRODUCT((Projects!$G$17:$G$46="Yes")*(55=Projects!$C$17:$C$46+Projects!$D$17:$D$46-1)*Projects!$B$17:$B$46*Assumptions!$B$10*0.05)+SUMPRODUCT((Projects!$G$17:$G$46="Yes")*(55&gt;=Projects!$C$17:$C$46)*(55&lt;Projects!$C$17:$C$46+Projects!$D$17:$D$46)*Projects!$B$17:$B$46*Assumptions!$B$11/Projects!$D$17:$D$46*0.95)+SUMPRODUCT((Projects!$G$17:$G$46="Yes")*(55=Projects!$C$17:$C$46+Projects!$D$17:$D$46-1)*Projects!$B$17:$B$46*Assumptions!$B$11*0.05)+SUMPRODUCT((Projects!$G$17:$G$46="Yes")*(55&gt;=Projects!$C$17:$C$46)*(55&lt;Projects!$C$17:$C$46+Projects!$D$17:$D$46)*Projects!$B$17:$B$46*Assumptions!$B$12/Projects!$D$17:$D$46*0.95)+SUMPRODUCT((Projects!$G$17:$G$46="Yes")*(55=Projects!$C$17:$C$46+Projects!$D$17:$D$46-1)*Projects!$B$17:$B$46*Assumptions!$B$12*0.05)</f>
        <v>0</v>
      </c>
      <c r="BI97" s="315" t="n">
        <f aca="false">BI96+SUMPRODUCT((Projects!$G$17:$G$46="Yes")*(56&gt;=Projects!$C$17:$C$46)*(56&lt;Projects!$C$17:$C$46+Projects!$D$17:$D$46)*Projects!$B$17:$B$46*Assumptions!$B$10/Projects!$D$17:$D$46*0.95)+SUMPRODUCT((Projects!$G$17:$G$46="Yes")*(56=Projects!$C$17:$C$46+Projects!$D$17:$D$46-1)*Projects!$B$17:$B$46*Assumptions!$B$10*0.05)+SUMPRODUCT((Projects!$G$17:$G$46="Yes")*(56&gt;=Projects!$C$17:$C$46)*(56&lt;Projects!$C$17:$C$46+Projects!$D$17:$D$46)*Projects!$B$17:$B$46*Assumptions!$B$11/Projects!$D$17:$D$46*0.95)+SUMPRODUCT((Projects!$G$17:$G$46="Yes")*(56=Projects!$C$17:$C$46+Projects!$D$17:$D$46-1)*Projects!$B$17:$B$46*Assumptions!$B$11*0.05)+SUMPRODUCT((Projects!$G$17:$G$46="Yes")*(56&gt;=Projects!$C$17:$C$46)*(56&lt;Projects!$C$17:$C$46+Projects!$D$17:$D$46)*Projects!$B$17:$B$46*Assumptions!$B$12/Projects!$D$17:$D$46*0.95)+SUMPRODUCT((Projects!$G$17:$G$46="Yes")*(56=Projects!$C$17:$C$46+Projects!$D$17:$D$46-1)*Projects!$B$17:$B$46*Assumptions!$B$12*0.05)</f>
        <v>0</v>
      </c>
      <c r="BJ97" s="315" t="n">
        <f aca="false">BJ96+SUMPRODUCT((Projects!$G$17:$G$46="Yes")*(57&gt;=Projects!$C$17:$C$46)*(57&lt;Projects!$C$17:$C$46+Projects!$D$17:$D$46)*Projects!$B$17:$B$46*Assumptions!$B$10/Projects!$D$17:$D$46*0.95)+SUMPRODUCT((Projects!$G$17:$G$46="Yes")*(57=Projects!$C$17:$C$46+Projects!$D$17:$D$46-1)*Projects!$B$17:$B$46*Assumptions!$B$10*0.05)+SUMPRODUCT((Projects!$G$17:$G$46="Yes")*(57&gt;=Projects!$C$17:$C$46)*(57&lt;Projects!$C$17:$C$46+Projects!$D$17:$D$46)*Projects!$B$17:$B$46*Assumptions!$B$11/Projects!$D$17:$D$46*0.95)+SUMPRODUCT((Projects!$G$17:$G$46="Yes")*(57=Projects!$C$17:$C$46+Projects!$D$17:$D$46-1)*Projects!$B$17:$B$46*Assumptions!$B$11*0.05)+SUMPRODUCT((Projects!$G$17:$G$46="Yes")*(57&gt;=Projects!$C$17:$C$46)*(57&lt;Projects!$C$17:$C$46+Projects!$D$17:$D$46)*Projects!$B$17:$B$46*Assumptions!$B$12/Projects!$D$17:$D$46*0.95)+SUMPRODUCT((Projects!$G$17:$G$46="Yes")*(57=Projects!$C$17:$C$46+Projects!$D$17:$D$46-1)*Projects!$B$17:$B$46*Assumptions!$B$12*0.05)</f>
        <v>0</v>
      </c>
      <c r="BK97" s="315" t="n">
        <f aca="false">BK96+SUMPRODUCT((Projects!$G$17:$G$46="Yes")*(58&gt;=Projects!$C$17:$C$46)*(58&lt;Projects!$C$17:$C$46+Projects!$D$17:$D$46)*Projects!$B$17:$B$46*Assumptions!$B$10/Projects!$D$17:$D$46*0.95)+SUMPRODUCT((Projects!$G$17:$G$46="Yes")*(58=Projects!$C$17:$C$46+Projects!$D$17:$D$46-1)*Projects!$B$17:$B$46*Assumptions!$B$10*0.05)+SUMPRODUCT((Projects!$G$17:$G$46="Yes")*(58&gt;=Projects!$C$17:$C$46)*(58&lt;Projects!$C$17:$C$46+Projects!$D$17:$D$46)*Projects!$B$17:$B$46*Assumptions!$B$11/Projects!$D$17:$D$46*0.95)+SUMPRODUCT((Projects!$G$17:$G$46="Yes")*(58=Projects!$C$17:$C$46+Projects!$D$17:$D$46-1)*Projects!$B$17:$B$46*Assumptions!$B$11*0.05)+SUMPRODUCT((Projects!$G$17:$G$46="Yes")*(58&gt;=Projects!$C$17:$C$46)*(58&lt;Projects!$C$17:$C$46+Projects!$D$17:$D$46)*Projects!$B$17:$B$46*Assumptions!$B$12/Projects!$D$17:$D$46*0.95)+SUMPRODUCT((Projects!$G$17:$G$46="Yes")*(58=Projects!$C$17:$C$46+Projects!$D$17:$D$46-1)*Projects!$B$17:$B$46*Assumptions!$B$12*0.05)</f>
        <v>0</v>
      </c>
      <c r="BL97" s="315" t="n">
        <f aca="false">BL96+SUMPRODUCT((Projects!$G$17:$G$46="Yes")*(59&gt;=Projects!$C$17:$C$46)*(59&lt;Projects!$C$17:$C$46+Projects!$D$17:$D$46)*Projects!$B$17:$B$46*Assumptions!$B$10/Projects!$D$17:$D$46*0.95)+SUMPRODUCT((Projects!$G$17:$G$46="Yes")*(59=Projects!$C$17:$C$46+Projects!$D$17:$D$46-1)*Projects!$B$17:$B$46*Assumptions!$B$10*0.05)+SUMPRODUCT((Projects!$G$17:$G$46="Yes")*(59&gt;=Projects!$C$17:$C$46)*(59&lt;Projects!$C$17:$C$46+Projects!$D$17:$D$46)*Projects!$B$17:$B$46*Assumptions!$B$11/Projects!$D$17:$D$46*0.95)+SUMPRODUCT((Projects!$G$17:$G$46="Yes")*(59=Projects!$C$17:$C$46+Projects!$D$17:$D$46-1)*Projects!$B$17:$B$46*Assumptions!$B$11*0.05)+SUMPRODUCT((Projects!$G$17:$G$46="Yes")*(59&gt;=Projects!$C$17:$C$46)*(59&lt;Projects!$C$17:$C$46+Projects!$D$17:$D$46)*Projects!$B$17:$B$46*Assumptions!$B$12/Projects!$D$17:$D$46*0.95)+SUMPRODUCT((Projects!$G$17:$G$46="Yes")*(59=Projects!$C$17:$C$46+Projects!$D$17:$D$46-1)*Projects!$B$17:$B$46*Assumptions!$B$12*0.05)</f>
        <v>0</v>
      </c>
      <c r="BM97" s="315" t="n">
        <f aca="false">BM96+SUMPRODUCT((Projects!$G$17:$G$46="Yes")*(60&gt;=Projects!$C$17:$C$46)*(60&lt;Projects!$C$17:$C$46+Projects!$D$17:$D$46)*Projects!$B$17:$B$46*Assumptions!$B$10/Projects!$D$17:$D$46*0.95)+SUMPRODUCT((Projects!$G$17:$G$46="Yes")*(60=Projects!$C$17:$C$46+Projects!$D$17:$D$46-1)*Projects!$B$17:$B$46*Assumptions!$B$10*0.05)+SUMPRODUCT((Projects!$G$17:$G$46="Yes")*(60&gt;=Projects!$C$17:$C$46)*(60&lt;Projects!$C$17:$C$46+Projects!$D$17:$D$46)*Projects!$B$17:$B$46*Assumptions!$B$11/Projects!$D$17:$D$46*0.95)+SUMPRODUCT((Projects!$G$17:$G$46="Yes")*(60=Projects!$C$17:$C$46+Projects!$D$17:$D$46-1)*Projects!$B$17:$B$46*Assumptions!$B$11*0.05)+SUMPRODUCT((Projects!$G$17:$G$46="Yes")*(60&gt;=Projects!$C$17:$C$46)*(60&lt;Projects!$C$17:$C$46+Projects!$D$17:$D$46)*Projects!$B$17:$B$46*Assumptions!$B$12/Projects!$D$17:$D$46*0.95)+SUMPRODUCT((Projects!$G$17:$G$46="Yes")*(60=Projects!$C$17:$C$46+Projects!$D$17:$D$46-1)*Projects!$B$17:$B$46*Assumptions!$B$12*0.05)</f>
        <v>0</v>
      </c>
      <c r="BN97" s="315" t="n">
        <f aca="false">BN96+SUMPRODUCT((Projects!$G$17:$G$46="Yes")*(61&gt;=Projects!$C$17:$C$46)*(61&lt;Projects!$C$17:$C$46+Projects!$D$17:$D$46)*Projects!$B$17:$B$46*Assumptions!$B$10/Projects!$D$17:$D$46*0.95)+SUMPRODUCT((Projects!$G$17:$G$46="Yes")*(61=Projects!$C$17:$C$46+Projects!$D$17:$D$46-1)*Projects!$B$17:$B$46*Assumptions!$B$10*0.05)+SUMPRODUCT((Projects!$G$17:$G$46="Yes")*(61&gt;=Projects!$C$17:$C$46)*(61&lt;Projects!$C$17:$C$46+Projects!$D$17:$D$46)*Projects!$B$17:$B$46*Assumptions!$B$11/Projects!$D$17:$D$46*0.95)+SUMPRODUCT((Projects!$G$17:$G$46="Yes")*(61=Projects!$C$17:$C$46+Projects!$D$17:$D$46-1)*Projects!$B$17:$B$46*Assumptions!$B$11*0.05)+SUMPRODUCT((Projects!$G$17:$G$46="Yes")*(61&gt;=Projects!$C$17:$C$46)*(61&lt;Projects!$C$17:$C$46+Projects!$D$17:$D$46)*Projects!$B$17:$B$46*Assumptions!$B$12/Projects!$D$17:$D$46*0.95)+SUMPRODUCT((Projects!$G$17:$G$46="Yes")*(61=Projects!$C$17:$C$46+Projects!$D$17:$D$46-1)*Projects!$B$17:$B$46*Assumptions!$B$12*0.05)</f>
        <v>0</v>
      </c>
      <c r="BO97" s="315" t="n">
        <f aca="false">BO96+SUMPRODUCT((Projects!$G$17:$G$46="Yes")*(62&gt;=Projects!$C$17:$C$46)*(62&lt;Projects!$C$17:$C$46+Projects!$D$17:$D$46)*Projects!$B$17:$B$46*Assumptions!$B$10/Projects!$D$17:$D$46*0.95)+SUMPRODUCT((Projects!$G$17:$G$46="Yes")*(62=Projects!$C$17:$C$46+Projects!$D$17:$D$46-1)*Projects!$B$17:$B$46*Assumptions!$B$10*0.05)+SUMPRODUCT((Projects!$G$17:$G$46="Yes")*(62&gt;=Projects!$C$17:$C$46)*(62&lt;Projects!$C$17:$C$46+Projects!$D$17:$D$46)*Projects!$B$17:$B$46*Assumptions!$B$11/Projects!$D$17:$D$46*0.95)+SUMPRODUCT((Projects!$G$17:$G$46="Yes")*(62=Projects!$C$17:$C$46+Projects!$D$17:$D$46-1)*Projects!$B$17:$B$46*Assumptions!$B$11*0.05)+SUMPRODUCT((Projects!$G$17:$G$46="Yes")*(62&gt;=Projects!$C$17:$C$46)*(62&lt;Projects!$C$17:$C$46+Projects!$D$17:$D$46)*Projects!$B$17:$B$46*Assumptions!$B$12/Projects!$D$17:$D$46*0.95)+SUMPRODUCT((Projects!$G$17:$G$46="Yes")*(62=Projects!$C$17:$C$46+Projects!$D$17:$D$46-1)*Projects!$B$17:$B$46*Assumptions!$B$12*0.05)</f>
        <v>0</v>
      </c>
      <c r="BP97" s="315" t="n">
        <f aca="false">BP96+SUMPRODUCT((Projects!$G$17:$G$46="Yes")*(63&gt;=Projects!$C$17:$C$46)*(63&lt;Projects!$C$17:$C$46+Projects!$D$17:$D$46)*Projects!$B$17:$B$46*Assumptions!$B$10/Projects!$D$17:$D$46*0.95)+SUMPRODUCT((Projects!$G$17:$G$46="Yes")*(63=Projects!$C$17:$C$46+Projects!$D$17:$D$46-1)*Projects!$B$17:$B$46*Assumptions!$B$10*0.05)+SUMPRODUCT((Projects!$G$17:$G$46="Yes")*(63&gt;=Projects!$C$17:$C$46)*(63&lt;Projects!$C$17:$C$46+Projects!$D$17:$D$46)*Projects!$B$17:$B$46*Assumptions!$B$11/Projects!$D$17:$D$46*0.95)+SUMPRODUCT((Projects!$G$17:$G$46="Yes")*(63=Projects!$C$17:$C$46+Projects!$D$17:$D$46-1)*Projects!$B$17:$B$46*Assumptions!$B$11*0.05)+SUMPRODUCT((Projects!$G$17:$G$46="Yes")*(63&gt;=Projects!$C$17:$C$46)*(63&lt;Projects!$C$17:$C$46+Projects!$D$17:$D$46)*Projects!$B$17:$B$46*Assumptions!$B$12/Projects!$D$17:$D$46*0.95)+SUMPRODUCT((Projects!$G$17:$G$46="Yes")*(63=Projects!$C$17:$C$46+Projects!$D$17:$D$46-1)*Projects!$B$17:$B$46*Assumptions!$B$12*0.05)</f>
        <v>0</v>
      </c>
      <c r="BQ97" s="315" t="n">
        <f aca="false">BQ96+SUMPRODUCT((Projects!$G$17:$G$46="Yes")*(64&gt;=Projects!$C$17:$C$46)*(64&lt;Projects!$C$17:$C$46+Projects!$D$17:$D$46)*Projects!$B$17:$B$46*Assumptions!$B$10/Projects!$D$17:$D$46*0.95)+SUMPRODUCT((Projects!$G$17:$G$46="Yes")*(64=Projects!$C$17:$C$46+Projects!$D$17:$D$46-1)*Projects!$B$17:$B$46*Assumptions!$B$10*0.05)+SUMPRODUCT((Projects!$G$17:$G$46="Yes")*(64&gt;=Projects!$C$17:$C$46)*(64&lt;Projects!$C$17:$C$46+Projects!$D$17:$D$46)*Projects!$B$17:$B$46*Assumptions!$B$11/Projects!$D$17:$D$46*0.95)+SUMPRODUCT((Projects!$G$17:$G$46="Yes")*(64=Projects!$C$17:$C$46+Projects!$D$17:$D$46-1)*Projects!$B$17:$B$46*Assumptions!$B$11*0.05)+SUMPRODUCT((Projects!$G$17:$G$46="Yes")*(64&gt;=Projects!$C$17:$C$46)*(64&lt;Projects!$C$17:$C$46+Projects!$D$17:$D$46)*Projects!$B$17:$B$46*Assumptions!$B$12/Projects!$D$17:$D$46*0.95)+SUMPRODUCT((Projects!$G$17:$G$46="Yes")*(64=Projects!$C$17:$C$46+Projects!$D$17:$D$46-1)*Projects!$B$17:$B$46*Assumptions!$B$12*0.05)</f>
        <v>0</v>
      </c>
      <c r="BR97" s="315" t="n">
        <f aca="false">BR96+SUMPRODUCT((Projects!$G$17:$G$46="Yes")*(65&gt;=Projects!$C$17:$C$46)*(65&lt;Projects!$C$17:$C$46+Projects!$D$17:$D$46)*Projects!$B$17:$B$46*Assumptions!$B$10/Projects!$D$17:$D$46*0.95)+SUMPRODUCT((Projects!$G$17:$G$46="Yes")*(65=Projects!$C$17:$C$46+Projects!$D$17:$D$46-1)*Projects!$B$17:$B$46*Assumptions!$B$10*0.05)+SUMPRODUCT((Projects!$G$17:$G$46="Yes")*(65&gt;=Projects!$C$17:$C$46)*(65&lt;Projects!$C$17:$C$46+Projects!$D$17:$D$46)*Projects!$B$17:$B$46*Assumptions!$B$11/Projects!$D$17:$D$46*0.95)+SUMPRODUCT((Projects!$G$17:$G$46="Yes")*(65=Projects!$C$17:$C$46+Projects!$D$17:$D$46-1)*Projects!$B$17:$B$46*Assumptions!$B$11*0.05)+SUMPRODUCT((Projects!$G$17:$G$46="Yes")*(65&gt;=Projects!$C$17:$C$46)*(65&lt;Projects!$C$17:$C$46+Projects!$D$17:$D$46)*Projects!$B$17:$B$46*Assumptions!$B$12/Projects!$D$17:$D$46*0.95)+SUMPRODUCT((Projects!$G$17:$G$46="Yes")*(65=Projects!$C$17:$C$46+Projects!$D$17:$D$46-1)*Projects!$B$17:$B$46*Assumptions!$B$12*0.05)</f>
        <v>0</v>
      </c>
      <c r="BS97" s="315" t="n">
        <f aca="false">BS96+SUMPRODUCT((Projects!$G$17:$G$46="Yes")*(66&gt;=Projects!$C$17:$C$46)*(66&lt;Projects!$C$17:$C$46+Projects!$D$17:$D$46)*Projects!$B$17:$B$46*Assumptions!$B$10/Projects!$D$17:$D$46*0.95)+SUMPRODUCT((Projects!$G$17:$G$46="Yes")*(66=Projects!$C$17:$C$46+Projects!$D$17:$D$46-1)*Projects!$B$17:$B$46*Assumptions!$B$10*0.05)+SUMPRODUCT((Projects!$G$17:$G$46="Yes")*(66&gt;=Projects!$C$17:$C$46)*(66&lt;Projects!$C$17:$C$46+Projects!$D$17:$D$46)*Projects!$B$17:$B$46*Assumptions!$B$11/Projects!$D$17:$D$46*0.95)+SUMPRODUCT((Projects!$G$17:$G$46="Yes")*(66=Projects!$C$17:$C$46+Projects!$D$17:$D$46-1)*Projects!$B$17:$B$46*Assumptions!$B$11*0.05)+SUMPRODUCT((Projects!$G$17:$G$46="Yes")*(66&gt;=Projects!$C$17:$C$46)*(66&lt;Projects!$C$17:$C$46+Projects!$D$17:$D$46)*Projects!$B$17:$B$46*Assumptions!$B$12/Projects!$D$17:$D$46*0.95)+SUMPRODUCT((Projects!$G$17:$G$46="Yes")*(66=Projects!$C$17:$C$46+Projects!$D$17:$D$46-1)*Projects!$B$17:$B$46*Assumptions!$B$12*0.05)</f>
        <v>0</v>
      </c>
      <c r="BT97" s="315" t="n">
        <f aca="false">BT96+SUMPRODUCT((Projects!$G$17:$G$46="Yes")*(67&gt;=Projects!$C$17:$C$46)*(67&lt;Projects!$C$17:$C$46+Projects!$D$17:$D$46)*Projects!$B$17:$B$46*Assumptions!$B$10/Projects!$D$17:$D$46*0.95)+SUMPRODUCT((Projects!$G$17:$G$46="Yes")*(67=Projects!$C$17:$C$46+Projects!$D$17:$D$46-1)*Projects!$B$17:$B$46*Assumptions!$B$10*0.05)+SUMPRODUCT((Projects!$G$17:$G$46="Yes")*(67&gt;=Projects!$C$17:$C$46)*(67&lt;Projects!$C$17:$C$46+Projects!$D$17:$D$46)*Projects!$B$17:$B$46*Assumptions!$B$11/Projects!$D$17:$D$46*0.95)+SUMPRODUCT((Projects!$G$17:$G$46="Yes")*(67=Projects!$C$17:$C$46+Projects!$D$17:$D$46-1)*Projects!$B$17:$B$46*Assumptions!$B$11*0.05)+SUMPRODUCT((Projects!$G$17:$G$46="Yes")*(67&gt;=Projects!$C$17:$C$46)*(67&lt;Projects!$C$17:$C$46+Projects!$D$17:$D$46)*Projects!$B$17:$B$46*Assumptions!$B$12/Projects!$D$17:$D$46*0.95)+SUMPRODUCT((Projects!$G$17:$G$46="Yes")*(67=Projects!$C$17:$C$46+Projects!$D$17:$D$46-1)*Projects!$B$17:$B$46*Assumptions!$B$12*0.05)</f>
        <v>0</v>
      </c>
      <c r="BU97" s="315" t="n">
        <f aca="false">BU96+SUMPRODUCT((Projects!$G$17:$G$46="Yes")*(68&gt;=Projects!$C$17:$C$46)*(68&lt;Projects!$C$17:$C$46+Projects!$D$17:$D$46)*Projects!$B$17:$B$46*Assumptions!$B$10/Projects!$D$17:$D$46*0.95)+SUMPRODUCT((Projects!$G$17:$G$46="Yes")*(68=Projects!$C$17:$C$46+Projects!$D$17:$D$46-1)*Projects!$B$17:$B$46*Assumptions!$B$10*0.05)+SUMPRODUCT((Projects!$G$17:$G$46="Yes")*(68&gt;=Projects!$C$17:$C$46)*(68&lt;Projects!$C$17:$C$46+Projects!$D$17:$D$46)*Projects!$B$17:$B$46*Assumptions!$B$11/Projects!$D$17:$D$46*0.95)+SUMPRODUCT((Projects!$G$17:$G$46="Yes")*(68=Projects!$C$17:$C$46+Projects!$D$17:$D$46-1)*Projects!$B$17:$B$46*Assumptions!$B$11*0.05)+SUMPRODUCT((Projects!$G$17:$G$46="Yes")*(68&gt;=Projects!$C$17:$C$46)*(68&lt;Projects!$C$17:$C$46+Projects!$D$17:$D$46)*Projects!$B$17:$B$46*Assumptions!$B$12/Projects!$D$17:$D$46*0.95)+SUMPRODUCT((Projects!$G$17:$G$46="Yes")*(68=Projects!$C$17:$C$46+Projects!$D$17:$D$46-1)*Projects!$B$17:$B$46*Assumptions!$B$12*0.05)</f>
        <v>0</v>
      </c>
      <c r="BV97" s="315" t="n">
        <f aca="false">BV96+SUMPRODUCT((Projects!$G$17:$G$46="Yes")*(69&gt;=Projects!$C$17:$C$46)*(69&lt;Projects!$C$17:$C$46+Projects!$D$17:$D$46)*Projects!$B$17:$B$46*Assumptions!$B$10/Projects!$D$17:$D$46*0.95)+SUMPRODUCT((Projects!$G$17:$G$46="Yes")*(69=Projects!$C$17:$C$46+Projects!$D$17:$D$46-1)*Projects!$B$17:$B$46*Assumptions!$B$10*0.05)+SUMPRODUCT((Projects!$G$17:$G$46="Yes")*(69&gt;=Projects!$C$17:$C$46)*(69&lt;Projects!$C$17:$C$46+Projects!$D$17:$D$46)*Projects!$B$17:$B$46*Assumptions!$B$11/Projects!$D$17:$D$46*0.95)+SUMPRODUCT((Projects!$G$17:$G$46="Yes")*(69=Projects!$C$17:$C$46+Projects!$D$17:$D$46-1)*Projects!$B$17:$B$46*Assumptions!$B$11*0.05)+SUMPRODUCT((Projects!$G$17:$G$46="Yes")*(69&gt;=Projects!$C$17:$C$46)*(69&lt;Projects!$C$17:$C$46+Projects!$D$17:$D$46)*Projects!$B$17:$B$46*Assumptions!$B$12/Projects!$D$17:$D$46*0.95)+SUMPRODUCT((Projects!$G$17:$G$46="Yes")*(69=Projects!$C$17:$C$46+Projects!$D$17:$D$46-1)*Projects!$B$17:$B$46*Assumptions!$B$12*0.05)</f>
        <v>0</v>
      </c>
      <c r="BW97" s="315" t="n">
        <f aca="false">BW96+SUMPRODUCT((Projects!$G$17:$G$46="Yes")*(70&gt;=Projects!$C$17:$C$46)*(70&lt;Projects!$C$17:$C$46+Projects!$D$17:$D$46)*Projects!$B$17:$B$46*Assumptions!$B$10/Projects!$D$17:$D$46*0.95)+SUMPRODUCT((Projects!$G$17:$G$46="Yes")*(70=Projects!$C$17:$C$46+Projects!$D$17:$D$46-1)*Projects!$B$17:$B$46*Assumptions!$B$10*0.05)+SUMPRODUCT((Projects!$G$17:$G$46="Yes")*(70&gt;=Projects!$C$17:$C$46)*(70&lt;Projects!$C$17:$C$46+Projects!$D$17:$D$46)*Projects!$B$17:$B$46*Assumptions!$B$11/Projects!$D$17:$D$46*0.95)+SUMPRODUCT((Projects!$G$17:$G$46="Yes")*(70=Projects!$C$17:$C$46+Projects!$D$17:$D$46-1)*Projects!$B$17:$B$46*Assumptions!$B$11*0.05)+SUMPRODUCT((Projects!$G$17:$G$46="Yes")*(70&gt;=Projects!$C$17:$C$46)*(70&lt;Projects!$C$17:$C$46+Projects!$D$17:$D$46)*Projects!$B$17:$B$46*Assumptions!$B$12/Projects!$D$17:$D$46*0.95)+SUMPRODUCT((Projects!$G$17:$G$46="Yes")*(70=Projects!$C$17:$C$46+Projects!$D$17:$D$46-1)*Projects!$B$17:$B$46*Assumptions!$B$12*0.05)</f>
        <v>0</v>
      </c>
      <c r="BX97" s="315" t="n">
        <f aca="false">BX96+SUMPRODUCT((Projects!$G$17:$G$46="Yes")*(71&gt;=Projects!$C$17:$C$46)*(71&lt;Projects!$C$17:$C$46+Projects!$D$17:$D$46)*Projects!$B$17:$B$46*Assumptions!$B$10/Projects!$D$17:$D$46*0.95)+SUMPRODUCT((Projects!$G$17:$G$46="Yes")*(71=Projects!$C$17:$C$46+Projects!$D$17:$D$46-1)*Projects!$B$17:$B$46*Assumptions!$B$10*0.05)+SUMPRODUCT((Projects!$G$17:$G$46="Yes")*(71&gt;=Projects!$C$17:$C$46)*(71&lt;Projects!$C$17:$C$46+Projects!$D$17:$D$46)*Projects!$B$17:$B$46*Assumptions!$B$11/Projects!$D$17:$D$46*0.95)+SUMPRODUCT((Projects!$G$17:$G$46="Yes")*(71=Projects!$C$17:$C$46+Projects!$D$17:$D$46-1)*Projects!$B$17:$B$46*Assumptions!$B$11*0.05)+SUMPRODUCT((Projects!$G$17:$G$46="Yes")*(71&gt;=Projects!$C$17:$C$46)*(71&lt;Projects!$C$17:$C$46+Projects!$D$17:$D$46)*Projects!$B$17:$B$46*Assumptions!$B$12/Projects!$D$17:$D$46*0.95)+SUMPRODUCT((Projects!$G$17:$G$46="Yes")*(71=Projects!$C$17:$C$46+Projects!$D$17:$D$46-1)*Projects!$B$17:$B$46*Assumptions!$B$12*0.05)</f>
        <v>0</v>
      </c>
      <c r="BY97" s="315" t="n">
        <f aca="false">BY96+SUMPRODUCT((Projects!$G$17:$G$46="Yes")*(72&gt;=Projects!$C$17:$C$46)*(72&lt;Projects!$C$17:$C$46+Projects!$D$17:$D$46)*Projects!$B$17:$B$46*Assumptions!$B$10/Projects!$D$17:$D$46*0.95)+SUMPRODUCT((Projects!$G$17:$G$46="Yes")*(72=Projects!$C$17:$C$46+Projects!$D$17:$D$46-1)*Projects!$B$17:$B$46*Assumptions!$B$10*0.05)+SUMPRODUCT((Projects!$G$17:$G$46="Yes")*(72&gt;=Projects!$C$17:$C$46)*(72&lt;Projects!$C$17:$C$46+Projects!$D$17:$D$46)*Projects!$B$17:$B$46*Assumptions!$B$11/Projects!$D$17:$D$46*0.95)+SUMPRODUCT((Projects!$G$17:$G$46="Yes")*(72=Projects!$C$17:$C$46+Projects!$D$17:$D$46-1)*Projects!$B$17:$B$46*Assumptions!$B$11*0.05)+SUMPRODUCT((Projects!$G$17:$G$46="Yes")*(72&gt;=Projects!$C$17:$C$46)*(72&lt;Projects!$C$17:$C$46+Projects!$D$17:$D$46)*Projects!$B$17:$B$46*Assumptions!$B$12/Projects!$D$17:$D$46*0.95)+SUMPRODUCT((Projects!$G$17:$G$46="Yes")*(72=Projects!$C$17:$C$46+Projects!$D$17:$D$46-1)*Projects!$B$17:$B$46*Assumptions!$B$12*0.05)</f>
        <v>0</v>
      </c>
      <c r="BZ97" s="315" t="n">
        <f aca="false">BZ96+SUMPRODUCT((Projects!$G$17:$G$46="Yes")*(73&gt;=Projects!$C$17:$C$46)*(73&lt;Projects!$C$17:$C$46+Projects!$D$17:$D$46)*Projects!$B$17:$B$46*Assumptions!$B$10/Projects!$D$17:$D$46*0.95)+SUMPRODUCT((Projects!$G$17:$G$46="Yes")*(73=Projects!$C$17:$C$46+Projects!$D$17:$D$46-1)*Projects!$B$17:$B$46*Assumptions!$B$10*0.05)+SUMPRODUCT((Projects!$G$17:$G$46="Yes")*(73&gt;=Projects!$C$17:$C$46)*(73&lt;Projects!$C$17:$C$46+Projects!$D$17:$D$46)*Projects!$B$17:$B$46*Assumptions!$B$11/Projects!$D$17:$D$46*0.95)+SUMPRODUCT((Projects!$G$17:$G$46="Yes")*(73=Projects!$C$17:$C$46+Projects!$D$17:$D$46-1)*Projects!$B$17:$B$46*Assumptions!$B$11*0.05)+SUMPRODUCT((Projects!$G$17:$G$46="Yes")*(73&gt;=Projects!$C$17:$C$46)*(73&lt;Projects!$C$17:$C$46+Projects!$D$17:$D$46)*Projects!$B$17:$B$46*Assumptions!$B$12/Projects!$D$17:$D$46*0.95)+SUMPRODUCT((Projects!$G$17:$G$46="Yes")*(73=Projects!$C$17:$C$46+Projects!$D$17:$D$46-1)*Projects!$B$17:$B$46*Assumptions!$B$12*0.05)</f>
        <v>0</v>
      </c>
      <c r="CA97" s="315" t="n">
        <f aca="false">CA96+SUMPRODUCT((Projects!$G$17:$G$46="Yes")*(74&gt;=Projects!$C$17:$C$46)*(74&lt;Projects!$C$17:$C$46+Projects!$D$17:$D$46)*Projects!$B$17:$B$46*Assumptions!$B$10/Projects!$D$17:$D$46*0.95)+SUMPRODUCT((Projects!$G$17:$G$46="Yes")*(74=Projects!$C$17:$C$46+Projects!$D$17:$D$46-1)*Projects!$B$17:$B$46*Assumptions!$B$10*0.05)+SUMPRODUCT((Projects!$G$17:$G$46="Yes")*(74&gt;=Projects!$C$17:$C$46)*(74&lt;Projects!$C$17:$C$46+Projects!$D$17:$D$46)*Projects!$B$17:$B$46*Assumptions!$B$11/Projects!$D$17:$D$46*0.95)+SUMPRODUCT((Projects!$G$17:$G$46="Yes")*(74=Projects!$C$17:$C$46+Projects!$D$17:$D$46-1)*Projects!$B$17:$B$46*Assumptions!$B$11*0.05)+SUMPRODUCT((Projects!$G$17:$G$46="Yes")*(74&gt;=Projects!$C$17:$C$46)*(74&lt;Projects!$C$17:$C$46+Projects!$D$17:$D$46)*Projects!$B$17:$B$46*Assumptions!$B$12/Projects!$D$17:$D$46*0.95)+SUMPRODUCT((Projects!$G$17:$G$46="Yes")*(74=Projects!$C$17:$C$46+Projects!$D$17:$D$46-1)*Projects!$B$17:$B$46*Assumptions!$B$12*0.05)</f>
        <v>0</v>
      </c>
      <c r="CB97" s="315" t="n">
        <f aca="false">CB96+SUMPRODUCT((Projects!$G$17:$G$46="Yes")*(75&gt;=Projects!$C$17:$C$46)*(75&lt;Projects!$C$17:$C$46+Projects!$D$17:$D$46)*Projects!$B$17:$B$46*Assumptions!$B$10/Projects!$D$17:$D$46*0.95)+SUMPRODUCT((Projects!$G$17:$G$46="Yes")*(75=Projects!$C$17:$C$46+Projects!$D$17:$D$46-1)*Projects!$B$17:$B$46*Assumptions!$B$10*0.05)+SUMPRODUCT((Projects!$G$17:$G$46="Yes")*(75&gt;=Projects!$C$17:$C$46)*(75&lt;Projects!$C$17:$C$46+Projects!$D$17:$D$46)*Projects!$B$17:$B$46*Assumptions!$B$11/Projects!$D$17:$D$46*0.95)+SUMPRODUCT((Projects!$G$17:$G$46="Yes")*(75=Projects!$C$17:$C$46+Projects!$D$17:$D$46-1)*Projects!$B$17:$B$46*Assumptions!$B$11*0.05)+SUMPRODUCT((Projects!$G$17:$G$46="Yes")*(75&gt;=Projects!$C$17:$C$46)*(75&lt;Projects!$C$17:$C$46+Projects!$D$17:$D$46)*Projects!$B$17:$B$46*Assumptions!$B$12/Projects!$D$17:$D$46*0.95)+SUMPRODUCT((Projects!$G$17:$G$46="Yes")*(75=Projects!$C$17:$C$46+Projects!$D$17:$D$46-1)*Projects!$B$17:$B$46*Assumptions!$B$12*0.05)</f>
        <v>0</v>
      </c>
      <c r="CC97" s="315" t="n">
        <f aca="false">CC96+SUMPRODUCT((Projects!$G$17:$G$46="Yes")*(76&gt;=Projects!$C$17:$C$46)*(76&lt;Projects!$C$17:$C$46+Projects!$D$17:$D$46)*Projects!$B$17:$B$46*Assumptions!$B$10/Projects!$D$17:$D$46*0.95)+SUMPRODUCT((Projects!$G$17:$G$46="Yes")*(76=Projects!$C$17:$C$46+Projects!$D$17:$D$46-1)*Projects!$B$17:$B$46*Assumptions!$B$10*0.05)+SUMPRODUCT((Projects!$G$17:$G$46="Yes")*(76&gt;=Projects!$C$17:$C$46)*(76&lt;Projects!$C$17:$C$46+Projects!$D$17:$D$46)*Projects!$B$17:$B$46*Assumptions!$B$11/Projects!$D$17:$D$46*0.95)+SUMPRODUCT((Projects!$G$17:$G$46="Yes")*(76=Projects!$C$17:$C$46+Projects!$D$17:$D$46-1)*Projects!$B$17:$B$46*Assumptions!$B$11*0.05)+SUMPRODUCT((Projects!$G$17:$G$46="Yes")*(76&gt;=Projects!$C$17:$C$46)*(76&lt;Projects!$C$17:$C$46+Projects!$D$17:$D$46)*Projects!$B$17:$B$46*Assumptions!$B$12/Projects!$D$17:$D$46*0.95)+SUMPRODUCT((Projects!$G$17:$G$46="Yes")*(76=Projects!$C$17:$C$46+Projects!$D$17:$D$46-1)*Projects!$B$17:$B$46*Assumptions!$B$12*0.05)</f>
        <v>0</v>
      </c>
      <c r="CD97" s="315" t="n">
        <f aca="false">CD96+SUMPRODUCT((Projects!$G$17:$G$46="Yes")*(77&gt;=Projects!$C$17:$C$46)*(77&lt;Projects!$C$17:$C$46+Projects!$D$17:$D$46)*Projects!$B$17:$B$46*Assumptions!$B$10/Projects!$D$17:$D$46*0.95)+SUMPRODUCT((Projects!$G$17:$G$46="Yes")*(77=Projects!$C$17:$C$46+Projects!$D$17:$D$46-1)*Projects!$B$17:$B$46*Assumptions!$B$10*0.05)+SUMPRODUCT((Projects!$G$17:$G$46="Yes")*(77&gt;=Projects!$C$17:$C$46)*(77&lt;Projects!$C$17:$C$46+Projects!$D$17:$D$46)*Projects!$B$17:$B$46*Assumptions!$B$11/Projects!$D$17:$D$46*0.95)+SUMPRODUCT((Projects!$G$17:$G$46="Yes")*(77=Projects!$C$17:$C$46+Projects!$D$17:$D$46-1)*Projects!$B$17:$B$46*Assumptions!$B$11*0.05)+SUMPRODUCT((Projects!$G$17:$G$46="Yes")*(77&gt;=Projects!$C$17:$C$46)*(77&lt;Projects!$C$17:$C$46+Projects!$D$17:$D$46)*Projects!$B$17:$B$46*Assumptions!$B$12/Projects!$D$17:$D$46*0.95)+SUMPRODUCT((Projects!$G$17:$G$46="Yes")*(77=Projects!$C$17:$C$46+Projects!$D$17:$D$46-1)*Projects!$B$17:$B$46*Assumptions!$B$12*0.05)</f>
        <v>0</v>
      </c>
      <c r="CE97" s="315" t="n">
        <f aca="false">CE96+SUMPRODUCT((Projects!$G$17:$G$46="Yes")*(78&gt;=Projects!$C$17:$C$46)*(78&lt;Projects!$C$17:$C$46+Projects!$D$17:$D$46)*Projects!$B$17:$B$46*Assumptions!$B$10/Projects!$D$17:$D$46*0.95)+SUMPRODUCT((Projects!$G$17:$G$46="Yes")*(78=Projects!$C$17:$C$46+Projects!$D$17:$D$46-1)*Projects!$B$17:$B$46*Assumptions!$B$10*0.05)+SUMPRODUCT((Projects!$G$17:$G$46="Yes")*(78&gt;=Projects!$C$17:$C$46)*(78&lt;Projects!$C$17:$C$46+Projects!$D$17:$D$46)*Projects!$B$17:$B$46*Assumptions!$B$11/Projects!$D$17:$D$46*0.95)+SUMPRODUCT((Projects!$G$17:$G$46="Yes")*(78=Projects!$C$17:$C$46+Projects!$D$17:$D$46-1)*Projects!$B$17:$B$46*Assumptions!$B$11*0.05)+SUMPRODUCT((Projects!$G$17:$G$46="Yes")*(78&gt;=Projects!$C$17:$C$46)*(78&lt;Projects!$C$17:$C$46+Projects!$D$17:$D$46)*Projects!$B$17:$B$46*Assumptions!$B$12/Projects!$D$17:$D$46*0.95)+SUMPRODUCT((Projects!$G$17:$G$46="Yes")*(78=Projects!$C$17:$C$46+Projects!$D$17:$D$46-1)*Projects!$B$17:$B$46*Assumptions!$B$12*0.05)</f>
        <v>0</v>
      </c>
      <c r="CF97" s="315" t="n">
        <f aca="false">CF96+SUMPRODUCT((Projects!$G$17:$G$46="Yes")*(79&gt;=Projects!$C$17:$C$46)*(79&lt;Projects!$C$17:$C$46+Projects!$D$17:$D$46)*Projects!$B$17:$B$46*Assumptions!$B$10/Projects!$D$17:$D$46*0.95)+SUMPRODUCT((Projects!$G$17:$G$46="Yes")*(79=Projects!$C$17:$C$46+Projects!$D$17:$D$46-1)*Projects!$B$17:$B$46*Assumptions!$B$10*0.05)+SUMPRODUCT((Projects!$G$17:$G$46="Yes")*(79&gt;=Projects!$C$17:$C$46)*(79&lt;Projects!$C$17:$C$46+Projects!$D$17:$D$46)*Projects!$B$17:$B$46*Assumptions!$B$11/Projects!$D$17:$D$46*0.95)+SUMPRODUCT((Projects!$G$17:$G$46="Yes")*(79=Projects!$C$17:$C$46+Projects!$D$17:$D$46-1)*Projects!$B$17:$B$46*Assumptions!$B$11*0.05)+SUMPRODUCT((Projects!$G$17:$G$46="Yes")*(79&gt;=Projects!$C$17:$C$46)*(79&lt;Projects!$C$17:$C$46+Projects!$D$17:$D$46)*Projects!$B$17:$B$46*Assumptions!$B$12/Projects!$D$17:$D$46*0.95)+SUMPRODUCT((Projects!$G$17:$G$46="Yes")*(79=Projects!$C$17:$C$46+Projects!$D$17:$D$46-1)*Projects!$B$17:$B$46*Assumptions!$B$12*0.05)</f>
        <v>0</v>
      </c>
      <c r="CG97" s="315" t="n">
        <f aca="false">CG96+SUMPRODUCT((Projects!$G$17:$G$46="Yes")*(80&gt;=Projects!$C$17:$C$46)*(80&lt;Projects!$C$17:$C$46+Projects!$D$17:$D$46)*Projects!$B$17:$B$46*Assumptions!$B$10/Projects!$D$17:$D$46*0.95)+SUMPRODUCT((Projects!$G$17:$G$46="Yes")*(80=Projects!$C$17:$C$46+Projects!$D$17:$D$46-1)*Projects!$B$17:$B$46*Assumptions!$B$10*0.05)+SUMPRODUCT((Projects!$G$17:$G$46="Yes")*(80&gt;=Projects!$C$17:$C$46)*(80&lt;Projects!$C$17:$C$46+Projects!$D$17:$D$46)*Projects!$B$17:$B$46*Assumptions!$B$11/Projects!$D$17:$D$46*0.95)+SUMPRODUCT((Projects!$G$17:$G$46="Yes")*(80=Projects!$C$17:$C$46+Projects!$D$17:$D$46-1)*Projects!$B$17:$B$46*Assumptions!$B$11*0.05)+SUMPRODUCT((Projects!$G$17:$G$46="Yes")*(80&gt;=Projects!$C$17:$C$46)*(80&lt;Projects!$C$17:$C$46+Projects!$D$17:$D$46)*Projects!$B$17:$B$46*Assumptions!$B$12/Projects!$D$17:$D$46*0.95)+SUMPRODUCT((Projects!$G$17:$G$46="Yes")*(80=Projects!$C$17:$C$46+Projects!$D$17:$D$46-1)*Projects!$B$17:$B$46*Assumptions!$B$12*0.05)</f>
        <v>0</v>
      </c>
      <c r="CH97" s="315" t="n">
        <f aca="false">CH96+SUMPRODUCT((Projects!$G$17:$G$46="Yes")*(81&gt;=Projects!$C$17:$C$46)*(81&lt;Projects!$C$17:$C$46+Projects!$D$17:$D$46)*Projects!$B$17:$B$46*Assumptions!$B$10/Projects!$D$17:$D$46*0.95)+SUMPRODUCT((Projects!$G$17:$G$46="Yes")*(81=Projects!$C$17:$C$46+Projects!$D$17:$D$46-1)*Projects!$B$17:$B$46*Assumptions!$B$10*0.05)+SUMPRODUCT((Projects!$G$17:$G$46="Yes")*(81&gt;=Projects!$C$17:$C$46)*(81&lt;Projects!$C$17:$C$46+Projects!$D$17:$D$46)*Projects!$B$17:$B$46*Assumptions!$B$11/Projects!$D$17:$D$46*0.95)+SUMPRODUCT((Projects!$G$17:$G$46="Yes")*(81=Projects!$C$17:$C$46+Projects!$D$17:$D$46-1)*Projects!$B$17:$B$46*Assumptions!$B$11*0.05)+SUMPRODUCT((Projects!$G$17:$G$46="Yes")*(81&gt;=Projects!$C$17:$C$46)*(81&lt;Projects!$C$17:$C$46+Projects!$D$17:$D$46)*Projects!$B$17:$B$46*Assumptions!$B$12/Projects!$D$17:$D$46*0.95)+SUMPRODUCT((Projects!$G$17:$G$46="Yes")*(81=Projects!$C$17:$C$46+Projects!$D$17:$D$46-1)*Projects!$B$17:$B$46*Assumptions!$B$12*0.05)</f>
        <v>0</v>
      </c>
      <c r="CI97" s="315" t="n">
        <f aca="false">CI96+SUMPRODUCT((Projects!$G$17:$G$46="Yes")*(82&gt;=Projects!$C$17:$C$46)*(82&lt;Projects!$C$17:$C$46+Projects!$D$17:$D$46)*Projects!$B$17:$B$46*Assumptions!$B$10/Projects!$D$17:$D$46*0.95)+SUMPRODUCT((Projects!$G$17:$G$46="Yes")*(82=Projects!$C$17:$C$46+Projects!$D$17:$D$46-1)*Projects!$B$17:$B$46*Assumptions!$B$10*0.05)+SUMPRODUCT((Projects!$G$17:$G$46="Yes")*(82&gt;=Projects!$C$17:$C$46)*(82&lt;Projects!$C$17:$C$46+Projects!$D$17:$D$46)*Projects!$B$17:$B$46*Assumptions!$B$11/Projects!$D$17:$D$46*0.95)+SUMPRODUCT((Projects!$G$17:$G$46="Yes")*(82=Projects!$C$17:$C$46+Projects!$D$17:$D$46-1)*Projects!$B$17:$B$46*Assumptions!$B$11*0.05)+SUMPRODUCT((Projects!$G$17:$G$46="Yes")*(82&gt;=Projects!$C$17:$C$46)*(82&lt;Projects!$C$17:$C$46+Projects!$D$17:$D$46)*Projects!$B$17:$B$46*Assumptions!$B$12/Projects!$D$17:$D$46*0.95)+SUMPRODUCT((Projects!$G$17:$G$46="Yes")*(82=Projects!$C$17:$C$46+Projects!$D$17:$D$46-1)*Projects!$B$17:$B$46*Assumptions!$B$12*0.05)</f>
        <v>0</v>
      </c>
      <c r="CJ97" s="315" t="n">
        <f aca="false">CJ96+SUMPRODUCT((Projects!$G$17:$G$46="Yes")*(83&gt;=Projects!$C$17:$C$46)*(83&lt;Projects!$C$17:$C$46+Projects!$D$17:$D$46)*Projects!$B$17:$B$46*Assumptions!$B$10/Projects!$D$17:$D$46*0.95)+SUMPRODUCT((Projects!$G$17:$G$46="Yes")*(83=Projects!$C$17:$C$46+Projects!$D$17:$D$46-1)*Projects!$B$17:$B$46*Assumptions!$B$10*0.05)+SUMPRODUCT((Projects!$G$17:$G$46="Yes")*(83&gt;=Projects!$C$17:$C$46)*(83&lt;Projects!$C$17:$C$46+Projects!$D$17:$D$46)*Projects!$B$17:$B$46*Assumptions!$B$11/Projects!$D$17:$D$46*0.95)+SUMPRODUCT((Projects!$G$17:$G$46="Yes")*(83=Projects!$C$17:$C$46+Projects!$D$17:$D$46-1)*Projects!$B$17:$B$46*Assumptions!$B$11*0.05)+SUMPRODUCT((Projects!$G$17:$G$46="Yes")*(83&gt;=Projects!$C$17:$C$46)*(83&lt;Projects!$C$17:$C$46+Projects!$D$17:$D$46)*Projects!$B$17:$B$46*Assumptions!$B$12/Projects!$D$17:$D$46*0.95)+SUMPRODUCT((Projects!$G$17:$G$46="Yes")*(83=Projects!$C$17:$C$46+Projects!$D$17:$D$46-1)*Projects!$B$17:$B$46*Assumptions!$B$12*0.05)</f>
        <v>0</v>
      </c>
      <c r="CK97" s="315" t="n">
        <f aca="false">CK96+SUMPRODUCT((Projects!$G$17:$G$46="Yes")*(84&gt;=Projects!$C$17:$C$46)*(84&lt;Projects!$C$17:$C$46+Projects!$D$17:$D$46)*Projects!$B$17:$B$46*Assumptions!$B$10/Projects!$D$17:$D$46*0.95)+SUMPRODUCT((Projects!$G$17:$G$46="Yes")*(84=Projects!$C$17:$C$46+Projects!$D$17:$D$46-1)*Projects!$B$17:$B$46*Assumptions!$B$10*0.05)+SUMPRODUCT((Projects!$G$17:$G$46="Yes")*(84&gt;=Projects!$C$17:$C$46)*(84&lt;Projects!$C$17:$C$46+Projects!$D$17:$D$46)*Projects!$B$17:$B$46*Assumptions!$B$11/Projects!$D$17:$D$46*0.95)+SUMPRODUCT((Projects!$G$17:$G$46="Yes")*(84=Projects!$C$17:$C$46+Projects!$D$17:$D$46-1)*Projects!$B$17:$B$46*Assumptions!$B$11*0.05)+SUMPRODUCT((Projects!$G$17:$G$46="Yes")*(84&gt;=Projects!$C$17:$C$46)*(84&lt;Projects!$C$17:$C$46+Projects!$D$17:$D$46)*Projects!$B$17:$B$46*Assumptions!$B$12/Projects!$D$17:$D$46*0.95)+SUMPRODUCT((Projects!$G$17:$G$46="Yes")*(84=Projects!$C$17:$C$46+Projects!$D$17:$D$46-1)*Projects!$B$17:$B$46*Assumptions!$B$12*0.05)</f>
        <v>0</v>
      </c>
      <c r="CL97" s="315" t="n">
        <f aca="false">CL96+SUMPRODUCT((Projects!$G$17:$G$46="Yes")*(85&gt;=Projects!$C$17:$C$46)*(85&lt;Projects!$C$17:$C$46+Projects!$D$17:$D$46)*Projects!$B$17:$B$46*Assumptions!$B$10/Projects!$D$17:$D$46*0.95)+SUMPRODUCT((Projects!$G$17:$G$46="Yes")*(85=Projects!$C$17:$C$46+Projects!$D$17:$D$46-1)*Projects!$B$17:$B$46*Assumptions!$B$10*0.05)+SUMPRODUCT((Projects!$G$17:$G$46="Yes")*(85&gt;=Projects!$C$17:$C$46)*(85&lt;Projects!$C$17:$C$46+Projects!$D$17:$D$46)*Projects!$B$17:$B$46*Assumptions!$B$11/Projects!$D$17:$D$46*0.95)+SUMPRODUCT((Projects!$G$17:$G$46="Yes")*(85=Projects!$C$17:$C$46+Projects!$D$17:$D$46-1)*Projects!$B$17:$B$46*Assumptions!$B$11*0.05)+SUMPRODUCT((Projects!$G$17:$G$46="Yes")*(85&gt;=Projects!$C$17:$C$46)*(85&lt;Projects!$C$17:$C$46+Projects!$D$17:$D$46)*Projects!$B$17:$B$46*Assumptions!$B$12/Projects!$D$17:$D$46*0.95)+SUMPRODUCT((Projects!$G$17:$G$46="Yes")*(85=Projects!$C$17:$C$46+Projects!$D$17:$D$46-1)*Projects!$B$17:$B$46*Assumptions!$B$12*0.05)</f>
        <v>0</v>
      </c>
      <c r="CM97" s="315" t="n">
        <f aca="false">CM96+SUMPRODUCT((Projects!$G$17:$G$46="Yes")*(86&gt;=Projects!$C$17:$C$46)*(86&lt;Projects!$C$17:$C$46+Projects!$D$17:$D$46)*Projects!$B$17:$B$46*Assumptions!$B$10/Projects!$D$17:$D$46*0.95)+SUMPRODUCT((Projects!$G$17:$G$46="Yes")*(86=Projects!$C$17:$C$46+Projects!$D$17:$D$46-1)*Projects!$B$17:$B$46*Assumptions!$B$10*0.05)+SUMPRODUCT((Projects!$G$17:$G$46="Yes")*(86&gt;=Projects!$C$17:$C$46)*(86&lt;Projects!$C$17:$C$46+Projects!$D$17:$D$46)*Projects!$B$17:$B$46*Assumptions!$B$11/Projects!$D$17:$D$46*0.95)+SUMPRODUCT((Projects!$G$17:$G$46="Yes")*(86=Projects!$C$17:$C$46+Projects!$D$17:$D$46-1)*Projects!$B$17:$B$46*Assumptions!$B$11*0.05)+SUMPRODUCT((Projects!$G$17:$G$46="Yes")*(86&gt;=Projects!$C$17:$C$46)*(86&lt;Projects!$C$17:$C$46+Projects!$D$17:$D$46)*Projects!$B$17:$B$46*Assumptions!$B$12/Projects!$D$17:$D$46*0.95)+SUMPRODUCT((Projects!$G$17:$G$46="Yes")*(86=Projects!$C$17:$C$46+Projects!$D$17:$D$46-1)*Projects!$B$17:$B$46*Assumptions!$B$12*0.05)</f>
        <v>0</v>
      </c>
      <c r="CN97" s="315" t="n">
        <f aca="false">CN96+SUMPRODUCT((Projects!$G$17:$G$46="Yes")*(87&gt;=Projects!$C$17:$C$46)*(87&lt;Projects!$C$17:$C$46+Projects!$D$17:$D$46)*Projects!$B$17:$B$46*Assumptions!$B$10/Projects!$D$17:$D$46*0.95)+SUMPRODUCT((Projects!$G$17:$G$46="Yes")*(87=Projects!$C$17:$C$46+Projects!$D$17:$D$46-1)*Projects!$B$17:$B$46*Assumptions!$B$10*0.05)+SUMPRODUCT((Projects!$G$17:$G$46="Yes")*(87&gt;=Projects!$C$17:$C$46)*(87&lt;Projects!$C$17:$C$46+Projects!$D$17:$D$46)*Projects!$B$17:$B$46*Assumptions!$B$11/Projects!$D$17:$D$46*0.95)+SUMPRODUCT((Projects!$G$17:$G$46="Yes")*(87=Projects!$C$17:$C$46+Projects!$D$17:$D$46-1)*Projects!$B$17:$B$46*Assumptions!$B$11*0.05)+SUMPRODUCT((Projects!$G$17:$G$46="Yes")*(87&gt;=Projects!$C$17:$C$46)*(87&lt;Projects!$C$17:$C$46+Projects!$D$17:$D$46)*Projects!$B$17:$B$46*Assumptions!$B$12/Projects!$D$17:$D$46*0.95)+SUMPRODUCT((Projects!$G$17:$G$46="Yes")*(87=Projects!$C$17:$C$46+Projects!$D$17:$D$46-1)*Projects!$B$17:$B$46*Assumptions!$B$12*0.05)</f>
        <v>0</v>
      </c>
      <c r="CO97" s="315" t="n">
        <f aca="false">CO96+SUMPRODUCT((Projects!$G$17:$G$46="Yes")*(88&gt;=Projects!$C$17:$C$46)*(88&lt;Projects!$C$17:$C$46+Projects!$D$17:$D$46)*Projects!$B$17:$B$46*Assumptions!$B$10/Projects!$D$17:$D$46*0.95)+SUMPRODUCT((Projects!$G$17:$G$46="Yes")*(88=Projects!$C$17:$C$46+Projects!$D$17:$D$46-1)*Projects!$B$17:$B$46*Assumptions!$B$10*0.05)+SUMPRODUCT((Projects!$G$17:$G$46="Yes")*(88&gt;=Projects!$C$17:$C$46)*(88&lt;Projects!$C$17:$C$46+Projects!$D$17:$D$46)*Projects!$B$17:$B$46*Assumptions!$B$11/Projects!$D$17:$D$46*0.95)+SUMPRODUCT((Projects!$G$17:$G$46="Yes")*(88=Projects!$C$17:$C$46+Projects!$D$17:$D$46-1)*Projects!$B$17:$B$46*Assumptions!$B$11*0.05)+SUMPRODUCT((Projects!$G$17:$G$46="Yes")*(88&gt;=Projects!$C$17:$C$46)*(88&lt;Projects!$C$17:$C$46+Projects!$D$17:$D$46)*Projects!$B$17:$B$46*Assumptions!$B$12/Projects!$D$17:$D$46*0.95)+SUMPRODUCT((Projects!$G$17:$G$46="Yes")*(88=Projects!$C$17:$C$46+Projects!$D$17:$D$46-1)*Projects!$B$17:$B$46*Assumptions!$B$12*0.05)</f>
        <v>0</v>
      </c>
      <c r="CP97" s="315" t="n">
        <f aca="false">CP96+SUMPRODUCT((Projects!$G$17:$G$46="Yes")*(89&gt;=Projects!$C$17:$C$46)*(89&lt;Projects!$C$17:$C$46+Projects!$D$17:$D$46)*Projects!$B$17:$B$46*Assumptions!$B$10/Projects!$D$17:$D$46*0.95)+SUMPRODUCT((Projects!$G$17:$G$46="Yes")*(89=Projects!$C$17:$C$46+Projects!$D$17:$D$46-1)*Projects!$B$17:$B$46*Assumptions!$B$10*0.05)+SUMPRODUCT((Projects!$G$17:$G$46="Yes")*(89&gt;=Projects!$C$17:$C$46)*(89&lt;Projects!$C$17:$C$46+Projects!$D$17:$D$46)*Projects!$B$17:$B$46*Assumptions!$B$11/Projects!$D$17:$D$46*0.95)+SUMPRODUCT((Projects!$G$17:$G$46="Yes")*(89=Projects!$C$17:$C$46+Projects!$D$17:$D$46-1)*Projects!$B$17:$B$46*Assumptions!$B$11*0.05)+SUMPRODUCT((Projects!$G$17:$G$46="Yes")*(89&gt;=Projects!$C$17:$C$46)*(89&lt;Projects!$C$17:$C$46+Projects!$D$17:$D$46)*Projects!$B$17:$B$46*Assumptions!$B$12/Projects!$D$17:$D$46*0.95)+SUMPRODUCT((Projects!$G$17:$G$46="Yes")*(89=Projects!$C$17:$C$46+Projects!$D$17:$D$46-1)*Projects!$B$17:$B$46*Assumptions!$B$12*0.05)</f>
        <v>0</v>
      </c>
      <c r="CQ97" s="315" t="n">
        <f aca="false">CQ96+SUMPRODUCT((Projects!$G$17:$G$46="Yes")*(90&gt;=Projects!$C$17:$C$46)*(90&lt;Projects!$C$17:$C$46+Projects!$D$17:$D$46)*Projects!$B$17:$B$46*Assumptions!$B$10/Projects!$D$17:$D$46*0.95)+SUMPRODUCT((Projects!$G$17:$G$46="Yes")*(90=Projects!$C$17:$C$46+Projects!$D$17:$D$46-1)*Projects!$B$17:$B$46*Assumptions!$B$10*0.05)+SUMPRODUCT((Projects!$G$17:$G$46="Yes")*(90&gt;=Projects!$C$17:$C$46)*(90&lt;Projects!$C$17:$C$46+Projects!$D$17:$D$46)*Projects!$B$17:$B$46*Assumptions!$B$11/Projects!$D$17:$D$46*0.95)+SUMPRODUCT((Projects!$G$17:$G$46="Yes")*(90=Projects!$C$17:$C$46+Projects!$D$17:$D$46-1)*Projects!$B$17:$B$46*Assumptions!$B$11*0.05)+SUMPRODUCT((Projects!$G$17:$G$46="Yes")*(90&gt;=Projects!$C$17:$C$46)*(90&lt;Projects!$C$17:$C$46+Projects!$D$17:$D$46)*Projects!$B$17:$B$46*Assumptions!$B$12/Projects!$D$17:$D$46*0.95)+SUMPRODUCT((Projects!$G$17:$G$46="Yes")*(90=Projects!$C$17:$C$46+Projects!$D$17:$D$46-1)*Projects!$B$17:$B$46*Assumptions!$B$12*0.05)</f>
        <v>0</v>
      </c>
      <c r="CR97" s="315" t="n">
        <f aca="false">CR96+SUMPRODUCT((Projects!$G$17:$G$46="Yes")*(91&gt;=Projects!$C$17:$C$46)*(91&lt;Projects!$C$17:$C$46+Projects!$D$17:$D$46)*Projects!$B$17:$B$46*Assumptions!$B$10/Projects!$D$17:$D$46*0.95)+SUMPRODUCT((Projects!$G$17:$G$46="Yes")*(91=Projects!$C$17:$C$46+Projects!$D$17:$D$46-1)*Projects!$B$17:$B$46*Assumptions!$B$10*0.05)+SUMPRODUCT((Projects!$G$17:$G$46="Yes")*(91&gt;=Projects!$C$17:$C$46)*(91&lt;Projects!$C$17:$C$46+Projects!$D$17:$D$46)*Projects!$B$17:$B$46*Assumptions!$B$11/Projects!$D$17:$D$46*0.95)+SUMPRODUCT((Projects!$G$17:$G$46="Yes")*(91=Projects!$C$17:$C$46+Projects!$D$17:$D$46-1)*Projects!$B$17:$B$46*Assumptions!$B$11*0.05)+SUMPRODUCT((Projects!$G$17:$G$46="Yes")*(91&gt;=Projects!$C$17:$C$46)*(91&lt;Projects!$C$17:$C$46+Projects!$D$17:$D$46)*Projects!$B$17:$B$46*Assumptions!$B$12/Projects!$D$17:$D$46*0.95)+SUMPRODUCT((Projects!$G$17:$G$46="Yes")*(91=Projects!$C$17:$C$46+Projects!$D$17:$D$46-1)*Projects!$B$17:$B$46*Assumptions!$B$12*0.05)</f>
        <v>0</v>
      </c>
      <c r="CS97" s="315" t="n">
        <f aca="false">CS96+SUMPRODUCT((Projects!$G$17:$G$46="Yes")*(92&gt;=Projects!$C$17:$C$46)*(92&lt;Projects!$C$17:$C$46+Projects!$D$17:$D$46)*Projects!$B$17:$B$46*Assumptions!$B$10/Projects!$D$17:$D$46*0.95)+SUMPRODUCT((Projects!$G$17:$G$46="Yes")*(92=Projects!$C$17:$C$46+Projects!$D$17:$D$46-1)*Projects!$B$17:$B$46*Assumptions!$B$10*0.05)+SUMPRODUCT((Projects!$G$17:$G$46="Yes")*(92&gt;=Projects!$C$17:$C$46)*(92&lt;Projects!$C$17:$C$46+Projects!$D$17:$D$46)*Projects!$B$17:$B$46*Assumptions!$B$11/Projects!$D$17:$D$46*0.95)+SUMPRODUCT((Projects!$G$17:$G$46="Yes")*(92=Projects!$C$17:$C$46+Projects!$D$17:$D$46-1)*Projects!$B$17:$B$46*Assumptions!$B$11*0.05)+SUMPRODUCT((Projects!$G$17:$G$46="Yes")*(92&gt;=Projects!$C$17:$C$46)*(92&lt;Projects!$C$17:$C$46+Projects!$D$17:$D$46)*Projects!$B$17:$B$46*Assumptions!$B$12/Projects!$D$17:$D$46*0.95)+SUMPRODUCT((Projects!$G$17:$G$46="Yes")*(92=Projects!$C$17:$C$46+Projects!$D$17:$D$46-1)*Projects!$B$17:$B$46*Assumptions!$B$12*0.05)</f>
        <v>0</v>
      </c>
      <c r="CT97" s="315" t="n">
        <f aca="false">CT96+SUMPRODUCT((Projects!$G$17:$G$46="Yes")*(93&gt;=Projects!$C$17:$C$46)*(93&lt;Projects!$C$17:$C$46+Projects!$D$17:$D$46)*Projects!$B$17:$B$46*Assumptions!$B$10/Projects!$D$17:$D$46*0.95)+SUMPRODUCT((Projects!$G$17:$G$46="Yes")*(93=Projects!$C$17:$C$46+Projects!$D$17:$D$46-1)*Projects!$B$17:$B$46*Assumptions!$B$10*0.05)+SUMPRODUCT((Projects!$G$17:$G$46="Yes")*(93&gt;=Projects!$C$17:$C$46)*(93&lt;Projects!$C$17:$C$46+Projects!$D$17:$D$46)*Projects!$B$17:$B$46*Assumptions!$B$11/Projects!$D$17:$D$46*0.95)+SUMPRODUCT((Projects!$G$17:$G$46="Yes")*(93=Projects!$C$17:$C$46+Projects!$D$17:$D$46-1)*Projects!$B$17:$B$46*Assumptions!$B$11*0.05)+SUMPRODUCT((Projects!$G$17:$G$46="Yes")*(93&gt;=Projects!$C$17:$C$46)*(93&lt;Projects!$C$17:$C$46+Projects!$D$17:$D$46)*Projects!$B$17:$B$46*Assumptions!$B$12/Projects!$D$17:$D$46*0.95)+SUMPRODUCT((Projects!$G$17:$G$46="Yes")*(93=Projects!$C$17:$C$46+Projects!$D$17:$D$46-1)*Projects!$B$17:$B$46*Assumptions!$B$12*0.05)</f>
        <v>0</v>
      </c>
      <c r="CU97" s="315" t="n">
        <f aca="false">CU96+SUMPRODUCT((Projects!$G$17:$G$46="Yes")*(94&gt;=Projects!$C$17:$C$46)*(94&lt;Projects!$C$17:$C$46+Projects!$D$17:$D$46)*Projects!$B$17:$B$46*Assumptions!$B$10/Projects!$D$17:$D$46*0.95)+SUMPRODUCT((Projects!$G$17:$G$46="Yes")*(94=Projects!$C$17:$C$46+Projects!$D$17:$D$46-1)*Projects!$B$17:$B$46*Assumptions!$B$10*0.05)+SUMPRODUCT((Projects!$G$17:$G$46="Yes")*(94&gt;=Projects!$C$17:$C$46)*(94&lt;Projects!$C$17:$C$46+Projects!$D$17:$D$46)*Projects!$B$17:$B$46*Assumptions!$B$11/Projects!$D$17:$D$46*0.95)+SUMPRODUCT((Projects!$G$17:$G$46="Yes")*(94=Projects!$C$17:$C$46+Projects!$D$17:$D$46-1)*Projects!$B$17:$B$46*Assumptions!$B$11*0.05)+SUMPRODUCT((Projects!$G$17:$G$46="Yes")*(94&gt;=Projects!$C$17:$C$46)*(94&lt;Projects!$C$17:$C$46+Projects!$D$17:$D$46)*Projects!$B$17:$B$46*Assumptions!$B$12/Projects!$D$17:$D$46*0.95)+SUMPRODUCT((Projects!$G$17:$G$46="Yes")*(94=Projects!$C$17:$C$46+Projects!$D$17:$D$46-1)*Projects!$B$17:$B$46*Assumptions!$B$12*0.05)</f>
        <v>0</v>
      </c>
      <c r="CV97" s="315" t="n">
        <f aca="false">CV96+SUMPRODUCT((Projects!$G$17:$G$46="Yes")*(95&gt;=Projects!$C$17:$C$46)*(95&lt;Projects!$C$17:$C$46+Projects!$D$17:$D$46)*Projects!$B$17:$B$46*Assumptions!$B$10/Projects!$D$17:$D$46*0.95)+SUMPRODUCT((Projects!$G$17:$G$46="Yes")*(95=Projects!$C$17:$C$46+Projects!$D$17:$D$46-1)*Projects!$B$17:$B$46*Assumptions!$B$10*0.05)+SUMPRODUCT((Projects!$G$17:$G$46="Yes")*(95&gt;=Projects!$C$17:$C$46)*(95&lt;Projects!$C$17:$C$46+Projects!$D$17:$D$46)*Projects!$B$17:$B$46*Assumptions!$B$11/Projects!$D$17:$D$46*0.95)+SUMPRODUCT((Projects!$G$17:$G$46="Yes")*(95=Projects!$C$17:$C$46+Projects!$D$17:$D$46-1)*Projects!$B$17:$B$46*Assumptions!$B$11*0.05)+SUMPRODUCT((Projects!$G$17:$G$46="Yes")*(95&gt;=Projects!$C$17:$C$46)*(95&lt;Projects!$C$17:$C$46+Projects!$D$17:$D$46)*Projects!$B$17:$B$46*Assumptions!$B$12/Projects!$D$17:$D$46*0.95)+SUMPRODUCT((Projects!$G$17:$G$46="Yes")*(95=Projects!$C$17:$C$46+Projects!$D$17:$D$46-1)*Projects!$B$17:$B$46*Assumptions!$B$12*0.05)</f>
        <v>0</v>
      </c>
      <c r="CW97" s="315" t="n">
        <f aca="false">CW96+SUMPRODUCT((Projects!$G$17:$G$46="Yes")*(96&gt;=Projects!$C$17:$C$46)*(96&lt;Projects!$C$17:$C$46+Projects!$D$17:$D$46)*Projects!$B$17:$B$46*Assumptions!$B$10/Projects!$D$17:$D$46*0.95)+SUMPRODUCT((Projects!$G$17:$G$46="Yes")*(96=Projects!$C$17:$C$46+Projects!$D$17:$D$46-1)*Projects!$B$17:$B$46*Assumptions!$B$10*0.05)+SUMPRODUCT((Projects!$G$17:$G$46="Yes")*(96&gt;=Projects!$C$17:$C$46)*(96&lt;Projects!$C$17:$C$46+Projects!$D$17:$D$46)*Projects!$B$17:$B$46*Assumptions!$B$11/Projects!$D$17:$D$46*0.95)+SUMPRODUCT((Projects!$G$17:$G$46="Yes")*(96=Projects!$C$17:$C$46+Projects!$D$17:$D$46-1)*Projects!$B$17:$B$46*Assumptions!$B$11*0.05)+SUMPRODUCT((Projects!$G$17:$G$46="Yes")*(96&gt;=Projects!$C$17:$C$46)*(96&lt;Projects!$C$17:$C$46+Projects!$D$17:$D$46)*Projects!$B$17:$B$46*Assumptions!$B$12/Projects!$D$17:$D$46*0.95)+SUMPRODUCT((Projects!$G$17:$G$46="Yes")*(96=Projects!$C$17:$C$46+Projects!$D$17:$D$46-1)*Projects!$B$17:$B$46*Assumptions!$B$12*0.05)</f>
        <v>0</v>
      </c>
      <c r="CX97" s="315" t="n">
        <f aca="false">CX96+SUMPRODUCT((Projects!$G$17:$G$46="Yes")*(97&gt;=Projects!$C$17:$C$46)*(97&lt;Projects!$C$17:$C$46+Projects!$D$17:$D$46)*Projects!$B$17:$B$46*Assumptions!$B$10/Projects!$D$17:$D$46*0.95)+SUMPRODUCT((Projects!$G$17:$G$46="Yes")*(97=Projects!$C$17:$C$46+Projects!$D$17:$D$46-1)*Projects!$B$17:$B$46*Assumptions!$B$10*0.05)+SUMPRODUCT((Projects!$G$17:$G$46="Yes")*(97&gt;=Projects!$C$17:$C$46)*(97&lt;Projects!$C$17:$C$46+Projects!$D$17:$D$46)*Projects!$B$17:$B$46*Assumptions!$B$11/Projects!$D$17:$D$46*0.95)+SUMPRODUCT((Projects!$G$17:$G$46="Yes")*(97=Projects!$C$17:$C$46+Projects!$D$17:$D$46-1)*Projects!$B$17:$B$46*Assumptions!$B$11*0.05)+SUMPRODUCT((Projects!$G$17:$G$46="Yes")*(97&gt;=Projects!$C$17:$C$46)*(97&lt;Projects!$C$17:$C$46+Projects!$D$17:$D$46)*Projects!$B$17:$B$46*Assumptions!$B$12/Projects!$D$17:$D$46*0.95)+SUMPRODUCT((Projects!$G$17:$G$46="Yes")*(97=Projects!$C$17:$C$46+Projects!$D$17:$D$46-1)*Projects!$B$17:$B$46*Assumptions!$B$12*0.05)</f>
        <v>0</v>
      </c>
      <c r="CY97" s="315" t="n">
        <f aca="false">CY96+SUMPRODUCT((Projects!$G$17:$G$46="Yes")*(98&gt;=Projects!$C$17:$C$46)*(98&lt;Projects!$C$17:$C$46+Projects!$D$17:$D$46)*Projects!$B$17:$B$46*Assumptions!$B$10/Projects!$D$17:$D$46*0.95)+SUMPRODUCT((Projects!$G$17:$G$46="Yes")*(98=Projects!$C$17:$C$46+Projects!$D$17:$D$46-1)*Projects!$B$17:$B$46*Assumptions!$B$10*0.05)+SUMPRODUCT((Projects!$G$17:$G$46="Yes")*(98&gt;=Projects!$C$17:$C$46)*(98&lt;Projects!$C$17:$C$46+Projects!$D$17:$D$46)*Projects!$B$17:$B$46*Assumptions!$B$11/Projects!$D$17:$D$46*0.95)+SUMPRODUCT((Projects!$G$17:$G$46="Yes")*(98=Projects!$C$17:$C$46+Projects!$D$17:$D$46-1)*Projects!$B$17:$B$46*Assumptions!$B$11*0.05)+SUMPRODUCT((Projects!$G$17:$G$46="Yes")*(98&gt;=Projects!$C$17:$C$46)*(98&lt;Projects!$C$17:$C$46+Projects!$D$17:$D$46)*Projects!$B$17:$B$46*Assumptions!$B$12/Projects!$D$17:$D$46*0.95)+SUMPRODUCT((Projects!$G$17:$G$46="Yes")*(98=Projects!$C$17:$C$46+Projects!$D$17:$D$46-1)*Projects!$B$17:$B$46*Assumptions!$B$12*0.05)</f>
        <v>0</v>
      </c>
      <c r="CZ97" s="315" t="n">
        <f aca="false">CZ96+SUMPRODUCT((Projects!$G$17:$G$46="Yes")*(99&gt;=Projects!$C$17:$C$46)*(99&lt;Projects!$C$17:$C$46+Projects!$D$17:$D$46)*Projects!$B$17:$B$46*Assumptions!$B$10/Projects!$D$17:$D$46*0.95)+SUMPRODUCT((Projects!$G$17:$G$46="Yes")*(99=Projects!$C$17:$C$46+Projects!$D$17:$D$46-1)*Projects!$B$17:$B$46*Assumptions!$B$10*0.05)+SUMPRODUCT((Projects!$G$17:$G$46="Yes")*(99&gt;=Projects!$C$17:$C$46)*(99&lt;Projects!$C$17:$C$46+Projects!$D$17:$D$46)*Projects!$B$17:$B$46*Assumptions!$B$11/Projects!$D$17:$D$46*0.95)+SUMPRODUCT((Projects!$G$17:$G$46="Yes")*(99=Projects!$C$17:$C$46+Projects!$D$17:$D$46-1)*Projects!$B$17:$B$46*Assumptions!$B$11*0.05)+SUMPRODUCT((Projects!$G$17:$G$46="Yes")*(99&gt;=Projects!$C$17:$C$46)*(99&lt;Projects!$C$17:$C$46+Projects!$D$17:$D$46)*Projects!$B$17:$B$46*Assumptions!$B$12/Projects!$D$17:$D$46*0.95)+SUMPRODUCT((Projects!$G$17:$G$46="Yes")*(99=Projects!$C$17:$C$46+Projects!$D$17:$D$46-1)*Projects!$B$17:$B$46*Assumptions!$B$12*0.05)</f>
        <v>0</v>
      </c>
      <c r="DA97" s="315" t="n">
        <f aca="false">DA96+SUMPRODUCT((Projects!$G$17:$G$46="Yes")*(100&gt;=Projects!$C$17:$C$46)*(100&lt;Projects!$C$17:$C$46+Projects!$D$17:$D$46)*Projects!$B$17:$B$46*Assumptions!$B$10/Projects!$D$17:$D$46*0.95)+SUMPRODUCT((Projects!$G$17:$G$46="Yes")*(100=Projects!$C$17:$C$46+Projects!$D$17:$D$46-1)*Projects!$B$17:$B$46*Assumptions!$B$10*0.05)+SUMPRODUCT((Projects!$G$17:$G$46="Yes")*(100&gt;=Projects!$C$17:$C$46)*(100&lt;Projects!$C$17:$C$46+Projects!$D$17:$D$46)*Projects!$B$17:$B$46*Assumptions!$B$11/Projects!$D$17:$D$46*0.95)+SUMPRODUCT((Projects!$G$17:$G$46="Yes")*(100=Projects!$C$17:$C$46+Projects!$D$17:$D$46-1)*Projects!$B$17:$B$46*Assumptions!$B$11*0.05)+SUMPRODUCT((Projects!$G$17:$G$46="Yes")*(100&gt;=Projects!$C$17:$C$46)*(100&lt;Projects!$C$17:$C$46+Projects!$D$17:$D$46)*Projects!$B$17:$B$46*Assumptions!$B$12/Projects!$D$17:$D$46*0.95)+SUMPRODUCT((Projects!$G$17:$G$46="Yes")*(100=Projects!$C$17:$C$46+Projects!$D$17:$D$46-1)*Projects!$B$17:$B$46*Assumptions!$B$12*0.05)</f>
        <v>0</v>
      </c>
      <c r="DB97" s="315" t="n">
        <f aca="false">DB96+SUMPRODUCT((Projects!$G$17:$G$46="Yes")*(101&gt;=Projects!$C$17:$C$46)*(101&lt;Projects!$C$17:$C$46+Projects!$D$17:$D$46)*Projects!$B$17:$B$46*Assumptions!$B$10/Projects!$D$17:$D$46*0.95)+SUMPRODUCT((Projects!$G$17:$G$46="Yes")*(101=Projects!$C$17:$C$46+Projects!$D$17:$D$46-1)*Projects!$B$17:$B$46*Assumptions!$B$10*0.05)+SUMPRODUCT((Projects!$G$17:$G$46="Yes")*(101&gt;=Projects!$C$17:$C$46)*(101&lt;Projects!$C$17:$C$46+Projects!$D$17:$D$46)*Projects!$B$17:$B$46*Assumptions!$B$11/Projects!$D$17:$D$46*0.95)+SUMPRODUCT((Projects!$G$17:$G$46="Yes")*(101=Projects!$C$17:$C$46+Projects!$D$17:$D$46-1)*Projects!$B$17:$B$46*Assumptions!$B$11*0.05)+SUMPRODUCT((Projects!$G$17:$G$46="Yes")*(101&gt;=Projects!$C$17:$C$46)*(101&lt;Projects!$C$17:$C$46+Projects!$D$17:$D$46)*Projects!$B$17:$B$46*Assumptions!$B$12/Projects!$D$17:$D$46*0.95)+SUMPRODUCT((Projects!$G$17:$G$46="Yes")*(101=Projects!$C$17:$C$46+Projects!$D$17:$D$46-1)*Projects!$B$17:$B$46*Assumptions!$B$12*0.05)</f>
        <v>0</v>
      </c>
      <c r="DC97" s="315" t="n">
        <f aca="false">DC96+SUMPRODUCT((Projects!$G$17:$G$46="Yes")*(102&gt;=Projects!$C$17:$C$46)*(102&lt;Projects!$C$17:$C$46+Projects!$D$17:$D$46)*Projects!$B$17:$B$46*Assumptions!$B$10/Projects!$D$17:$D$46*0.95)+SUMPRODUCT((Projects!$G$17:$G$46="Yes")*(102=Projects!$C$17:$C$46+Projects!$D$17:$D$46-1)*Projects!$B$17:$B$46*Assumptions!$B$10*0.05)+SUMPRODUCT((Projects!$G$17:$G$46="Yes")*(102&gt;=Projects!$C$17:$C$46)*(102&lt;Projects!$C$17:$C$46+Projects!$D$17:$D$46)*Projects!$B$17:$B$46*Assumptions!$B$11/Projects!$D$17:$D$46*0.95)+SUMPRODUCT((Projects!$G$17:$G$46="Yes")*(102=Projects!$C$17:$C$46+Projects!$D$17:$D$46-1)*Projects!$B$17:$B$46*Assumptions!$B$11*0.05)+SUMPRODUCT((Projects!$G$17:$G$46="Yes")*(102&gt;=Projects!$C$17:$C$46)*(102&lt;Projects!$C$17:$C$46+Projects!$D$17:$D$46)*Projects!$B$17:$B$46*Assumptions!$B$12/Projects!$D$17:$D$46*0.95)+SUMPRODUCT((Projects!$G$17:$G$46="Yes")*(102=Projects!$C$17:$C$46+Projects!$D$17:$D$46-1)*Projects!$B$17:$B$46*Assumptions!$B$12*0.05)</f>
        <v>0</v>
      </c>
      <c r="DD97" s="315" t="n">
        <f aca="false">DD96+SUMPRODUCT((Projects!$G$17:$G$46="Yes")*(103&gt;=Projects!$C$17:$C$46)*(103&lt;Projects!$C$17:$C$46+Projects!$D$17:$D$46)*Projects!$B$17:$B$46*Assumptions!$B$10/Projects!$D$17:$D$46*0.95)+SUMPRODUCT((Projects!$G$17:$G$46="Yes")*(103=Projects!$C$17:$C$46+Projects!$D$17:$D$46-1)*Projects!$B$17:$B$46*Assumptions!$B$10*0.05)+SUMPRODUCT((Projects!$G$17:$G$46="Yes")*(103&gt;=Projects!$C$17:$C$46)*(103&lt;Projects!$C$17:$C$46+Projects!$D$17:$D$46)*Projects!$B$17:$B$46*Assumptions!$B$11/Projects!$D$17:$D$46*0.95)+SUMPRODUCT((Projects!$G$17:$G$46="Yes")*(103=Projects!$C$17:$C$46+Projects!$D$17:$D$46-1)*Projects!$B$17:$B$46*Assumptions!$B$11*0.05)+SUMPRODUCT((Projects!$G$17:$G$46="Yes")*(103&gt;=Projects!$C$17:$C$46)*(103&lt;Projects!$C$17:$C$46+Projects!$D$17:$D$46)*Projects!$B$17:$B$46*Assumptions!$B$12/Projects!$D$17:$D$46*0.95)+SUMPRODUCT((Projects!$G$17:$G$46="Yes")*(103=Projects!$C$17:$C$46+Projects!$D$17:$D$46-1)*Projects!$B$17:$B$46*Assumptions!$B$12*0.05)</f>
        <v>0</v>
      </c>
      <c r="DE97" s="315" t="n">
        <f aca="false">DE96+SUMPRODUCT((Projects!$G$17:$G$46="Yes")*(104&gt;=Projects!$C$17:$C$46)*(104&lt;Projects!$C$17:$C$46+Projects!$D$17:$D$46)*Projects!$B$17:$B$46*Assumptions!$B$10/Projects!$D$17:$D$46*0.95)+SUMPRODUCT((Projects!$G$17:$G$46="Yes")*(104=Projects!$C$17:$C$46+Projects!$D$17:$D$46-1)*Projects!$B$17:$B$46*Assumptions!$B$10*0.05)+SUMPRODUCT((Projects!$G$17:$G$46="Yes")*(104&gt;=Projects!$C$17:$C$46)*(104&lt;Projects!$C$17:$C$46+Projects!$D$17:$D$46)*Projects!$B$17:$B$46*Assumptions!$B$11/Projects!$D$17:$D$46*0.95)+SUMPRODUCT((Projects!$G$17:$G$46="Yes")*(104=Projects!$C$17:$C$46+Projects!$D$17:$D$46-1)*Projects!$B$17:$B$46*Assumptions!$B$11*0.05)+SUMPRODUCT((Projects!$G$17:$G$46="Yes")*(104&gt;=Projects!$C$17:$C$46)*(104&lt;Projects!$C$17:$C$46+Projects!$D$17:$D$46)*Projects!$B$17:$B$46*Assumptions!$B$12/Projects!$D$17:$D$46*0.95)+SUMPRODUCT((Projects!$G$17:$G$46="Yes")*(104=Projects!$C$17:$C$46+Projects!$D$17:$D$46-1)*Projects!$B$17:$B$46*Assumptions!$B$12*0.05)</f>
        <v>0</v>
      </c>
      <c r="DF97" s="315" t="n">
        <f aca="false">DF96+SUMPRODUCT((Projects!$G$17:$G$46="Yes")*(105&gt;=Projects!$C$17:$C$46)*(105&lt;Projects!$C$17:$C$46+Projects!$D$17:$D$46)*Projects!$B$17:$B$46*Assumptions!$B$10/Projects!$D$17:$D$46*0.95)+SUMPRODUCT((Projects!$G$17:$G$46="Yes")*(105=Projects!$C$17:$C$46+Projects!$D$17:$D$46-1)*Projects!$B$17:$B$46*Assumptions!$B$10*0.05)+SUMPRODUCT((Projects!$G$17:$G$46="Yes")*(105&gt;=Projects!$C$17:$C$46)*(105&lt;Projects!$C$17:$C$46+Projects!$D$17:$D$46)*Projects!$B$17:$B$46*Assumptions!$B$11/Projects!$D$17:$D$46*0.95)+SUMPRODUCT((Projects!$G$17:$G$46="Yes")*(105=Projects!$C$17:$C$46+Projects!$D$17:$D$46-1)*Projects!$B$17:$B$46*Assumptions!$B$11*0.05)+SUMPRODUCT((Projects!$G$17:$G$46="Yes")*(105&gt;=Projects!$C$17:$C$46)*(105&lt;Projects!$C$17:$C$46+Projects!$D$17:$D$46)*Projects!$B$17:$B$46*Assumptions!$B$12/Projects!$D$17:$D$46*0.95)+SUMPRODUCT((Projects!$G$17:$G$46="Yes")*(105=Projects!$C$17:$C$46+Projects!$D$17:$D$46-1)*Projects!$B$17:$B$46*Assumptions!$B$12*0.05)</f>
        <v>0</v>
      </c>
    </row>
    <row r="98" customFormat="false" ht="15" hidden="false" customHeight="true" outlineLevel="0" collapsed="false">
      <c r="A98" s="72" t="s">
        <v>1180</v>
      </c>
      <c r="C98" s="316" t="n">
        <f aca="false">IFERROR((C97-C96)/(Model!B199-(Model!B196)),0)</f>
        <v>0</v>
      </c>
      <c r="D98" s="316" t="n">
        <f aca="false">IFERROR((D97-D96)/(Model!C199-(Model!C196)),0)</f>
        <v>-0</v>
      </c>
      <c r="E98" s="316" t="n">
        <f aca="false">IFERROR((E97-E96)/(Model!D199-(Model!D196)),0)</f>
        <v>0</v>
      </c>
      <c r="F98" s="316" t="n">
        <f aca="false">IFERROR((F97-F96)/(Model!E199-(Model!E196)),0)</f>
        <v>0</v>
      </c>
      <c r="G98" s="316" t="n">
        <f aca="false">IFERROR((G97-G96)/(Model!F199-(Model!F196)),0)</f>
        <v>0</v>
      </c>
      <c r="H98" s="316" t="n">
        <f aca="false">IFERROR((H97-H96)/(Model!G199-(Model!G196)),0)</f>
        <v>0</v>
      </c>
      <c r="I98" s="316" t="n">
        <f aca="false">IFERROR((I97-I96)/(Model!H199-(Model!H196)),0)</f>
        <v>0</v>
      </c>
      <c r="J98" s="316" t="n">
        <f aca="false">IFERROR((J97-J96)/(Model!I199-(Model!I196)),0)</f>
        <v>0</v>
      </c>
      <c r="K98" s="316" t="n">
        <f aca="false">IFERROR((K97-K96)/(Model!J199-(Model!J196)),0)</f>
        <v>0</v>
      </c>
      <c r="L98" s="316" t="n">
        <f aca="false">IFERROR((L97-L96)/(Model!K199-(Model!K196)),0)</f>
        <v>0</v>
      </c>
      <c r="M98" s="316" t="n">
        <f aca="false">IFERROR((M97-M96)/(Model!L199-(Model!L196)),0)</f>
        <v>0</v>
      </c>
      <c r="N98" s="316" t="n">
        <f aca="false">IFERROR((N97-N96)/(Model!M199-(Model!M196)),0)</f>
        <v>0</v>
      </c>
      <c r="O98" s="316" t="n">
        <f aca="false">IFERROR((O97-O96)/(Model!N199-(Model!N196)),0)</f>
        <v>0.0992555403703348</v>
      </c>
      <c r="P98" s="316" t="n">
        <f aca="false">IFERROR((P97-P96)/(Model!O199-(Model!O196)),0)</f>
        <v>0.109898823276752</v>
      </c>
      <c r="Q98" s="316" t="n">
        <f aca="false">IFERROR((Q97-Q96)/(Model!P199-(Model!P196)),0)</f>
        <v>0.10721535904604</v>
      </c>
      <c r="R98" s="316" t="n">
        <f aca="false">IFERROR((R97-R96)/(Model!Q199-(Model!Q196)),0)</f>
        <v>0.0941036661188074</v>
      </c>
      <c r="S98" s="316" t="n">
        <f aca="false">IFERROR((S97-S96)/(Model!R199-(Model!R196)),0)</f>
        <v>0.182188751342702</v>
      </c>
      <c r="T98" s="316" t="n">
        <f aca="false">IFERROR((T97-T96)/(Model!S199-(Model!S196)),0)</f>
        <v>0.237098905715653</v>
      </c>
      <c r="U98" s="316" t="n">
        <f aca="false">IFERROR((U97-U96)/(Model!T199-(Model!T196)),0)</f>
        <v>0.29026190615428</v>
      </c>
      <c r="V98" s="316" t="n">
        <f aca="false">IFERROR((V97-V96)/(Model!U199-(Model!U196)),0)</f>
        <v>0.317086222337306</v>
      </c>
      <c r="W98" s="316" t="n">
        <f aca="false">IFERROR((W97-W96)/(Model!V199-(Model!V196)),0)</f>
        <v>0.296707417973897</v>
      </c>
      <c r="X98" s="316" t="n">
        <f aca="false">IFERROR((X97-X96)/(Model!W199-(Model!W196)),0)</f>
        <v>0.326535447952077</v>
      </c>
      <c r="Y98" s="316" t="n">
        <f aca="false">IFERROR((Y97-Y96)/(Model!X199-(Model!X196)),0)</f>
        <v>0.343121427203544</v>
      </c>
      <c r="Z98" s="316" t="n">
        <f aca="false">IFERROR((Z97-Z96)/(Model!Y199-(Model!Y196)),0)</f>
        <v>0.387771107663847</v>
      </c>
      <c r="AA98" s="316" t="n">
        <f aca="false">IFERROR((AA97-AA96)/(Model!Z199-(Model!Z196)),0)</f>
        <v>0.351994798311129</v>
      </c>
      <c r="AB98" s="316" t="n">
        <f aca="false">IFERROR((AB97-AB96)/(Model!AA199-(Model!AA196)),0)</f>
        <v>0.344636512918073</v>
      </c>
      <c r="AC98" s="316" t="n">
        <f aca="false">IFERROR((AC97-AC96)/(Model!AB199-(Model!AB196)),0)</f>
        <v>0.397605574419749</v>
      </c>
      <c r="AD98" s="316" t="n">
        <f aca="false">IFERROR((AD97-AD96)/(Model!AC199-(Model!AC196)),0)</f>
        <v>0.490062695097457</v>
      </c>
      <c r="AE98" s="316" t="n">
        <f aca="false">IFERROR((AE97-AE96)/(Model!AD199-(Model!AD196)),0)</f>
        <v>0.478889190963359</v>
      </c>
      <c r="AF98" s="316" t="n">
        <f aca="false">IFERROR((AF97-AF96)/(Model!AE199-(Model!AE196)),0)</f>
        <v>0.417288252367377</v>
      </c>
      <c r="AG98" s="316" t="n">
        <f aca="false">IFERROR((AG97-AG96)/(Model!AF199-(Model!AF196)),0)</f>
        <v>0.43287850561696</v>
      </c>
      <c r="AH98" s="316" t="n">
        <f aca="false">IFERROR((AH97-AH96)/(Model!AG199-(Model!AG196)),0)</f>
        <v>0.316307383883303</v>
      </c>
      <c r="AI98" s="316" t="n">
        <f aca="false">IFERROR((AI97-AI96)/(Model!AH199-(Model!AH196)),0)</f>
        <v>0.355678861688736</v>
      </c>
      <c r="AJ98" s="316" t="n">
        <f aca="false">IFERROR((AJ97-AJ96)/(Model!AI199-(Model!AI196)),0)</f>
        <v>0.357687462324704</v>
      </c>
      <c r="AK98" s="316" t="n">
        <f aca="false">IFERROR((AK97-AK96)/(Model!AJ199-(Model!AJ196)),0)</f>
        <v>0.405853206272898</v>
      </c>
      <c r="AL98" s="316" t="n">
        <f aca="false">IFERROR((AL97-AL96)/(Model!AK199-(Model!AK196)),0)</f>
        <v>0.44754353115685</v>
      </c>
      <c r="AM98" s="316" t="n">
        <f aca="false">IFERROR((AM97-AM96)/(Model!AL199-(Model!AL196)),0)</f>
        <v>0.422365875007451</v>
      </c>
      <c r="AN98" s="316" t="n">
        <f aca="false">IFERROR((AN97-AN96)/(Model!AM199-(Model!AM196)),0)</f>
        <v>0.199466510433645</v>
      </c>
      <c r="AO98" s="316" t="n">
        <f aca="false">IFERROR((AO97-AO96)/(Model!AN199-(Model!AN196)),0)</f>
        <v>0.243678682180925</v>
      </c>
      <c r="AP98" s="316" t="n">
        <f aca="false">IFERROR((AP97-AP96)/(Model!AO199-(Model!AO196)),0)</f>
        <v>0.265324582610076</v>
      </c>
      <c r="AQ98" s="316" t="n">
        <f aca="false">IFERROR((AQ97-AQ96)/(Model!AP199-(Model!AP196)),0)</f>
        <v>0.265324582610076</v>
      </c>
      <c r="AR98" s="316" t="n">
        <f aca="false">IFERROR((AR97-AR96)/(Model!AQ199-(Model!AQ196)),0)</f>
        <v>0.265324582610077</v>
      </c>
      <c r="AS98" s="316" t="n">
        <f aca="false">IFERROR((AS97-AS96)/(Model!AR199-(Model!AR196)),0)</f>
        <v>0.265324582610076</v>
      </c>
      <c r="AT98" s="316" t="n">
        <f aca="false">IFERROR((AT97-AT96)/(Model!AS199-(Model!AS196)),0)</f>
        <v>0.265324582610077</v>
      </c>
      <c r="AU98" s="316" t="n">
        <f aca="false">IFERROR((AU97-AU96)/(Model!AT199-(Model!AT196)),0)</f>
        <v>0.165187542199159</v>
      </c>
      <c r="AV98" s="316" t="n">
        <f aca="false">IFERROR((AV97-AV96)/(Model!AU199-(Model!AU196)),0)</f>
        <v>0.631265287072981</v>
      </c>
      <c r="AW98" s="316" t="n">
        <f aca="false">IFERROR((AW97-AW96)/(Model!AV199-(Model!AV196)),0)</f>
        <v>0</v>
      </c>
      <c r="AX98" s="316" t="n">
        <f aca="false">IFERROR((AX97-AX96)/(Model!AW199-(Model!AW196)),0)</f>
        <v>0</v>
      </c>
      <c r="AY98" s="316" t="n">
        <f aca="false">IFERROR((AY97-AY96)/(Model!AX199-(Model!AX196)),0)</f>
        <v>0</v>
      </c>
      <c r="AZ98" s="316" t="n">
        <f aca="false">IFERROR((AZ97-AZ96)/(Model!AY199-(Model!AY196)),0)</f>
        <v>0</v>
      </c>
      <c r="BA98" s="316" t="n">
        <f aca="false">IFERROR((BA97-BA96)/(Model!AZ199-(Model!AZ196)),0)</f>
        <v>0</v>
      </c>
      <c r="BB98" s="316" t="n">
        <f aca="false">IFERROR((BB97-BB96)/(Model!BA199-(Model!BA196)),0)</f>
        <v>0</v>
      </c>
      <c r="BC98" s="316" t="n">
        <f aca="false">IFERROR((BC97-BC96)/(Model!BB199-(Model!BB196)),0)</f>
        <v>0</v>
      </c>
      <c r="BD98" s="316" t="n">
        <f aca="false">IFERROR((BD97-BD96)/(Model!BC199-(Model!BC196)),0)</f>
        <v>0</v>
      </c>
      <c r="BE98" s="316" t="n">
        <f aca="false">IFERROR((BE97-BE96)/(Model!BD199-(Model!BD196)),0)</f>
        <v>0</v>
      </c>
      <c r="BF98" s="316" t="n">
        <f aca="false">IFERROR((BF97-BF96)/(Model!BE199-(Model!BE196)),0)</f>
        <v>0</v>
      </c>
      <c r="BG98" s="316" t="n">
        <f aca="false">IFERROR((BG97-BG96)/(Model!BF199-(Model!BF196)),0)</f>
        <v>0</v>
      </c>
      <c r="BH98" s="316" t="n">
        <f aca="false">IFERROR((BH97-BH96)/(Model!BG199-(Model!BG196)),0)</f>
        <v>0</v>
      </c>
      <c r="BI98" s="316" t="n">
        <f aca="false">IFERROR((BI97-BI96)/(Model!BH199-(Model!BH196)),0)</f>
        <v>0</v>
      </c>
      <c r="BJ98" s="316" t="n">
        <f aca="false">IFERROR((BJ97-BJ96)/(Model!BI199-(Model!BI196)),0)</f>
        <v>0</v>
      </c>
      <c r="BK98" s="316" t="n">
        <f aca="false">IFERROR((BK97-BK96)/(Model!BJ199-(Model!BJ196)),0)</f>
        <v>0</v>
      </c>
      <c r="BL98" s="316" t="n">
        <f aca="false">IFERROR((BL97-BL96)/(Model!BK199-(Model!BK196)),0)</f>
        <v>0</v>
      </c>
      <c r="BM98" s="316" t="n">
        <f aca="false">IFERROR((BM97-BM96)/(Model!BL199-(Model!BL196)),0)</f>
        <v>0</v>
      </c>
      <c r="BN98" s="316" t="n">
        <f aca="false">IFERROR((BN97-BN96)/(Model!BM199-(Model!BM196)),0)</f>
        <v>0</v>
      </c>
      <c r="BO98" s="316" t="n">
        <f aca="false">IFERROR((BO97-BO96)/(Model!BN199-(Model!BN196)),0)</f>
        <v>0</v>
      </c>
      <c r="BP98" s="316" t="n">
        <f aca="false">IFERROR((BP97-BP96)/(Model!BO199-(Model!BO196)),0)</f>
        <v>0</v>
      </c>
      <c r="BQ98" s="316" t="n">
        <f aca="false">IFERROR((BQ97-BQ96)/(Model!BP199-(Model!BP196)),0)</f>
        <v>0</v>
      </c>
      <c r="BR98" s="316" t="n">
        <f aca="false">IFERROR((BR97-BR96)/(Model!BQ199-(Model!BQ196)),0)</f>
        <v>0</v>
      </c>
      <c r="BS98" s="316" t="n">
        <f aca="false">IFERROR((BS97-BS96)/(Model!BR199-(Model!BR196)),0)</f>
        <v>0</v>
      </c>
      <c r="BT98" s="316" t="n">
        <f aca="false">IFERROR((BT97-BT96)/(Model!BS199-(Model!BS196)),0)</f>
        <v>0</v>
      </c>
      <c r="BU98" s="316" t="n">
        <f aca="false">IFERROR((BU97-BU96)/(Model!BT199-(Model!BT196)),0)</f>
        <v>0</v>
      </c>
      <c r="BV98" s="316" t="n">
        <f aca="false">IFERROR((BV97-BV96)/(Model!BU199-(Model!BU196)),0)</f>
        <v>0</v>
      </c>
      <c r="BW98" s="316" t="n">
        <f aca="false">IFERROR((BW97-BW96)/(Model!BV199-(Model!BV196)),0)</f>
        <v>0</v>
      </c>
      <c r="BX98" s="316" t="n">
        <f aca="false">IFERROR((BX97-BX96)/(Model!BW199-(Model!BW196)),0)</f>
        <v>0</v>
      </c>
      <c r="BY98" s="316" t="n">
        <f aca="false">IFERROR((BY97-BY96)/(Model!BX199-(Model!BX196)),0)</f>
        <v>0</v>
      </c>
      <c r="BZ98" s="316" t="n">
        <f aca="false">IFERROR((BZ97-BZ96)/(Model!BY199-(Model!BY196)),0)</f>
        <v>0</v>
      </c>
      <c r="CA98" s="316" t="n">
        <f aca="false">IFERROR((CA97-CA96)/(Model!BZ199-(Model!BZ196)),0)</f>
        <v>0</v>
      </c>
      <c r="CB98" s="316" t="n">
        <f aca="false">IFERROR((CB97-CB96)/(Model!CA199-(Model!CA196)),0)</f>
        <v>0</v>
      </c>
      <c r="CC98" s="316" t="n">
        <f aca="false">IFERROR((CC97-CC96)/(Model!CB199-(Model!CB196)),0)</f>
        <v>0</v>
      </c>
      <c r="CD98" s="316" t="n">
        <f aca="false">IFERROR((CD97-CD96)/(Model!CC199-(Model!CC196)),0)</f>
        <v>0</v>
      </c>
      <c r="CE98" s="316" t="n">
        <f aca="false">IFERROR((CE97-CE96)/(Model!CD199-(Model!CD196)),0)</f>
        <v>0</v>
      </c>
      <c r="CF98" s="316" t="n">
        <f aca="false">IFERROR((CF97-CF96)/(Model!CE199-(Model!CE196)),0)</f>
        <v>0</v>
      </c>
      <c r="CG98" s="316" t="n">
        <f aca="false">IFERROR((CG97-CG96)/(Model!CF199-(Model!CF196)),0)</f>
        <v>0</v>
      </c>
      <c r="CH98" s="316" t="n">
        <f aca="false">IFERROR((CH97-CH96)/(Model!CG199-(Model!CG196)),0)</f>
        <v>0</v>
      </c>
      <c r="CI98" s="316" t="n">
        <f aca="false">IFERROR((CI97-CI96)/(Model!CH199-(Model!CH196)),0)</f>
        <v>0</v>
      </c>
      <c r="CJ98" s="316" t="n">
        <f aca="false">IFERROR((CJ97-CJ96)/(Model!CI199-(Model!CI196)),0)</f>
        <v>0</v>
      </c>
      <c r="CK98" s="316" t="n">
        <f aca="false">IFERROR((CK97-CK96)/(Model!CJ199-(Model!CJ196)),0)</f>
        <v>0</v>
      </c>
      <c r="CL98" s="316" t="n">
        <f aca="false">IFERROR((CL97-CL96)/(Model!CK199-(Model!CK196)),0)</f>
        <v>0</v>
      </c>
      <c r="CM98" s="316" t="n">
        <f aca="false">IFERROR((CM97-CM96)/(Model!CL199-(Model!CL196)),0)</f>
        <v>0</v>
      </c>
      <c r="CN98" s="316" t="n">
        <f aca="false">IFERROR((CN97-CN96)/(Model!CM199-(Model!CM196)),0)</f>
        <v>0</v>
      </c>
      <c r="CO98" s="316" t="n">
        <f aca="false">IFERROR((CO97-CO96)/(Model!CN199-(Model!CN196)),0)</f>
        <v>0</v>
      </c>
      <c r="CP98" s="316" t="n">
        <f aca="false">IFERROR((CP97-CP96)/(Model!CO199-(Model!CO196)),0)</f>
        <v>0</v>
      </c>
      <c r="CQ98" s="316" t="n">
        <f aca="false">IFERROR((CQ97-CQ96)/(Model!CP199-(Model!CP196)),0)</f>
        <v>0</v>
      </c>
      <c r="CR98" s="316" t="n">
        <f aca="false">IFERROR((CR97-CR96)/(Model!CQ199-(Model!CQ196)),0)</f>
        <v>0</v>
      </c>
      <c r="CS98" s="316" t="n">
        <f aca="false">IFERROR((CS97-CS96)/(Model!CR199-(Model!CR196)),0)</f>
        <v>0</v>
      </c>
      <c r="CT98" s="316" t="n">
        <f aca="false">IFERROR((CT97-CT96)/(Model!CS199-(Model!CS196)),0)</f>
        <v>0</v>
      </c>
      <c r="CU98" s="316" t="n">
        <f aca="false">IFERROR((CU97-CU96)/(Model!CT199-(Model!CT196)),0)</f>
        <v>0</v>
      </c>
      <c r="CV98" s="316" t="n">
        <f aca="false">IFERROR((CV97-CV96)/(Model!CU199-(Model!CU196)),0)</f>
        <v>0</v>
      </c>
      <c r="CW98" s="316" t="n">
        <f aca="false">IFERROR((CW97-CW96)/(Model!CV199-(Model!CV196)),0)</f>
        <v>0</v>
      </c>
      <c r="CX98" s="316" t="n">
        <f aca="false">IFERROR((CX97-CX96)/(Model!CW199-(Model!CW196)),0)</f>
        <v>0</v>
      </c>
      <c r="CY98" s="316" t="n">
        <f aca="false">IFERROR((CY97-CY96)/(Model!CX199-(Model!CX196)),0)</f>
        <v>0</v>
      </c>
      <c r="CZ98" s="316" t="n">
        <f aca="false">IFERROR((CZ97-CZ96)/(Model!CY199-(Model!CY196)),0)</f>
        <v>0</v>
      </c>
      <c r="DA98" s="316" t="n">
        <f aca="false">IFERROR((DA97-DA96)/(Model!CZ199-(Model!CZ196)),0)</f>
        <v>0</v>
      </c>
      <c r="DB98" s="316" t="n">
        <f aca="false">IFERROR((DB97-DB96)/(Model!DA199-(Model!DA196)),0)</f>
        <v>0</v>
      </c>
      <c r="DC98" s="316" t="n">
        <f aca="false">IFERROR((DC97-DC96)/(Model!DB199-(Model!DB196)),0)</f>
        <v>0</v>
      </c>
      <c r="DD98" s="316" t="n">
        <f aca="false">IFERROR((DD97-DD96)/(Model!DC199-(Model!DC196)),0)</f>
        <v>0</v>
      </c>
      <c r="DE98" s="316" t="n">
        <f aca="false">IFERROR((DE97-DE96)/(Model!DD199-(Model!DD196)),0)</f>
        <v>0</v>
      </c>
      <c r="DF98" s="316" t="n">
        <f aca="false">IFERROR((DF97-DF96)/(Model!DE199-(Model!DE196)),0)</f>
        <v>0</v>
      </c>
    </row>
    <row r="99" customFormat="false" ht="15" hidden="false" customHeight="true" outlineLevel="0" collapsed="false">
      <c r="A99" s="72" t="s">
        <v>1181</v>
      </c>
      <c r="B99" s="314" t="n">
        <f aca="false">SUM(Actuals!C17:N17)</f>
        <v>4643571.59</v>
      </c>
      <c r="C99" s="315" t="n">
        <f aca="false">Model!B199+SUM(Model!B203:B233)+Model!B235-(Model!B196)</f>
        <v>-41844.6399999999</v>
      </c>
      <c r="D99" s="315" t="n">
        <f aca="false">Model!C199+SUM(Model!C203:C233)+Model!C235-(Model!C196)</f>
        <v>-311309.31</v>
      </c>
      <c r="E99" s="315" t="n">
        <f aca="false">Model!D199+SUM(Model!D203:D233)+Model!D235-(Model!D196)</f>
        <v>242246.78</v>
      </c>
      <c r="F99" s="315" t="n">
        <f aca="false">Model!E199+SUM(Model!E203:E233)+Model!E235-(Model!E196)</f>
        <v>373926.69</v>
      </c>
      <c r="G99" s="315" t="n">
        <f aca="false">Model!F199+SUM(Model!F203:F233)+Model!F235-(Model!F196)</f>
        <v>27621.8500000002</v>
      </c>
      <c r="H99" s="315" t="n">
        <f aca="false">Model!G199+SUM(Model!G203:G233)+Model!G235-(Model!G196)</f>
        <v>318509.92</v>
      </c>
      <c r="I99" s="315" t="n">
        <f aca="false">Model!H199+SUM(Model!H203:H233)+Model!H235-(Model!H196)</f>
        <v>1446747.85</v>
      </c>
      <c r="J99" s="315" t="n">
        <f aca="false">Model!I199+SUM(Model!I203:I233)+Model!I235-(Model!I196)</f>
        <v>177182.13</v>
      </c>
      <c r="K99" s="315" t="n">
        <f aca="false">Model!J199+SUM(Model!J203:J233)+Model!J235-(Model!J196)</f>
        <v>298241.093396964</v>
      </c>
      <c r="L99" s="315" t="n">
        <f aca="false">Model!K199+SUM(Model!K203:K233)+Model!K235-(Model!K196)</f>
        <v>376129.454718767</v>
      </c>
      <c r="M99" s="315" t="n">
        <f aca="false">Model!L199+SUM(Model!L203:L233)+Model!L235-(Model!L196)</f>
        <v>214936.69311604</v>
      </c>
      <c r="N99" s="315" t="n">
        <f aca="false">Model!M199+SUM(Model!M203:M233)+Model!M235-(Model!M196)</f>
        <v>115063.696620279</v>
      </c>
      <c r="O99" s="315" t="n">
        <f aca="false">Model!N199+SUM(Model!N203:N233)+Model!N235-(Model!N196)</f>
        <v>428723.753005433</v>
      </c>
      <c r="P99" s="315" t="n">
        <f aca="false">Model!O199+SUM(Model!O203:O233)+Model!O235-(Model!O196)</f>
        <v>262757.146153049</v>
      </c>
      <c r="Q99" s="315" t="n">
        <f aca="false">Model!P199+SUM(Model!P203:P233)+Model!P235-(Model!P196)</f>
        <v>365330.63615305</v>
      </c>
      <c r="R99" s="315" t="n">
        <f aca="false">Model!Q199+SUM(Model!Q203:Q233)+Model!Q235-(Model!Q196)</f>
        <v>403917.158176932</v>
      </c>
      <c r="S99" s="315" t="n">
        <f aca="false">Model!R199+SUM(Model!R203:R233)+Model!R235-(Model!R196)</f>
        <v>391434.386270182</v>
      </c>
      <c r="T99" s="315" t="n">
        <f aca="false">Model!S199+SUM(Model!S203:S233)+Model!S235-(Model!S196)</f>
        <v>469925.266146933</v>
      </c>
      <c r="U99" s="315" t="n">
        <f aca="false">Model!T199+SUM(Model!T203:T233)+Model!T235-(Model!T196)</f>
        <v>645755.091280881</v>
      </c>
      <c r="V99" s="315" t="n">
        <f aca="false">Model!U199+SUM(Model!U203:U233)+Model!U235-(Model!U196)</f>
        <v>558775.801280881</v>
      </c>
      <c r="W99" s="315" t="n">
        <f aca="false">Model!V199+SUM(Model!V203:V233)+Model!V235-(Model!V196)</f>
        <v>637354.891280879</v>
      </c>
      <c r="X99" s="315" t="n">
        <f aca="false">Model!W199+SUM(Model!W203:W233)+Model!W235-(Model!W196)</f>
        <v>525668.591280882</v>
      </c>
      <c r="Y99" s="315" t="n">
        <f aca="false">Model!X199+SUM(Model!X203:X233)+Model!X235-(Model!X196)</f>
        <v>819546.536139797</v>
      </c>
      <c r="Z99" s="315" t="n">
        <f aca="false">Model!Y199+SUM(Model!Y203:Y233)+Model!Y235-(Model!Y196)</f>
        <v>657785.716139796</v>
      </c>
      <c r="AA99" s="315" t="n">
        <f aca="false">Model!Z199+SUM(Model!Z203:Z233)+Model!Z235-(Model!Z196)</f>
        <v>786682.136524411</v>
      </c>
      <c r="AB99" s="315" t="n">
        <f aca="false">Model!AA199+SUM(Model!AA203:AA233)+Model!AA235-(Model!AA196)</f>
        <v>825536.174500936</v>
      </c>
      <c r="AC99" s="315" t="n">
        <f aca="false">Model!AB199+SUM(Model!AB203:AB233)+Model!AB235-(Model!AB196)</f>
        <v>640836.606246588</v>
      </c>
      <c r="AD99" s="315" t="n">
        <f aca="false">Model!AC199+SUM(Model!AC203:AC233)+Model!AC235-(Model!AC196)</f>
        <v>406957.915582878</v>
      </c>
      <c r="AE99" s="315" t="n">
        <f aca="false">Model!AD199+SUM(Model!AD203:AD233)+Model!AD235-(Model!AD196)</f>
        <v>436277.126159801</v>
      </c>
      <c r="AF99" s="315" t="n">
        <f aca="false">Model!AE199+SUM(Model!AE203:AE233)+Model!AE235-(Model!AE196)</f>
        <v>606791.853951426</v>
      </c>
      <c r="AG99" s="315" t="n">
        <f aca="false">Model!AF199+SUM(Model!AF203:AF233)+Model!AF235-(Model!AF196)</f>
        <v>776411.668066138</v>
      </c>
      <c r="AH99" s="315" t="n">
        <f aca="false">Model!AG199+SUM(Model!AG203:AG233)+Model!AG235-(Model!AG196)</f>
        <v>686508.756317664</v>
      </c>
      <c r="AI99" s="315" t="n">
        <f aca="false">Model!AH199+SUM(Model!AH203:AH233)+Model!AH235-(Model!AH196)</f>
        <v>553391.181048071</v>
      </c>
      <c r="AJ99" s="315" t="n">
        <f aca="false">Model!AI199+SUM(Model!AI203:AI233)+Model!AI235-(Model!AI196)</f>
        <v>559532.003355763</v>
      </c>
      <c r="AK99" s="315" t="n">
        <f aca="false">Model!AJ199+SUM(Model!AJ203:AJ233)+Model!AJ235-(Model!AJ196)</f>
        <v>657098.621016764</v>
      </c>
      <c r="AL99" s="315" t="n">
        <f aca="false">Model!AK199+SUM(Model!AK203:AK233)+Model!AK235-(Model!AK196)</f>
        <v>286498.730898127</v>
      </c>
      <c r="AM99" s="315" t="n">
        <f aca="false">Model!AL199+SUM(Model!AL203:AL233)+Model!AL235-(Model!AL196)</f>
        <v>277362.715124731</v>
      </c>
      <c r="AN99" s="315" t="n">
        <f aca="false">Model!AM199+SUM(Model!AM203:AM233)+Model!AM235-(Model!AM196)</f>
        <v>87443.5075491389</v>
      </c>
      <c r="AO99" s="315" t="n">
        <f aca="false">Model!AN199+SUM(Model!AN203:AN233)+Model!AN235-(Model!AN196)</f>
        <v>33792.2965876007</v>
      </c>
      <c r="AP99" s="315" t="n">
        <f aca="false">Model!AO199+SUM(Model!AO203:AO233)+Model!AO235-(Model!AO196)</f>
        <v>7112.57378519768</v>
      </c>
      <c r="AQ99" s="315" t="n">
        <f aca="false">Model!AP199+SUM(Model!AP203:AP233)+Model!AP235-(Model!AP196)</f>
        <v>7112.57378519768</v>
      </c>
      <c r="AR99" s="315" t="n">
        <f aca="false">Model!AQ199+SUM(Model!AQ203:AQ233)+Model!AQ235-(Model!AQ196)</f>
        <v>13317.7063198126</v>
      </c>
      <c r="AS99" s="315" t="n">
        <f aca="false">Model!AR199+SUM(Model!AR203:AR233)+Model!AR235-(Model!AR196)</f>
        <v>32933.0909351977</v>
      </c>
      <c r="AT99" s="315" t="n">
        <f aca="false">Model!AS199+SUM(Model!AS203:AS233)+Model!AS235-(Model!AS196)</f>
        <v>35974.8225698126</v>
      </c>
      <c r="AU99" s="315" t="n">
        <f aca="false">Model!AT199+SUM(Model!AT203:AT233)+Model!AT235-(Model!AT196)</f>
        <v>318075.792538697</v>
      </c>
      <c r="AV99" s="315" t="n">
        <f aca="false">Model!AU199+SUM(Model!AU203:AU233)+Model!AU235-(Model!AU196)</f>
        <v>23663.2513708199</v>
      </c>
      <c r="AW99" s="315" t="n">
        <f aca="false">Model!AV199+SUM(Model!AV203:AV233)+Model!AV235-(Model!AV196)</f>
        <v>-246246.401730933</v>
      </c>
      <c r="AX99" s="315" t="n">
        <f aca="false">Model!AW199+SUM(Model!AW203:AW233)+Model!AW235-(Model!AW196)</f>
        <v>-246246.401730933</v>
      </c>
      <c r="AY99" s="315" t="n">
        <f aca="false">Model!AX199+SUM(Model!AX203:AX233)+Model!AX235-(Model!AX196)</f>
        <v>-246246.401730933</v>
      </c>
      <c r="AZ99" s="315" t="n">
        <f aca="false">Model!AY199+SUM(Model!AY203:AY233)+Model!AY235-(Model!AY196)</f>
        <v>-246246.401730933</v>
      </c>
      <c r="BA99" s="315" t="n">
        <f aca="false">Model!AZ199+SUM(Model!AZ203:AZ233)+Model!AZ235-(Model!AZ196)</f>
        <v>-246246.401730933</v>
      </c>
      <c r="BB99" s="315" t="n">
        <f aca="false">Model!BA199+SUM(Model!BA203:BA233)+Model!BA235-(Model!BA196)</f>
        <v>-254324.522582923</v>
      </c>
      <c r="BC99" s="315" t="n">
        <f aca="false">Model!BB199+SUM(Model!BB203:BB233)+Model!BB235-(Model!BB196)</f>
        <v>-254324.522582923</v>
      </c>
      <c r="BD99" s="315" t="n">
        <f aca="false">Model!BC199+SUM(Model!BC203:BC233)+Model!BC235-(Model!BC196)</f>
        <v>-254324.522582923</v>
      </c>
      <c r="BE99" s="315" t="n">
        <f aca="false">Model!BD199+SUM(Model!BD203:BD233)+Model!BD235-(Model!BD196)</f>
        <v>-254324.522582923</v>
      </c>
      <c r="BF99" s="315" t="n">
        <f aca="false">Model!BE199+SUM(Model!BE203:BE233)+Model!BE235-(Model!BE196)</f>
        <v>-254324.522582923</v>
      </c>
      <c r="BG99" s="315" t="n">
        <f aca="false">Model!BF199+SUM(Model!BF203:BF233)+Model!BF235-(Model!BF196)</f>
        <v>-254324.522582923</v>
      </c>
      <c r="BH99" s="315" t="n">
        <f aca="false">Model!BG199+SUM(Model!BG203:BG233)+Model!BG235-(Model!BG196)</f>
        <v>-254324.522582923</v>
      </c>
      <c r="BI99" s="315" t="n">
        <f aca="false">Model!BH199+SUM(Model!BH203:BH233)+Model!BH235-(Model!BH196)</f>
        <v>-5388.24752732294</v>
      </c>
      <c r="BJ99" s="315" t="n">
        <f aca="false">Model!BI199+SUM(Model!BI203:BI233)+Model!BI235-(Model!BI196)</f>
        <v>-411984.16345147</v>
      </c>
      <c r="BK99" s="315" t="n">
        <f aca="false">Model!BJ199+SUM(Model!BJ203:BJ233)+Model!BJ235-(Model!BJ196)</f>
        <v>-411984.16345147</v>
      </c>
      <c r="BL99" s="315" t="n">
        <f aca="false">Model!BK199+SUM(Model!BK203:BK233)+Model!BK235-(Model!BK196)</f>
        <v>-411984.16345147</v>
      </c>
      <c r="BM99" s="315" t="n">
        <f aca="false">Model!BL199+SUM(Model!BL203:BL233)+Model!BL235-(Model!BL196)</f>
        <v>-411984.16345147</v>
      </c>
      <c r="BN99" s="315" t="n">
        <f aca="false">Model!BM199+SUM(Model!BM203:BM233)+Model!BM235-(Model!BM196)</f>
        <v>-420223.846720499</v>
      </c>
      <c r="BO99" s="315" t="n">
        <f aca="false">Model!BN199+SUM(Model!BN203:BN233)+Model!BN235-(Model!BN196)</f>
        <v>-420223.846720499</v>
      </c>
      <c r="BP99" s="315" t="n">
        <f aca="false">Model!BO199+SUM(Model!BO203:BO233)+Model!BO235-(Model!BO196)</f>
        <v>-420223.846720499</v>
      </c>
      <c r="BQ99" s="315" t="n">
        <f aca="false">Model!BP199+SUM(Model!BP203:BP233)+Model!BP235-(Model!BP196)</f>
        <v>-420223.846720499</v>
      </c>
      <c r="BR99" s="315" t="n">
        <f aca="false">Model!BQ199+SUM(Model!BQ203:BQ233)+Model!BQ235-(Model!BQ196)</f>
        <v>-420223.846720499</v>
      </c>
      <c r="BS99" s="315" t="n">
        <f aca="false">Model!BR199+SUM(Model!BR203:BR233)+Model!BR235-(Model!BR196)</f>
        <v>-420223.846720499</v>
      </c>
      <c r="BT99" s="315" t="n">
        <f aca="false">Model!BS199+SUM(Model!BS203:BS233)+Model!BS235-(Model!BS196)</f>
        <v>-420223.846720499</v>
      </c>
      <c r="BU99" s="315" t="n">
        <f aca="false">Model!BT199+SUM(Model!BT203:BT233)+Model!BT235-(Model!BT196)</f>
        <v>-420223.846720499</v>
      </c>
      <c r="BV99" s="315" t="n">
        <f aca="false">Model!BU199+SUM(Model!BU203:BU233)+Model!BU235-(Model!BU196)</f>
        <v>-420223.846720499</v>
      </c>
      <c r="BW99" s="315" t="n">
        <f aca="false">Model!BV199+SUM(Model!BV203:BV233)+Model!BV235-(Model!BV196)</f>
        <v>-420223.846720499</v>
      </c>
      <c r="BX99" s="315" t="n">
        <f aca="false">Model!BW199+SUM(Model!BW203:BW233)+Model!BW235-(Model!BW196)</f>
        <v>-420223.846720499</v>
      </c>
      <c r="BY99" s="315" t="n">
        <f aca="false">Model!BX199+SUM(Model!BX203:BX233)+Model!BX235-(Model!BX196)</f>
        <v>-420223.846720499</v>
      </c>
      <c r="BZ99" s="315" t="n">
        <f aca="false">Model!BY199+SUM(Model!BY203:BY233)+Model!BY235-(Model!BY196)</f>
        <v>-428628.323654909</v>
      </c>
      <c r="CA99" s="315" t="n">
        <f aca="false">Model!BZ199+SUM(Model!BZ203:BZ233)+Model!BZ235-(Model!BZ196)</f>
        <v>-428628.323654909</v>
      </c>
      <c r="CB99" s="315" t="n">
        <f aca="false">Model!CA199+SUM(Model!CA203:CA233)+Model!CA235-(Model!CA196)</f>
        <v>-428628.323654909</v>
      </c>
      <c r="CC99" s="315" t="n">
        <f aca="false">Model!CB199+SUM(Model!CB203:CB233)+Model!CB235-(Model!CB196)</f>
        <v>-428628.323654909</v>
      </c>
      <c r="CD99" s="315" t="n">
        <f aca="false">Model!CC199+SUM(Model!CC203:CC233)+Model!CC235-(Model!CC196)</f>
        <v>-428628.323654909</v>
      </c>
      <c r="CE99" s="315" t="n">
        <f aca="false">Model!CD199+SUM(Model!CD203:CD233)+Model!CD235-(Model!CD196)</f>
        <v>-428628.323654909</v>
      </c>
      <c r="CF99" s="315" t="n">
        <f aca="false">Model!CE199+SUM(Model!CE203:CE233)+Model!CE235-(Model!CE196)</f>
        <v>-428628.323654909</v>
      </c>
      <c r="CG99" s="315" t="n">
        <f aca="false">Model!CF199+SUM(Model!CF203:CF233)+Model!CF235-(Model!CF196)</f>
        <v>-428628.323654909</v>
      </c>
      <c r="CH99" s="315" t="n">
        <f aca="false">Model!CG199+SUM(Model!CG203:CG233)+Model!CG235-(Model!CG196)</f>
        <v>-428628.323654909</v>
      </c>
      <c r="CI99" s="315" t="n">
        <f aca="false">Model!CH199+SUM(Model!CH203:CH233)+Model!CH235-(Model!CH196)</f>
        <v>-428628.323654909</v>
      </c>
      <c r="CJ99" s="315" t="n">
        <f aca="false">Model!CI199+SUM(Model!CI203:CI233)+Model!CI235-(Model!CI196)</f>
        <v>-428628.323654909</v>
      </c>
      <c r="CK99" s="315" t="n">
        <f aca="false">Model!CJ199+SUM(Model!CJ203:CJ233)+Model!CJ235-(Model!CJ196)</f>
        <v>-428628.323654909</v>
      </c>
      <c r="CL99" s="315" t="n">
        <f aca="false">Model!CK199+SUM(Model!CK203:CK233)+Model!CK235-(Model!CK196)</f>
        <v>-437200.890128007</v>
      </c>
      <c r="CM99" s="315" t="n">
        <f aca="false">Model!CL199+SUM(Model!CL203:CL233)+Model!CL235-(Model!CL196)</f>
        <v>-437200.890128007</v>
      </c>
      <c r="CN99" s="315" t="n">
        <f aca="false">Model!CM199+SUM(Model!CM203:CM233)+Model!CM235-(Model!CM196)</f>
        <v>-437200.890128007</v>
      </c>
      <c r="CO99" s="315" t="n">
        <f aca="false">Model!CN199+SUM(Model!CN203:CN233)+Model!CN235-(Model!CN196)</f>
        <v>-437200.890128007</v>
      </c>
      <c r="CP99" s="315" t="n">
        <f aca="false">Model!CO199+SUM(Model!CO203:CO233)+Model!CO235-(Model!CO196)</f>
        <v>-437200.890128007</v>
      </c>
      <c r="CQ99" s="315" t="n">
        <f aca="false">Model!CP199+SUM(Model!CP203:CP233)+Model!CP235-(Model!CP196)</f>
        <v>-437200.890128007</v>
      </c>
      <c r="CR99" s="315" t="n">
        <f aca="false">Model!CQ199+SUM(Model!CQ203:CQ233)+Model!CQ235-(Model!CQ196)</f>
        <v>-437200.890128007</v>
      </c>
      <c r="CS99" s="315" t="n">
        <f aca="false">Model!CR199+SUM(Model!CR203:CR233)+Model!CR235-(Model!CR196)</f>
        <v>-437200.890128007</v>
      </c>
      <c r="CT99" s="315" t="n">
        <f aca="false">Model!CS199+SUM(Model!CS203:CS233)+Model!CS235-(Model!CS196)</f>
        <v>-437200.890128007</v>
      </c>
      <c r="CU99" s="315" t="n">
        <f aca="false">Model!CT199+SUM(Model!CT203:CT233)+Model!CT235-(Model!CT196)</f>
        <v>-385420.730516558</v>
      </c>
      <c r="CV99" s="315" t="n">
        <f aca="false">Model!CU199+SUM(Model!CU203:CU233)+Model!CU235-(Model!CU196)</f>
        <v>-385420.730516558</v>
      </c>
      <c r="CW99" s="315" t="n">
        <f aca="false">Model!CV199+SUM(Model!CV203:CV233)+Model!CV235-(Model!CV196)</f>
        <v>-385420.730516558</v>
      </c>
      <c r="CX99" s="315" t="n">
        <f aca="false">Model!CW199+SUM(Model!CW203:CW233)+Model!CW235-(Model!CW196)</f>
        <v>-393129.145126889</v>
      </c>
      <c r="CY99" s="315" t="n">
        <f aca="false">Model!CX199+SUM(Model!CX203:CX233)+Model!CX235-(Model!CX196)</f>
        <v>-393129.145126889</v>
      </c>
      <c r="CZ99" s="315" t="n">
        <f aca="false">Model!CY199+SUM(Model!CY203:CY233)+Model!CY235-(Model!CY196)</f>
        <v>-393129.145126889</v>
      </c>
      <c r="DA99" s="315" t="n">
        <f aca="false">Model!CZ199+SUM(Model!CZ203:CZ233)+Model!CZ235-(Model!CZ196)</f>
        <v>-393129.145126889</v>
      </c>
      <c r="DB99" s="315" t="n">
        <f aca="false">Model!DA199+SUM(Model!DA203:DA233)+Model!DA235-(Model!DA196)</f>
        <v>-393129.145126889</v>
      </c>
      <c r="DC99" s="315" t="n">
        <f aca="false">Model!DB199+SUM(Model!DB203:DB233)+Model!DB235-(Model!DB196)</f>
        <v>-393129.145126889</v>
      </c>
      <c r="DD99" s="315" t="n">
        <f aca="false">Model!DC199+SUM(Model!DC203:DC233)+Model!DC235-(Model!DC196)</f>
        <v>-393129.145126889</v>
      </c>
      <c r="DE99" s="315" t="n">
        <f aca="false">Model!DD199+SUM(Model!DD203:DD233)+Model!DD235-(Model!DD196)</f>
        <v>-393129.145126889</v>
      </c>
      <c r="DF99" s="315" t="n">
        <f aca="false">Model!DE199+SUM(Model!DE203:DE233)+Model!DE235-(Model!DE196)</f>
        <v>-393129.145126889</v>
      </c>
    </row>
    <row r="100" customFormat="false" ht="15" hidden="false" customHeight="true" outlineLevel="0" collapsed="false">
      <c r="A100" s="72" t="s">
        <v>1182</v>
      </c>
      <c r="B100" s="314"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42553.2077741522</v>
      </c>
      <c r="P100" s="127" t="n">
        <f aca="false">P98*P99</f>
        <v>28876.7011697775</v>
      </c>
      <c r="Q100" s="127" t="n">
        <f aca="false">Q98*Q99</f>
        <v>39169.0553256674</v>
      </c>
      <c r="R100" s="127" t="n">
        <f aca="false">R98*R99</f>
        <v>38010.0853927395</v>
      </c>
      <c r="S100" s="127" t="n">
        <f aca="false">S98*S99</f>
        <v>71314.9420671613</v>
      </c>
      <c r="T100" s="127" t="n">
        <f aca="false">T98*T99</f>
        <v>111418.766371575</v>
      </c>
      <c r="U100" s="127" t="n">
        <f aca="false">U98*U99</f>
        <v>187438.103704019</v>
      </c>
      <c r="V100" s="127" t="n">
        <f aca="false">V98*V99</f>
        <v>177180.107961656</v>
      </c>
      <c r="W100" s="127" t="n">
        <f aca="false">W98*W99</f>
        <v>189107.924124983</v>
      </c>
      <c r="X100" s="127" t="n">
        <f aca="false">X98*X99</f>
        <v>171649.42892824</v>
      </c>
      <c r="Y100" s="127" t="n">
        <f aca="false">Y98*Y99</f>
        <v>281203.977140008</v>
      </c>
      <c r="Z100" s="127" t="n">
        <f aca="false">Z98*Z99</f>
        <v>255070.295752986</v>
      </c>
      <c r="AA100" s="127" t="n">
        <f aca="false">AA98*AA99</f>
        <v>276908.019980878</v>
      </c>
      <c r="AB100" s="127" t="n">
        <f aca="false">AB98*AB99</f>
        <v>284509.908467728</v>
      </c>
      <c r="AC100" s="127" t="n">
        <f aca="false">AC98*AC99</f>
        <v>254800.206935877</v>
      </c>
      <c r="AD100" s="127" t="n">
        <f aca="false">AD98*AD99</f>
        <v>199434.892901788</v>
      </c>
      <c r="AE100" s="127" t="n">
        <f aca="false">AE98*AE99</f>
        <v>208928.399982487</v>
      </c>
      <c r="AF100" s="127" t="n">
        <f aca="false">AF98*AF99</f>
        <v>253207.112286151</v>
      </c>
      <c r="AG100" s="127" t="n">
        <f aca="false">AG98*AG99</f>
        <v>336091.922616041</v>
      </c>
      <c r="AH100" s="127" t="n">
        <f aca="false">AH98*AH99</f>
        <v>217147.78872382</v>
      </c>
      <c r="AI100" s="127" t="n">
        <f aca="false">AI98*AI99</f>
        <v>196829.545343763</v>
      </c>
      <c r="AJ100" s="127" t="n">
        <f aca="false">AJ98*AJ99</f>
        <v>200137.58236978</v>
      </c>
      <c r="AK100" s="127" t="n">
        <f aca="false">AK98*AK99</f>
        <v>266685.582177153</v>
      </c>
      <c r="AL100" s="127" t="n">
        <f aca="false">AL98*AL99</f>
        <v>128220.653698104</v>
      </c>
      <c r="AM100" s="127" t="n">
        <f aca="false">AM98*AM99</f>
        <v>117148.5458681</v>
      </c>
      <c r="AN100" s="127" t="n">
        <f aca="false">AN98*AN99</f>
        <v>17442.0513109049</v>
      </c>
      <c r="AO100" s="127" t="n">
        <f aca="false">AO98*AO99</f>
        <v>8234.4623003335</v>
      </c>
      <c r="AP100" s="127" t="n">
        <f aca="false">AP98*AP99</f>
        <v>1887.14067084095</v>
      </c>
      <c r="AQ100" s="127" t="n">
        <f aca="false">AQ98*AQ99</f>
        <v>1887.14067084095</v>
      </c>
      <c r="AR100" s="127" t="n">
        <f aca="false">AR98*AR99</f>
        <v>3533.51487062786</v>
      </c>
      <c r="AS100" s="127" t="n">
        <f aca="false">AS98*AS99</f>
        <v>8737.95860644102</v>
      </c>
      <c r="AT100" s="127" t="n">
        <f aca="false">AT98*AT99</f>
        <v>9545.0047828071</v>
      </c>
      <c r="AU100" s="127" t="n">
        <f aca="false">AU98*AU99</f>
        <v>52542.1584025171</v>
      </c>
      <c r="AV100" s="127" t="n">
        <f aca="false">AV98*AV99</f>
        <v>14937.7891696807</v>
      </c>
      <c r="AW100" s="127" t="n">
        <f aca="false">AW98*AW99</f>
        <v>-0</v>
      </c>
      <c r="AX100" s="127" t="n">
        <f aca="false">AX98*AX99</f>
        <v>-0</v>
      </c>
      <c r="AY100" s="127" t="n">
        <f aca="false">AY98*AY99</f>
        <v>-0</v>
      </c>
      <c r="AZ100" s="127" t="n">
        <f aca="false">AZ98*AZ99</f>
        <v>-0</v>
      </c>
      <c r="BA100" s="127" t="n">
        <f aca="false">BA98*BA99</f>
        <v>-0</v>
      </c>
      <c r="BB100" s="127" t="n">
        <f aca="false">BB98*BB99</f>
        <v>-0</v>
      </c>
      <c r="BC100" s="127" t="n">
        <f aca="false">BC98*BC99</f>
        <v>-0</v>
      </c>
      <c r="BD100" s="127" t="n">
        <f aca="false">BD98*BD99</f>
        <v>-0</v>
      </c>
      <c r="BE100" s="127" t="n">
        <f aca="false">BE98*BE99</f>
        <v>-0</v>
      </c>
      <c r="BF100" s="127" t="n">
        <f aca="false">BF98*BF99</f>
        <v>-0</v>
      </c>
      <c r="BG100" s="127" t="n">
        <f aca="false">BG98*BG99</f>
        <v>-0</v>
      </c>
      <c r="BH100" s="127" t="n">
        <f aca="false">BH98*BH99</f>
        <v>-0</v>
      </c>
      <c r="BI100" s="127" t="n">
        <f aca="false">BI98*BI99</f>
        <v>-0</v>
      </c>
      <c r="BJ100" s="127" t="n">
        <f aca="false">BJ98*BJ99</f>
        <v>-0</v>
      </c>
      <c r="BK100" s="127" t="n">
        <f aca="false">BK98*BK99</f>
        <v>-0</v>
      </c>
      <c r="BL100" s="127" t="n">
        <f aca="false">BL98*BL99</f>
        <v>-0</v>
      </c>
      <c r="BM100" s="127" t="n">
        <f aca="false">BM98*BM99</f>
        <v>-0</v>
      </c>
      <c r="BN100" s="127" t="n">
        <f aca="false">BN98*BN99</f>
        <v>-0</v>
      </c>
      <c r="BO100" s="127" t="n">
        <f aca="false">BO98*BO99</f>
        <v>-0</v>
      </c>
      <c r="BP100" s="127" t="n">
        <f aca="false">BP98*BP99</f>
        <v>-0</v>
      </c>
      <c r="BQ100" s="127" t="n">
        <f aca="false">BQ98*BQ99</f>
        <v>-0</v>
      </c>
      <c r="BR100" s="127" t="n">
        <f aca="false">BR98*BR99</f>
        <v>-0</v>
      </c>
      <c r="BS100" s="127" t="n">
        <f aca="false">BS98*BS99</f>
        <v>-0</v>
      </c>
      <c r="BT100" s="127" t="n">
        <f aca="false">BT98*BT99</f>
        <v>-0</v>
      </c>
      <c r="BU100" s="127" t="n">
        <f aca="false">BU98*BU99</f>
        <v>-0</v>
      </c>
      <c r="BV100" s="127" t="n">
        <f aca="false">BV98*BV99</f>
        <v>-0</v>
      </c>
      <c r="BW100" s="127" t="n">
        <f aca="false">BW98*BW99</f>
        <v>-0</v>
      </c>
      <c r="BX100" s="127" t="n">
        <f aca="false">BX98*BX99</f>
        <v>-0</v>
      </c>
      <c r="BY100" s="127" t="n">
        <f aca="false">BY98*BY99</f>
        <v>-0</v>
      </c>
      <c r="BZ100" s="127" t="n">
        <f aca="false">BZ98*BZ99</f>
        <v>-0</v>
      </c>
      <c r="CA100" s="127" t="n">
        <f aca="false">CA98*CA99</f>
        <v>-0</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1183</v>
      </c>
      <c r="C101" s="317"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D101" s="317"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E101" s="317" t="n">
        <f aca="false">IF(AND(Projects!$G$17="Yes",Projects!$M$17="Yes",0&gt;=Projects!$C$17,0&lt;Projects!$C$17+Projects!$D$17),Projects!$B$17*INDEX(Curves!$B$4:$AR$4,1,0-Projects!$C$17+1),0)+IF(AND(Projects!$G$18="Yes",Projects!$M$18="Yes",0&gt;=Projects!$C$18,0&lt;Projects!$C$18+Projects!$D$18),Projects!$B$18*INDEX(Curves!$B$4:$AR$4,1,0-Projects!$C$18+1),0)+IF(AND(Projects!$G$19="Yes",Projects!$M$19="Yes",0&gt;=Projects!$C$19,0&lt;Projects!$C$19+Projects!$D$19),Projects!$B$19*INDEX(Curves!$B$4:$AR$4,1,0-Projects!$C$19+1),0)+IF(AND(Projects!$G$20="Yes",Projects!$M$20="Yes",0&gt;=Projects!$C$20,0&lt;Projects!$C$20+Projects!$D$20),Projects!$B$20*INDEX(Curves!$B$4:$AR$4,1,0-Projects!$C$20+1),0)+IF(AND(Projects!$G$21="Yes",Projects!$M$21="Yes",0&gt;=Projects!$C$21,0&lt;Projects!$C$21+Projects!$D$21),Projects!$B$21*INDEX(Curves!$B$4:$AR$4,1,0-Projects!$C$21+1),0)+IF(AND(Projects!$G$22="Yes",Projects!$M$22="Yes",0&gt;=Projects!$C$22,0&lt;Projects!$C$22+Projects!$D$22),Projects!$B$22*INDEX(Curves!$B$4:$AR$4,1,0-Projects!$C$22+1),0)+IF(AND(Projects!$G$23="Yes",Projects!$M$23="Yes",0&gt;=Projects!$C$23,0&lt;Projects!$C$23+Projects!$D$23),Projects!$B$23*INDEX(Curves!$B$4:$AR$4,1,0-Projects!$C$23+1),0)+IF(AND(Projects!$G$24="Yes",Projects!$M$24="Yes",0&gt;=Projects!$C$24,0&lt;Projects!$C$24+Projects!$D$24),Projects!$B$24*INDEX(Curves!$B$4:$AR$4,1,0-Projects!$C$24+1),0)+IF(AND(Projects!$G$25="Yes",Projects!$M$25="Yes",0&gt;=Projects!$C$25,0&lt;Projects!$C$25+Projects!$D$25),Projects!$B$25*INDEX(Curves!$B$4:$AR$4,1,0-Projects!$C$25+1),0)+IF(AND(Projects!$G$26="Yes",Projects!$M$26="Yes",0&gt;=Projects!$C$26,0&lt;Projects!$C$26+Projects!$D$26),Projects!$B$26*INDEX(Curves!$B$4:$AR$4,1,0-Projects!$C$26+1),0)+IF(AND(Projects!$G$27="Yes",Projects!$M$27="Yes",0&gt;=Projects!$C$27,0&lt;Projects!$C$27+Projects!$D$27),Projects!$B$27*INDEX(Curves!$B$4:$AR$4,1,0-Projects!$C$27+1),0)+IF(AND(Projects!$G$28="Yes",Projects!$M$28="Yes",0&gt;=Projects!$C$28,0&lt;Projects!$C$28+Projects!$D$28),Projects!$B$28*INDEX(Curves!$B$4:$AR$4,1,0-Projects!$C$28+1),0)+IF(AND(Projects!$G$29="Yes",Projects!$M$29="Yes",0&gt;=Projects!$C$29,0&lt;Projects!$C$29+Projects!$D$29),Projects!$B$29*INDEX(Curves!$B$4:$AR$4,1,0-Projects!$C$29+1),0)+IF(AND(Projects!$G$30="Yes",Projects!$M$30="Yes",0&gt;=Projects!$C$30,0&lt;Projects!$C$30+Projects!$D$30),Projects!$B$30*INDEX(Curves!$B$4:$AR$4,1,0-Projects!$C$30+1),0)+IF(AND(Projects!$G$31="Yes",Projects!$M$31="Yes",0&gt;=Projects!$C$31,0&lt;Projects!$C$31+Projects!$D$31),Projects!$B$31*INDEX(Curves!$B$4:$AR$4,1,0-Projects!$C$31+1),0)+IF(AND(Projects!$G$32="Yes",Projects!$M$32="Yes",0&gt;=Projects!$C$32,0&lt;Projects!$C$32+Projects!$D$32),Projects!$B$32*INDEX(Curves!$B$4:$AR$4,1,0-Projects!$C$32+1),0)+IF(AND(Projects!$G$33="Yes",Projects!$M$33="Yes",0&gt;=Projects!$C$33,0&lt;Projects!$C$33+Projects!$D$33),Projects!$B$33*INDEX(Curves!$B$4:$AR$4,1,0-Projects!$C$33+1),0)+IF(AND(Projects!$G$34="Yes",Projects!$M$34="Yes",0&gt;=Projects!$C$34,0&lt;Projects!$C$34+Projects!$D$34),Projects!$B$34*INDEX(Curves!$B$4:$AR$4,1,0-Projects!$C$34+1),0)+IF(AND(Projects!$G$35="Yes",Projects!$M$35="Yes",0&gt;=Projects!$C$35,0&lt;Projects!$C$35+Projects!$D$35),Projects!$B$35*INDEX(Curves!$B$4:$AR$4,1,0-Projects!$C$35+1),0)+IF(AND(Projects!$G$36="Yes",Projects!$M$36="Yes",0&gt;=Projects!$C$36,0&lt;Projects!$C$36+Projects!$D$36),Projects!$B$36*INDEX(Curves!$B$4:$AR$4,1,0-Projects!$C$36+1),0)+IF(AND(Projects!$G$37="Yes",Projects!$M$37="Yes",0&gt;=Projects!$C$37,0&lt;Projects!$C$37+Projects!$D$37),Projects!$B$37*INDEX(Curves!$B$4:$AR$4,1,0-Projects!$C$37+1),0)+IF(AND(Projects!$G$38="Yes",Projects!$M$38="Yes",0&gt;=Projects!$C$38,0&lt;Projects!$C$38+Projects!$D$38),Projects!$B$38*INDEX(Curves!$B$4:$AR$4,1,0-Projects!$C$38+1),0)+IF(AND(Projects!$G$39="Yes",Projects!$M$39="Yes",0&gt;=Projects!$C$39,0&lt;Projects!$C$39+Projects!$D$39),Projects!$B$39*INDEX(Curves!$B$4:$AR$4,1,0-Projects!$C$39+1),0)+IF(AND(Projects!$G$40="Yes",Projects!$M$40="Yes",0&gt;=Projects!$C$40,0&lt;Projects!$C$40+Projects!$D$40),Projects!$B$40*INDEX(Curves!$B$4:$AR$4,1,0-Projects!$C$40+1),0)+IF(AND(Projects!$G$41="Yes",Projects!$M$41="Yes",0&gt;=Projects!$C$41,0&lt;Projects!$C$41+Projects!$D$41),Projects!$B$41*INDEX(Curves!$B$4:$AR$4,1,0-Projects!$C$41+1),0)+IF(AND(Projects!$G$42="Yes",Projects!$M$42="Yes",0&gt;=Projects!$C$42,0&lt;Projects!$C$42+Projects!$D$42),Projects!$B$42*INDEX(Curves!$B$4:$AR$4,1,0-Projects!$C$42+1),0)+IF(AND(Projects!$G$43="Yes",Projects!$M$43="Yes",0&gt;=Projects!$C$43,0&lt;Projects!$C$43+Projects!$D$43),Projects!$B$43*INDEX(Curves!$B$4:$AR$4,1,0-Projects!$C$43+1),0)+IF(AND(Projects!$G$44="Yes",Projects!$M$44="Yes",0&gt;=Projects!$C$44,0&lt;Projects!$C$44+Projects!$D$44),Projects!$B$44*INDEX(Curves!$B$4:$AR$4,1,0-Projects!$C$44+1),0)+IF(AND(Projects!$G$45="Yes",Projects!$M$45="Yes",0&gt;=Projects!$C$45,0&lt;Projects!$C$45+Projects!$D$45),Projects!$B$45*INDEX(Curves!$B$4:$AR$4,1,0-Projects!$C$45+1),0)+IF(AND(Projects!$G$46="Yes",Projects!$M$46="Yes",0&gt;=Projects!$C$46,0&lt;Projects!$C$46+Projects!$D$46),Projects!$B$46*INDEX(Curves!$B$4:$AR$4,1,0-Projects!$C$46+1),0)</f>
        <v>0</v>
      </c>
      <c r="F101" s="317"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G101" s="317"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H101" s="317" t="n">
        <f aca="false">IF(AND(Projects!$G$17="Yes",Projects!$M$17="Yes",3&gt;=Projects!$C$17,3&lt;Projects!$C$17+Projects!$D$17),Projects!$B$17*INDEX(Curves!$B$4:$AR$4,1,3-Projects!$C$17+1),0)+IF(AND(Projects!$G$18="Yes",Projects!$M$18="Yes",3&gt;=Projects!$C$18,3&lt;Projects!$C$18+Projects!$D$18),Projects!$B$18*INDEX(Curves!$B$4:$AR$4,1,3-Projects!$C$18+1),0)+IF(AND(Projects!$G$19="Yes",Projects!$M$19="Yes",3&gt;=Projects!$C$19,3&lt;Projects!$C$19+Projects!$D$19),Projects!$B$19*INDEX(Curves!$B$4:$AR$4,1,3-Projects!$C$19+1),0)+IF(AND(Projects!$G$20="Yes",Projects!$M$20="Yes",3&gt;=Projects!$C$20,3&lt;Projects!$C$20+Projects!$D$20),Projects!$B$20*INDEX(Curves!$B$4:$AR$4,1,3-Projects!$C$20+1),0)+IF(AND(Projects!$G$21="Yes",Projects!$M$21="Yes",3&gt;=Projects!$C$21,3&lt;Projects!$C$21+Projects!$D$21),Projects!$B$21*INDEX(Curves!$B$4:$AR$4,1,3-Projects!$C$21+1),0)+IF(AND(Projects!$G$22="Yes",Projects!$M$22="Yes",3&gt;=Projects!$C$22,3&lt;Projects!$C$22+Projects!$D$22),Projects!$B$22*INDEX(Curves!$B$4:$AR$4,1,3-Projects!$C$22+1),0)+IF(AND(Projects!$G$23="Yes",Projects!$M$23="Yes",3&gt;=Projects!$C$23,3&lt;Projects!$C$23+Projects!$D$23),Projects!$B$23*INDEX(Curves!$B$4:$AR$4,1,3-Projects!$C$23+1),0)+IF(AND(Projects!$G$24="Yes",Projects!$M$24="Yes",3&gt;=Projects!$C$24,3&lt;Projects!$C$24+Projects!$D$24),Projects!$B$24*INDEX(Curves!$B$4:$AR$4,1,3-Projects!$C$24+1),0)+IF(AND(Projects!$G$25="Yes",Projects!$M$25="Yes",3&gt;=Projects!$C$25,3&lt;Projects!$C$25+Projects!$D$25),Projects!$B$25*INDEX(Curves!$B$4:$AR$4,1,3-Projects!$C$25+1),0)+IF(AND(Projects!$G$26="Yes",Projects!$M$26="Yes",3&gt;=Projects!$C$26,3&lt;Projects!$C$26+Projects!$D$26),Projects!$B$26*INDEX(Curves!$B$4:$AR$4,1,3-Projects!$C$26+1),0)+IF(AND(Projects!$G$27="Yes",Projects!$M$27="Yes",3&gt;=Projects!$C$27,3&lt;Projects!$C$27+Projects!$D$27),Projects!$B$27*INDEX(Curves!$B$4:$AR$4,1,3-Projects!$C$27+1),0)+IF(AND(Projects!$G$28="Yes",Projects!$M$28="Yes",3&gt;=Projects!$C$28,3&lt;Projects!$C$28+Projects!$D$28),Projects!$B$28*INDEX(Curves!$B$4:$AR$4,1,3-Projects!$C$28+1),0)+IF(AND(Projects!$G$29="Yes",Projects!$M$29="Yes",3&gt;=Projects!$C$29,3&lt;Projects!$C$29+Projects!$D$29),Projects!$B$29*INDEX(Curves!$B$4:$AR$4,1,3-Projects!$C$29+1),0)+IF(AND(Projects!$G$30="Yes",Projects!$M$30="Yes",3&gt;=Projects!$C$30,3&lt;Projects!$C$30+Projects!$D$30),Projects!$B$30*INDEX(Curves!$B$4:$AR$4,1,3-Projects!$C$30+1),0)+IF(AND(Projects!$G$31="Yes",Projects!$M$31="Yes",3&gt;=Projects!$C$31,3&lt;Projects!$C$31+Projects!$D$31),Projects!$B$31*INDEX(Curves!$B$4:$AR$4,1,3-Projects!$C$31+1),0)+IF(AND(Projects!$G$32="Yes",Projects!$M$32="Yes",3&gt;=Projects!$C$32,3&lt;Projects!$C$32+Projects!$D$32),Projects!$B$32*INDEX(Curves!$B$4:$AR$4,1,3-Projects!$C$32+1),0)+IF(AND(Projects!$G$33="Yes",Projects!$M$33="Yes",3&gt;=Projects!$C$33,3&lt;Projects!$C$33+Projects!$D$33),Projects!$B$33*INDEX(Curves!$B$4:$AR$4,1,3-Projects!$C$33+1),0)+IF(AND(Projects!$G$34="Yes",Projects!$M$34="Yes",3&gt;=Projects!$C$34,3&lt;Projects!$C$34+Projects!$D$34),Projects!$B$34*INDEX(Curves!$B$4:$AR$4,1,3-Projects!$C$34+1),0)+IF(AND(Projects!$G$35="Yes",Projects!$M$35="Yes",3&gt;=Projects!$C$35,3&lt;Projects!$C$35+Projects!$D$35),Projects!$B$35*INDEX(Curves!$B$4:$AR$4,1,3-Projects!$C$35+1),0)+IF(AND(Projects!$G$36="Yes",Projects!$M$36="Yes",3&gt;=Projects!$C$36,3&lt;Projects!$C$36+Projects!$D$36),Projects!$B$36*INDEX(Curves!$B$4:$AR$4,1,3-Projects!$C$36+1),0)+IF(AND(Projects!$G$37="Yes",Projects!$M$37="Yes",3&gt;=Projects!$C$37,3&lt;Projects!$C$37+Projects!$D$37),Projects!$B$37*INDEX(Curves!$B$4:$AR$4,1,3-Projects!$C$37+1),0)+IF(AND(Projects!$G$38="Yes",Projects!$M$38="Yes",3&gt;=Projects!$C$38,3&lt;Projects!$C$38+Projects!$D$38),Projects!$B$38*INDEX(Curves!$B$4:$AR$4,1,3-Projects!$C$38+1),0)+IF(AND(Projects!$G$39="Yes",Projects!$M$39="Yes",3&gt;=Projects!$C$39,3&lt;Projects!$C$39+Projects!$D$39),Projects!$B$39*INDEX(Curves!$B$4:$AR$4,1,3-Projects!$C$39+1),0)+IF(AND(Projects!$G$40="Yes",Projects!$M$40="Yes",3&gt;=Projects!$C$40,3&lt;Projects!$C$40+Projects!$D$40),Projects!$B$40*INDEX(Curves!$B$4:$AR$4,1,3-Projects!$C$40+1),0)+IF(AND(Projects!$G$41="Yes",Projects!$M$41="Yes",3&gt;=Projects!$C$41,3&lt;Projects!$C$41+Projects!$D$41),Projects!$B$41*INDEX(Curves!$B$4:$AR$4,1,3-Projects!$C$41+1),0)+IF(AND(Projects!$G$42="Yes",Projects!$M$42="Yes",3&gt;=Projects!$C$42,3&lt;Projects!$C$42+Projects!$D$42),Projects!$B$42*INDEX(Curves!$B$4:$AR$4,1,3-Projects!$C$42+1),0)+IF(AND(Projects!$G$43="Yes",Projects!$M$43="Yes",3&gt;=Projects!$C$43,3&lt;Projects!$C$43+Projects!$D$43),Projects!$B$43*INDEX(Curves!$B$4:$AR$4,1,3-Projects!$C$43+1),0)+IF(AND(Projects!$G$44="Yes",Projects!$M$44="Yes",3&gt;=Projects!$C$44,3&lt;Projects!$C$44+Projects!$D$44),Projects!$B$44*INDEX(Curves!$B$4:$AR$4,1,3-Projects!$C$44+1),0)+IF(AND(Projects!$G$45="Yes",Projects!$M$45="Yes",3&gt;=Projects!$C$45,3&lt;Projects!$C$45+Projects!$D$45),Projects!$B$45*INDEX(Curves!$B$4:$AR$4,1,3-Projects!$C$45+1),0)+IF(AND(Projects!$G$46="Yes",Projects!$M$46="Yes",3&gt;=Projects!$C$46,3&lt;Projects!$C$46+Projects!$D$46),Projects!$B$46*INDEX(Curves!$B$4:$AR$4,1,3-Projects!$C$46+1),0)</f>
        <v>0</v>
      </c>
      <c r="I101" s="317" t="n">
        <f aca="false">IF(AND(Projects!$G$17="Yes",Projects!$M$17="Yes",4&gt;=Projects!$C$17,4&lt;Projects!$C$17+Projects!$D$17),Projects!$B$17*INDEX(Curves!$B$4:$AR$4,1,4-Projects!$C$17+1),0)+IF(AND(Projects!$G$18="Yes",Projects!$M$18="Yes",4&gt;=Projects!$C$18,4&lt;Projects!$C$18+Projects!$D$18),Projects!$B$18*INDEX(Curves!$B$4:$AR$4,1,4-Projects!$C$18+1),0)+IF(AND(Projects!$G$19="Yes",Projects!$M$19="Yes",4&gt;=Projects!$C$19,4&lt;Projects!$C$19+Projects!$D$19),Projects!$B$19*INDEX(Curves!$B$4:$AR$4,1,4-Projects!$C$19+1),0)+IF(AND(Projects!$G$20="Yes",Projects!$M$20="Yes",4&gt;=Projects!$C$20,4&lt;Projects!$C$20+Projects!$D$20),Projects!$B$20*INDEX(Curves!$B$4:$AR$4,1,4-Projects!$C$20+1),0)+IF(AND(Projects!$G$21="Yes",Projects!$M$21="Yes",4&gt;=Projects!$C$21,4&lt;Projects!$C$21+Projects!$D$21),Projects!$B$21*INDEX(Curves!$B$4:$AR$4,1,4-Projects!$C$21+1),0)+IF(AND(Projects!$G$22="Yes",Projects!$M$22="Yes",4&gt;=Projects!$C$22,4&lt;Projects!$C$22+Projects!$D$22),Projects!$B$22*INDEX(Curves!$B$4:$AR$4,1,4-Projects!$C$22+1),0)+IF(AND(Projects!$G$23="Yes",Projects!$M$23="Yes",4&gt;=Projects!$C$23,4&lt;Projects!$C$23+Projects!$D$23),Projects!$B$23*INDEX(Curves!$B$4:$AR$4,1,4-Projects!$C$23+1),0)+IF(AND(Projects!$G$24="Yes",Projects!$M$24="Yes",4&gt;=Projects!$C$24,4&lt;Projects!$C$24+Projects!$D$24),Projects!$B$24*INDEX(Curves!$B$4:$AR$4,1,4-Projects!$C$24+1),0)+IF(AND(Projects!$G$25="Yes",Projects!$M$25="Yes",4&gt;=Projects!$C$25,4&lt;Projects!$C$25+Projects!$D$25),Projects!$B$25*INDEX(Curves!$B$4:$AR$4,1,4-Projects!$C$25+1),0)+IF(AND(Projects!$G$26="Yes",Projects!$M$26="Yes",4&gt;=Projects!$C$26,4&lt;Projects!$C$26+Projects!$D$26),Projects!$B$26*INDEX(Curves!$B$4:$AR$4,1,4-Projects!$C$26+1),0)+IF(AND(Projects!$G$27="Yes",Projects!$M$27="Yes",4&gt;=Projects!$C$27,4&lt;Projects!$C$27+Projects!$D$27),Projects!$B$27*INDEX(Curves!$B$4:$AR$4,1,4-Projects!$C$27+1),0)+IF(AND(Projects!$G$28="Yes",Projects!$M$28="Yes",4&gt;=Projects!$C$28,4&lt;Projects!$C$28+Projects!$D$28),Projects!$B$28*INDEX(Curves!$B$4:$AR$4,1,4-Projects!$C$28+1),0)+IF(AND(Projects!$G$29="Yes",Projects!$M$29="Yes",4&gt;=Projects!$C$29,4&lt;Projects!$C$29+Projects!$D$29),Projects!$B$29*INDEX(Curves!$B$4:$AR$4,1,4-Projects!$C$29+1),0)+IF(AND(Projects!$G$30="Yes",Projects!$M$30="Yes",4&gt;=Projects!$C$30,4&lt;Projects!$C$30+Projects!$D$30),Projects!$B$30*INDEX(Curves!$B$4:$AR$4,1,4-Projects!$C$30+1),0)+IF(AND(Projects!$G$31="Yes",Projects!$M$31="Yes",4&gt;=Projects!$C$31,4&lt;Projects!$C$31+Projects!$D$31),Projects!$B$31*INDEX(Curves!$B$4:$AR$4,1,4-Projects!$C$31+1),0)+IF(AND(Projects!$G$32="Yes",Projects!$M$32="Yes",4&gt;=Projects!$C$32,4&lt;Projects!$C$32+Projects!$D$32),Projects!$B$32*INDEX(Curves!$B$4:$AR$4,1,4-Projects!$C$32+1),0)+IF(AND(Projects!$G$33="Yes",Projects!$M$33="Yes",4&gt;=Projects!$C$33,4&lt;Projects!$C$33+Projects!$D$33),Projects!$B$33*INDEX(Curves!$B$4:$AR$4,1,4-Projects!$C$33+1),0)+IF(AND(Projects!$G$34="Yes",Projects!$M$34="Yes",4&gt;=Projects!$C$34,4&lt;Projects!$C$34+Projects!$D$34),Projects!$B$34*INDEX(Curves!$B$4:$AR$4,1,4-Projects!$C$34+1),0)+IF(AND(Projects!$G$35="Yes",Projects!$M$35="Yes",4&gt;=Projects!$C$35,4&lt;Projects!$C$35+Projects!$D$35),Projects!$B$35*INDEX(Curves!$B$4:$AR$4,1,4-Projects!$C$35+1),0)+IF(AND(Projects!$G$36="Yes",Projects!$M$36="Yes",4&gt;=Projects!$C$36,4&lt;Projects!$C$36+Projects!$D$36),Projects!$B$36*INDEX(Curves!$B$4:$AR$4,1,4-Projects!$C$36+1),0)+IF(AND(Projects!$G$37="Yes",Projects!$M$37="Yes",4&gt;=Projects!$C$37,4&lt;Projects!$C$37+Projects!$D$37),Projects!$B$37*INDEX(Curves!$B$4:$AR$4,1,4-Projects!$C$37+1),0)+IF(AND(Projects!$G$38="Yes",Projects!$M$38="Yes",4&gt;=Projects!$C$38,4&lt;Projects!$C$38+Projects!$D$38),Projects!$B$38*INDEX(Curves!$B$4:$AR$4,1,4-Projects!$C$38+1),0)+IF(AND(Projects!$G$39="Yes",Projects!$M$39="Yes",4&gt;=Projects!$C$39,4&lt;Projects!$C$39+Projects!$D$39),Projects!$B$39*INDEX(Curves!$B$4:$AR$4,1,4-Projects!$C$39+1),0)+IF(AND(Projects!$G$40="Yes",Projects!$M$40="Yes",4&gt;=Projects!$C$40,4&lt;Projects!$C$40+Projects!$D$40),Projects!$B$40*INDEX(Curves!$B$4:$AR$4,1,4-Projects!$C$40+1),0)+IF(AND(Projects!$G$41="Yes",Projects!$M$41="Yes",4&gt;=Projects!$C$41,4&lt;Projects!$C$41+Projects!$D$41),Projects!$B$41*INDEX(Curves!$B$4:$AR$4,1,4-Projects!$C$41+1),0)+IF(AND(Projects!$G$42="Yes",Projects!$M$42="Yes",4&gt;=Projects!$C$42,4&lt;Projects!$C$42+Projects!$D$42),Projects!$B$42*INDEX(Curves!$B$4:$AR$4,1,4-Projects!$C$42+1),0)+IF(AND(Projects!$G$43="Yes",Projects!$M$43="Yes",4&gt;=Projects!$C$43,4&lt;Projects!$C$43+Projects!$D$43),Projects!$B$43*INDEX(Curves!$B$4:$AR$4,1,4-Projects!$C$43+1),0)+IF(AND(Projects!$G$44="Yes",Projects!$M$44="Yes",4&gt;=Projects!$C$44,4&lt;Projects!$C$44+Projects!$D$44),Projects!$B$44*INDEX(Curves!$B$4:$AR$4,1,4-Projects!$C$44+1),0)+IF(AND(Projects!$G$45="Yes",Projects!$M$45="Yes",4&gt;=Projects!$C$45,4&lt;Projects!$C$45+Projects!$D$45),Projects!$B$45*INDEX(Curves!$B$4:$AR$4,1,4-Projects!$C$45+1),0)+IF(AND(Projects!$G$46="Yes",Projects!$M$46="Yes",4&gt;=Projects!$C$46,4&lt;Projects!$C$46+Projects!$D$46),Projects!$B$46*INDEX(Curves!$B$4:$AR$4,1,4-Projects!$C$46+1),0)</f>
        <v>0</v>
      </c>
      <c r="J101" s="317" t="n">
        <f aca="false">IF(AND(Projects!$G$17="Yes",Projects!$M$17="Yes",5&gt;=Projects!$C$17,5&lt;Projects!$C$17+Projects!$D$17),Projects!$B$17*INDEX(Curves!$B$4:$AR$4,1,5-Projects!$C$17+1),0)+IF(AND(Projects!$G$18="Yes",Projects!$M$18="Yes",5&gt;=Projects!$C$18,5&lt;Projects!$C$18+Projects!$D$18),Projects!$B$18*INDEX(Curves!$B$4:$AR$4,1,5-Projects!$C$18+1),0)+IF(AND(Projects!$G$19="Yes",Projects!$M$19="Yes",5&gt;=Projects!$C$19,5&lt;Projects!$C$19+Projects!$D$19),Projects!$B$19*INDEX(Curves!$B$4:$AR$4,1,5-Projects!$C$19+1),0)+IF(AND(Projects!$G$20="Yes",Projects!$M$20="Yes",5&gt;=Projects!$C$20,5&lt;Projects!$C$20+Projects!$D$20),Projects!$B$20*INDEX(Curves!$B$4:$AR$4,1,5-Projects!$C$20+1),0)+IF(AND(Projects!$G$21="Yes",Projects!$M$21="Yes",5&gt;=Projects!$C$21,5&lt;Projects!$C$21+Projects!$D$21),Projects!$B$21*INDEX(Curves!$B$4:$AR$4,1,5-Projects!$C$21+1),0)+IF(AND(Projects!$G$22="Yes",Projects!$M$22="Yes",5&gt;=Projects!$C$22,5&lt;Projects!$C$22+Projects!$D$22),Projects!$B$22*INDEX(Curves!$B$4:$AR$4,1,5-Projects!$C$22+1),0)+IF(AND(Projects!$G$23="Yes",Projects!$M$23="Yes",5&gt;=Projects!$C$23,5&lt;Projects!$C$23+Projects!$D$23),Projects!$B$23*INDEX(Curves!$B$4:$AR$4,1,5-Projects!$C$23+1),0)+IF(AND(Projects!$G$24="Yes",Projects!$M$24="Yes",5&gt;=Projects!$C$24,5&lt;Projects!$C$24+Projects!$D$24),Projects!$B$24*INDEX(Curves!$B$4:$AR$4,1,5-Projects!$C$24+1),0)+IF(AND(Projects!$G$25="Yes",Projects!$M$25="Yes",5&gt;=Projects!$C$25,5&lt;Projects!$C$25+Projects!$D$25),Projects!$B$25*INDEX(Curves!$B$4:$AR$4,1,5-Projects!$C$25+1),0)+IF(AND(Projects!$G$26="Yes",Projects!$M$26="Yes",5&gt;=Projects!$C$26,5&lt;Projects!$C$26+Projects!$D$26),Projects!$B$26*INDEX(Curves!$B$4:$AR$4,1,5-Projects!$C$26+1),0)+IF(AND(Projects!$G$27="Yes",Projects!$M$27="Yes",5&gt;=Projects!$C$27,5&lt;Projects!$C$27+Projects!$D$27),Projects!$B$27*INDEX(Curves!$B$4:$AR$4,1,5-Projects!$C$27+1),0)+IF(AND(Projects!$G$28="Yes",Projects!$M$28="Yes",5&gt;=Projects!$C$28,5&lt;Projects!$C$28+Projects!$D$28),Projects!$B$28*INDEX(Curves!$B$4:$AR$4,1,5-Projects!$C$28+1),0)+IF(AND(Projects!$G$29="Yes",Projects!$M$29="Yes",5&gt;=Projects!$C$29,5&lt;Projects!$C$29+Projects!$D$29),Projects!$B$29*INDEX(Curves!$B$4:$AR$4,1,5-Projects!$C$29+1),0)+IF(AND(Projects!$G$30="Yes",Projects!$M$30="Yes",5&gt;=Projects!$C$30,5&lt;Projects!$C$30+Projects!$D$30),Projects!$B$30*INDEX(Curves!$B$4:$AR$4,1,5-Projects!$C$30+1),0)+IF(AND(Projects!$G$31="Yes",Projects!$M$31="Yes",5&gt;=Projects!$C$31,5&lt;Projects!$C$31+Projects!$D$31),Projects!$B$31*INDEX(Curves!$B$4:$AR$4,1,5-Projects!$C$31+1),0)+IF(AND(Projects!$G$32="Yes",Projects!$M$32="Yes",5&gt;=Projects!$C$32,5&lt;Projects!$C$32+Projects!$D$32),Projects!$B$32*INDEX(Curves!$B$4:$AR$4,1,5-Projects!$C$32+1),0)+IF(AND(Projects!$G$33="Yes",Projects!$M$33="Yes",5&gt;=Projects!$C$33,5&lt;Projects!$C$33+Projects!$D$33),Projects!$B$33*INDEX(Curves!$B$4:$AR$4,1,5-Projects!$C$33+1),0)+IF(AND(Projects!$G$34="Yes",Projects!$M$34="Yes",5&gt;=Projects!$C$34,5&lt;Projects!$C$34+Projects!$D$34),Projects!$B$34*INDEX(Curves!$B$4:$AR$4,1,5-Projects!$C$34+1),0)+IF(AND(Projects!$G$35="Yes",Projects!$M$35="Yes",5&gt;=Projects!$C$35,5&lt;Projects!$C$35+Projects!$D$35),Projects!$B$35*INDEX(Curves!$B$4:$AR$4,1,5-Projects!$C$35+1),0)+IF(AND(Projects!$G$36="Yes",Projects!$M$36="Yes",5&gt;=Projects!$C$36,5&lt;Projects!$C$36+Projects!$D$36),Projects!$B$36*INDEX(Curves!$B$4:$AR$4,1,5-Projects!$C$36+1),0)+IF(AND(Projects!$G$37="Yes",Projects!$M$37="Yes",5&gt;=Projects!$C$37,5&lt;Projects!$C$37+Projects!$D$37),Projects!$B$37*INDEX(Curves!$B$4:$AR$4,1,5-Projects!$C$37+1),0)+IF(AND(Projects!$G$38="Yes",Projects!$M$38="Yes",5&gt;=Projects!$C$38,5&lt;Projects!$C$38+Projects!$D$38),Projects!$B$38*INDEX(Curves!$B$4:$AR$4,1,5-Projects!$C$38+1),0)+IF(AND(Projects!$G$39="Yes",Projects!$M$39="Yes",5&gt;=Projects!$C$39,5&lt;Projects!$C$39+Projects!$D$39),Projects!$B$39*INDEX(Curves!$B$4:$AR$4,1,5-Projects!$C$39+1),0)+IF(AND(Projects!$G$40="Yes",Projects!$M$40="Yes",5&gt;=Projects!$C$40,5&lt;Projects!$C$40+Projects!$D$40),Projects!$B$40*INDEX(Curves!$B$4:$AR$4,1,5-Projects!$C$40+1),0)+IF(AND(Projects!$G$41="Yes",Projects!$M$41="Yes",5&gt;=Projects!$C$41,5&lt;Projects!$C$41+Projects!$D$41),Projects!$B$41*INDEX(Curves!$B$4:$AR$4,1,5-Projects!$C$41+1),0)+IF(AND(Projects!$G$42="Yes",Projects!$M$42="Yes",5&gt;=Projects!$C$42,5&lt;Projects!$C$42+Projects!$D$42),Projects!$B$42*INDEX(Curves!$B$4:$AR$4,1,5-Projects!$C$42+1),0)+IF(AND(Projects!$G$43="Yes",Projects!$M$43="Yes",5&gt;=Projects!$C$43,5&lt;Projects!$C$43+Projects!$D$43),Projects!$B$43*INDEX(Curves!$B$4:$AR$4,1,5-Projects!$C$43+1),0)+IF(AND(Projects!$G$44="Yes",Projects!$M$44="Yes",5&gt;=Projects!$C$44,5&lt;Projects!$C$44+Projects!$D$44),Projects!$B$44*INDEX(Curves!$B$4:$AR$4,1,5-Projects!$C$44+1),0)+IF(AND(Projects!$G$45="Yes",Projects!$M$45="Yes",5&gt;=Projects!$C$45,5&lt;Projects!$C$45+Projects!$D$45),Projects!$B$45*INDEX(Curves!$B$4:$AR$4,1,5-Projects!$C$45+1),0)+IF(AND(Projects!$G$46="Yes",Projects!$M$46="Yes",5&gt;=Projects!$C$46,5&lt;Projects!$C$46+Projects!$D$46),Projects!$B$46*INDEX(Curves!$B$4:$AR$4,1,5-Projects!$C$46+1),0)</f>
        <v>0</v>
      </c>
      <c r="K101" s="317" t="n">
        <f aca="false">IF(AND(Projects!$G$17="Yes",Projects!$M$17="Yes",6&gt;=Projects!$C$17,6&lt;Projects!$C$17+Projects!$D$17),Projects!$B$17*INDEX(Curves!$B$4:$AR$4,1,6-Projects!$C$17+1),0)+IF(AND(Projects!$G$18="Yes",Projects!$M$18="Yes",6&gt;=Projects!$C$18,6&lt;Projects!$C$18+Projects!$D$18),Projects!$B$18*INDEX(Curves!$B$4:$AR$4,1,6-Projects!$C$18+1),0)+IF(AND(Projects!$G$19="Yes",Projects!$M$19="Yes",6&gt;=Projects!$C$19,6&lt;Projects!$C$19+Projects!$D$19),Projects!$B$19*INDEX(Curves!$B$4:$AR$4,1,6-Projects!$C$19+1),0)+IF(AND(Projects!$G$20="Yes",Projects!$M$20="Yes",6&gt;=Projects!$C$20,6&lt;Projects!$C$20+Projects!$D$20),Projects!$B$20*INDEX(Curves!$B$4:$AR$4,1,6-Projects!$C$20+1),0)+IF(AND(Projects!$G$21="Yes",Projects!$M$21="Yes",6&gt;=Projects!$C$21,6&lt;Projects!$C$21+Projects!$D$21),Projects!$B$21*INDEX(Curves!$B$4:$AR$4,1,6-Projects!$C$21+1),0)+IF(AND(Projects!$G$22="Yes",Projects!$M$22="Yes",6&gt;=Projects!$C$22,6&lt;Projects!$C$22+Projects!$D$22),Projects!$B$22*INDEX(Curves!$B$4:$AR$4,1,6-Projects!$C$22+1),0)+IF(AND(Projects!$G$23="Yes",Projects!$M$23="Yes",6&gt;=Projects!$C$23,6&lt;Projects!$C$23+Projects!$D$23),Projects!$B$23*INDEX(Curves!$B$4:$AR$4,1,6-Projects!$C$23+1),0)+IF(AND(Projects!$G$24="Yes",Projects!$M$24="Yes",6&gt;=Projects!$C$24,6&lt;Projects!$C$24+Projects!$D$24),Projects!$B$24*INDEX(Curves!$B$4:$AR$4,1,6-Projects!$C$24+1),0)+IF(AND(Projects!$G$25="Yes",Projects!$M$25="Yes",6&gt;=Projects!$C$25,6&lt;Projects!$C$25+Projects!$D$25),Projects!$B$25*INDEX(Curves!$B$4:$AR$4,1,6-Projects!$C$25+1),0)+IF(AND(Projects!$G$26="Yes",Projects!$M$26="Yes",6&gt;=Projects!$C$26,6&lt;Projects!$C$26+Projects!$D$26),Projects!$B$26*INDEX(Curves!$B$4:$AR$4,1,6-Projects!$C$26+1),0)+IF(AND(Projects!$G$27="Yes",Projects!$M$27="Yes",6&gt;=Projects!$C$27,6&lt;Projects!$C$27+Projects!$D$27),Projects!$B$27*INDEX(Curves!$B$4:$AR$4,1,6-Projects!$C$27+1),0)+IF(AND(Projects!$G$28="Yes",Projects!$M$28="Yes",6&gt;=Projects!$C$28,6&lt;Projects!$C$28+Projects!$D$28),Projects!$B$28*INDEX(Curves!$B$4:$AR$4,1,6-Projects!$C$28+1),0)+IF(AND(Projects!$G$29="Yes",Projects!$M$29="Yes",6&gt;=Projects!$C$29,6&lt;Projects!$C$29+Projects!$D$29),Projects!$B$29*INDEX(Curves!$B$4:$AR$4,1,6-Projects!$C$29+1),0)+IF(AND(Projects!$G$30="Yes",Projects!$M$30="Yes",6&gt;=Projects!$C$30,6&lt;Projects!$C$30+Projects!$D$30),Projects!$B$30*INDEX(Curves!$B$4:$AR$4,1,6-Projects!$C$30+1),0)+IF(AND(Projects!$G$31="Yes",Projects!$M$31="Yes",6&gt;=Projects!$C$31,6&lt;Projects!$C$31+Projects!$D$31),Projects!$B$31*INDEX(Curves!$B$4:$AR$4,1,6-Projects!$C$31+1),0)+IF(AND(Projects!$G$32="Yes",Projects!$M$32="Yes",6&gt;=Projects!$C$32,6&lt;Projects!$C$32+Projects!$D$32),Projects!$B$32*INDEX(Curves!$B$4:$AR$4,1,6-Projects!$C$32+1),0)+IF(AND(Projects!$G$33="Yes",Projects!$M$33="Yes",6&gt;=Projects!$C$33,6&lt;Projects!$C$33+Projects!$D$33),Projects!$B$33*INDEX(Curves!$B$4:$AR$4,1,6-Projects!$C$33+1),0)+IF(AND(Projects!$G$34="Yes",Projects!$M$34="Yes",6&gt;=Projects!$C$34,6&lt;Projects!$C$34+Projects!$D$34),Projects!$B$34*INDEX(Curves!$B$4:$AR$4,1,6-Projects!$C$34+1),0)+IF(AND(Projects!$G$35="Yes",Projects!$M$35="Yes",6&gt;=Projects!$C$35,6&lt;Projects!$C$35+Projects!$D$35),Projects!$B$35*INDEX(Curves!$B$4:$AR$4,1,6-Projects!$C$35+1),0)+IF(AND(Projects!$G$36="Yes",Projects!$M$36="Yes",6&gt;=Projects!$C$36,6&lt;Projects!$C$36+Projects!$D$36),Projects!$B$36*INDEX(Curves!$B$4:$AR$4,1,6-Projects!$C$36+1),0)+IF(AND(Projects!$G$37="Yes",Projects!$M$37="Yes",6&gt;=Projects!$C$37,6&lt;Projects!$C$37+Projects!$D$37),Projects!$B$37*INDEX(Curves!$B$4:$AR$4,1,6-Projects!$C$37+1),0)+IF(AND(Projects!$G$38="Yes",Projects!$M$38="Yes",6&gt;=Projects!$C$38,6&lt;Projects!$C$38+Projects!$D$38),Projects!$B$38*INDEX(Curves!$B$4:$AR$4,1,6-Projects!$C$38+1),0)+IF(AND(Projects!$G$39="Yes",Projects!$M$39="Yes",6&gt;=Projects!$C$39,6&lt;Projects!$C$39+Projects!$D$39),Projects!$B$39*INDEX(Curves!$B$4:$AR$4,1,6-Projects!$C$39+1),0)+IF(AND(Projects!$G$40="Yes",Projects!$M$40="Yes",6&gt;=Projects!$C$40,6&lt;Projects!$C$40+Projects!$D$40),Projects!$B$40*INDEX(Curves!$B$4:$AR$4,1,6-Projects!$C$40+1),0)+IF(AND(Projects!$G$41="Yes",Projects!$M$41="Yes",6&gt;=Projects!$C$41,6&lt;Projects!$C$41+Projects!$D$41),Projects!$B$41*INDEX(Curves!$B$4:$AR$4,1,6-Projects!$C$41+1),0)+IF(AND(Projects!$G$42="Yes",Projects!$M$42="Yes",6&gt;=Projects!$C$42,6&lt;Projects!$C$42+Projects!$D$42),Projects!$B$42*INDEX(Curves!$B$4:$AR$4,1,6-Projects!$C$42+1),0)+IF(AND(Projects!$G$43="Yes",Projects!$M$43="Yes",6&gt;=Projects!$C$43,6&lt;Projects!$C$43+Projects!$D$43),Projects!$B$43*INDEX(Curves!$B$4:$AR$4,1,6-Projects!$C$43+1),0)+IF(AND(Projects!$G$44="Yes",Projects!$M$44="Yes",6&gt;=Projects!$C$44,6&lt;Projects!$C$44+Projects!$D$44),Projects!$B$44*INDEX(Curves!$B$4:$AR$4,1,6-Projects!$C$44+1),0)+IF(AND(Projects!$G$45="Yes",Projects!$M$45="Yes",6&gt;=Projects!$C$45,6&lt;Projects!$C$45+Projects!$D$45),Projects!$B$45*INDEX(Curves!$B$4:$AR$4,1,6-Projects!$C$45+1),0)+IF(AND(Projects!$G$46="Yes",Projects!$M$46="Yes",6&gt;=Projects!$C$46,6&lt;Projects!$C$46+Projects!$D$46),Projects!$B$46*INDEX(Curves!$B$4:$AR$4,1,6-Projects!$C$46+1),0)</f>
        <v>0</v>
      </c>
      <c r="L101" s="317" t="n">
        <f aca="false">IF(AND(Projects!$G$17="Yes",Projects!$M$17="Yes",7&gt;=Projects!$C$17,7&lt;Projects!$C$17+Projects!$D$17),Projects!$B$17*INDEX(Curves!$B$4:$AR$4,1,7-Projects!$C$17+1),0)+IF(AND(Projects!$G$18="Yes",Projects!$M$18="Yes",7&gt;=Projects!$C$18,7&lt;Projects!$C$18+Projects!$D$18),Projects!$B$18*INDEX(Curves!$B$4:$AR$4,1,7-Projects!$C$18+1),0)+IF(AND(Projects!$G$19="Yes",Projects!$M$19="Yes",7&gt;=Projects!$C$19,7&lt;Projects!$C$19+Projects!$D$19),Projects!$B$19*INDEX(Curves!$B$4:$AR$4,1,7-Projects!$C$19+1),0)+IF(AND(Projects!$G$20="Yes",Projects!$M$20="Yes",7&gt;=Projects!$C$20,7&lt;Projects!$C$20+Projects!$D$20),Projects!$B$20*INDEX(Curves!$B$4:$AR$4,1,7-Projects!$C$20+1),0)+IF(AND(Projects!$G$21="Yes",Projects!$M$21="Yes",7&gt;=Projects!$C$21,7&lt;Projects!$C$21+Projects!$D$21),Projects!$B$21*INDEX(Curves!$B$4:$AR$4,1,7-Projects!$C$21+1),0)+IF(AND(Projects!$G$22="Yes",Projects!$M$22="Yes",7&gt;=Projects!$C$22,7&lt;Projects!$C$22+Projects!$D$22),Projects!$B$22*INDEX(Curves!$B$4:$AR$4,1,7-Projects!$C$22+1),0)+IF(AND(Projects!$G$23="Yes",Projects!$M$23="Yes",7&gt;=Projects!$C$23,7&lt;Projects!$C$23+Projects!$D$23),Projects!$B$23*INDEX(Curves!$B$4:$AR$4,1,7-Projects!$C$23+1),0)+IF(AND(Projects!$G$24="Yes",Projects!$M$24="Yes",7&gt;=Projects!$C$24,7&lt;Projects!$C$24+Projects!$D$24),Projects!$B$24*INDEX(Curves!$B$4:$AR$4,1,7-Projects!$C$24+1),0)+IF(AND(Projects!$G$25="Yes",Projects!$M$25="Yes",7&gt;=Projects!$C$25,7&lt;Projects!$C$25+Projects!$D$25),Projects!$B$25*INDEX(Curves!$B$4:$AR$4,1,7-Projects!$C$25+1),0)+IF(AND(Projects!$G$26="Yes",Projects!$M$26="Yes",7&gt;=Projects!$C$26,7&lt;Projects!$C$26+Projects!$D$26),Projects!$B$26*INDEX(Curves!$B$4:$AR$4,1,7-Projects!$C$26+1),0)+IF(AND(Projects!$G$27="Yes",Projects!$M$27="Yes",7&gt;=Projects!$C$27,7&lt;Projects!$C$27+Projects!$D$27),Projects!$B$27*INDEX(Curves!$B$4:$AR$4,1,7-Projects!$C$27+1),0)+IF(AND(Projects!$G$28="Yes",Projects!$M$28="Yes",7&gt;=Projects!$C$28,7&lt;Projects!$C$28+Projects!$D$28),Projects!$B$28*INDEX(Curves!$B$4:$AR$4,1,7-Projects!$C$28+1),0)+IF(AND(Projects!$G$29="Yes",Projects!$M$29="Yes",7&gt;=Projects!$C$29,7&lt;Projects!$C$29+Projects!$D$29),Projects!$B$29*INDEX(Curves!$B$4:$AR$4,1,7-Projects!$C$29+1),0)+IF(AND(Projects!$G$30="Yes",Projects!$M$30="Yes",7&gt;=Projects!$C$30,7&lt;Projects!$C$30+Projects!$D$30),Projects!$B$30*INDEX(Curves!$B$4:$AR$4,1,7-Projects!$C$30+1),0)+IF(AND(Projects!$G$31="Yes",Projects!$M$31="Yes",7&gt;=Projects!$C$31,7&lt;Projects!$C$31+Projects!$D$31),Projects!$B$31*INDEX(Curves!$B$4:$AR$4,1,7-Projects!$C$31+1),0)+IF(AND(Projects!$G$32="Yes",Projects!$M$32="Yes",7&gt;=Projects!$C$32,7&lt;Projects!$C$32+Projects!$D$32),Projects!$B$32*INDEX(Curves!$B$4:$AR$4,1,7-Projects!$C$32+1),0)+IF(AND(Projects!$G$33="Yes",Projects!$M$33="Yes",7&gt;=Projects!$C$33,7&lt;Projects!$C$33+Projects!$D$33),Projects!$B$33*INDEX(Curves!$B$4:$AR$4,1,7-Projects!$C$33+1),0)+IF(AND(Projects!$G$34="Yes",Projects!$M$34="Yes",7&gt;=Projects!$C$34,7&lt;Projects!$C$34+Projects!$D$34),Projects!$B$34*INDEX(Curves!$B$4:$AR$4,1,7-Projects!$C$34+1),0)+IF(AND(Projects!$G$35="Yes",Projects!$M$35="Yes",7&gt;=Projects!$C$35,7&lt;Projects!$C$35+Projects!$D$35),Projects!$B$35*INDEX(Curves!$B$4:$AR$4,1,7-Projects!$C$35+1),0)+IF(AND(Projects!$G$36="Yes",Projects!$M$36="Yes",7&gt;=Projects!$C$36,7&lt;Projects!$C$36+Projects!$D$36),Projects!$B$36*INDEX(Curves!$B$4:$AR$4,1,7-Projects!$C$36+1),0)+IF(AND(Projects!$G$37="Yes",Projects!$M$37="Yes",7&gt;=Projects!$C$37,7&lt;Projects!$C$37+Projects!$D$37),Projects!$B$37*INDEX(Curves!$B$4:$AR$4,1,7-Projects!$C$37+1),0)+IF(AND(Projects!$G$38="Yes",Projects!$M$38="Yes",7&gt;=Projects!$C$38,7&lt;Projects!$C$38+Projects!$D$38),Projects!$B$38*INDEX(Curves!$B$4:$AR$4,1,7-Projects!$C$38+1),0)+IF(AND(Projects!$G$39="Yes",Projects!$M$39="Yes",7&gt;=Projects!$C$39,7&lt;Projects!$C$39+Projects!$D$39),Projects!$B$39*INDEX(Curves!$B$4:$AR$4,1,7-Projects!$C$39+1),0)+IF(AND(Projects!$G$40="Yes",Projects!$M$40="Yes",7&gt;=Projects!$C$40,7&lt;Projects!$C$40+Projects!$D$40),Projects!$B$40*INDEX(Curves!$B$4:$AR$4,1,7-Projects!$C$40+1),0)+IF(AND(Projects!$G$41="Yes",Projects!$M$41="Yes",7&gt;=Projects!$C$41,7&lt;Projects!$C$41+Projects!$D$41),Projects!$B$41*INDEX(Curves!$B$4:$AR$4,1,7-Projects!$C$41+1),0)+IF(AND(Projects!$G$42="Yes",Projects!$M$42="Yes",7&gt;=Projects!$C$42,7&lt;Projects!$C$42+Projects!$D$42),Projects!$B$42*INDEX(Curves!$B$4:$AR$4,1,7-Projects!$C$42+1),0)+IF(AND(Projects!$G$43="Yes",Projects!$M$43="Yes",7&gt;=Projects!$C$43,7&lt;Projects!$C$43+Projects!$D$43),Projects!$B$43*INDEX(Curves!$B$4:$AR$4,1,7-Projects!$C$43+1),0)+IF(AND(Projects!$G$44="Yes",Projects!$M$44="Yes",7&gt;=Projects!$C$44,7&lt;Projects!$C$44+Projects!$D$44),Projects!$B$44*INDEX(Curves!$B$4:$AR$4,1,7-Projects!$C$44+1),0)+IF(AND(Projects!$G$45="Yes",Projects!$M$45="Yes",7&gt;=Projects!$C$45,7&lt;Projects!$C$45+Projects!$D$45),Projects!$B$45*INDEX(Curves!$B$4:$AR$4,1,7-Projects!$C$45+1),0)+IF(AND(Projects!$G$46="Yes",Projects!$M$46="Yes",7&gt;=Projects!$C$46,7&lt;Projects!$C$46+Projects!$D$46),Projects!$B$46*INDEX(Curves!$B$4:$AR$4,1,7-Projects!$C$46+1),0)</f>
        <v>0</v>
      </c>
      <c r="M101" s="317" t="n">
        <f aca="false">IF(AND(Projects!$G$17="Yes",Projects!$M$17="Yes",8&gt;=Projects!$C$17,8&lt;Projects!$C$17+Projects!$D$17),Projects!$B$17*INDEX(Curves!$B$4:$AR$4,1,8-Projects!$C$17+1),0)+IF(AND(Projects!$G$18="Yes",Projects!$M$18="Yes",8&gt;=Projects!$C$18,8&lt;Projects!$C$18+Projects!$D$18),Projects!$B$18*INDEX(Curves!$B$4:$AR$4,1,8-Projects!$C$18+1),0)+IF(AND(Projects!$G$19="Yes",Projects!$M$19="Yes",8&gt;=Projects!$C$19,8&lt;Projects!$C$19+Projects!$D$19),Projects!$B$19*INDEX(Curves!$B$4:$AR$4,1,8-Projects!$C$19+1),0)+IF(AND(Projects!$G$20="Yes",Projects!$M$20="Yes",8&gt;=Projects!$C$20,8&lt;Projects!$C$20+Projects!$D$20),Projects!$B$20*INDEX(Curves!$B$4:$AR$4,1,8-Projects!$C$20+1),0)+IF(AND(Projects!$G$21="Yes",Projects!$M$21="Yes",8&gt;=Projects!$C$21,8&lt;Projects!$C$21+Projects!$D$21),Projects!$B$21*INDEX(Curves!$B$4:$AR$4,1,8-Projects!$C$21+1),0)+IF(AND(Projects!$G$22="Yes",Projects!$M$22="Yes",8&gt;=Projects!$C$22,8&lt;Projects!$C$22+Projects!$D$22),Projects!$B$22*INDEX(Curves!$B$4:$AR$4,1,8-Projects!$C$22+1),0)+IF(AND(Projects!$G$23="Yes",Projects!$M$23="Yes",8&gt;=Projects!$C$23,8&lt;Projects!$C$23+Projects!$D$23),Projects!$B$23*INDEX(Curves!$B$4:$AR$4,1,8-Projects!$C$23+1),0)+IF(AND(Projects!$G$24="Yes",Projects!$M$24="Yes",8&gt;=Projects!$C$24,8&lt;Projects!$C$24+Projects!$D$24),Projects!$B$24*INDEX(Curves!$B$4:$AR$4,1,8-Projects!$C$24+1),0)+IF(AND(Projects!$G$25="Yes",Projects!$M$25="Yes",8&gt;=Projects!$C$25,8&lt;Projects!$C$25+Projects!$D$25),Projects!$B$25*INDEX(Curves!$B$4:$AR$4,1,8-Projects!$C$25+1),0)+IF(AND(Projects!$G$26="Yes",Projects!$M$26="Yes",8&gt;=Projects!$C$26,8&lt;Projects!$C$26+Projects!$D$26),Projects!$B$26*INDEX(Curves!$B$4:$AR$4,1,8-Projects!$C$26+1),0)+IF(AND(Projects!$G$27="Yes",Projects!$M$27="Yes",8&gt;=Projects!$C$27,8&lt;Projects!$C$27+Projects!$D$27),Projects!$B$27*INDEX(Curves!$B$4:$AR$4,1,8-Projects!$C$27+1),0)+IF(AND(Projects!$G$28="Yes",Projects!$M$28="Yes",8&gt;=Projects!$C$28,8&lt;Projects!$C$28+Projects!$D$28),Projects!$B$28*INDEX(Curves!$B$4:$AR$4,1,8-Projects!$C$28+1),0)+IF(AND(Projects!$G$29="Yes",Projects!$M$29="Yes",8&gt;=Projects!$C$29,8&lt;Projects!$C$29+Projects!$D$29),Projects!$B$29*INDEX(Curves!$B$4:$AR$4,1,8-Projects!$C$29+1),0)+IF(AND(Projects!$G$30="Yes",Projects!$M$30="Yes",8&gt;=Projects!$C$30,8&lt;Projects!$C$30+Projects!$D$30),Projects!$B$30*INDEX(Curves!$B$4:$AR$4,1,8-Projects!$C$30+1),0)+IF(AND(Projects!$G$31="Yes",Projects!$M$31="Yes",8&gt;=Projects!$C$31,8&lt;Projects!$C$31+Projects!$D$31),Projects!$B$31*INDEX(Curves!$B$4:$AR$4,1,8-Projects!$C$31+1),0)+IF(AND(Projects!$G$32="Yes",Projects!$M$32="Yes",8&gt;=Projects!$C$32,8&lt;Projects!$C$32+Projects!$D$32),Projects!$B$32*INDEX(Curves!$B$4:$AR$4,1,8-Projects!$C$32+1),0)+IF(AND(Projects!$G$33="Yes",Projects!$M$33="Yes",8&gt;=Projects!$C$33,8&lt;Projects!$C$33+Projects!$D$33),Projects!$B$33*INDEX(Curves!$B$4:$AR$4,1,8-Projects!$C$33+1),0)+IF(AND(Projects!$G$34="Yes",Projects!$M$34="Yes",8&gt;=Projects!$C$34,8&lt;Projects!$C$34+Projects!$D$34),Projects!$B$34*INDEX(Curves!$B$4:$AR$4,1,8-Projects!$C$34+1),0)+IF(AND(Projects!$G$35="Yes",Projects!$M$35="Yes",8&gt;=Projects!$C$35,8&lt;Projects!$C$35+Projects!$D$35),Projects!$B$35*INDEX(Curves!$B$4:$AR$4,1,8-Projects!$C$35+1),0)+IF(AND(Projects!$G$36="Yes",Projects!$M$36="Yes",8&gt;=Projects!$C$36,8&lt;Projects!$C$36+Projects!$D$36),Projects!$B$36*INDEX(Curves!$B$4:$AR$4,1,8-Projects!$C$36+1),0)+IF(AND(Projects!$G$37="Yes",Projects!$M$37="Yes",8&gt;=Projects!$C$37,8&lt;Projects!$C$37+Projects!$D$37),Projects!$B$37*INDEX(Curves!$B$4:$AR$4,1,8-Projects!$C$37+1),0)+IF(AND(Projects!$G$38="Yes",Projects!$M$38="Yes",8&gt;=Projects!$C$38,8&lt;Projects!$C$38+Projects!$D$38),Projects!$B$38*INDEX(Curves!$B$4:$AR$4,1,8-Projects!$C$38+1),0)+IF(AND(Projects!$G$39="Yes",Projects!$M$39="Yes",8&gt;=Projects!$C$39,8&lt;Projects!$C$39+Projects!$D$39),Projects!$B$39*INDEX(Curves!$B$4:$AR$4,1,8-Projects!$C$39+1),0)+IF(AND(Projects!$G$40="Yes",Projects!$M$40="Yes",8&gt;=Projects!$C$40,8&lt;Projects!$C$40+Projects!$D$40),Projects!$B$40*INDEX(Curves!$B$4:$AR$4,1,8-Projects!$C$40+1),0)+IF(AND(Projects!$G$41="Yes",Projects!$M$41="Yes",8&gt;=Projects!$C$41,8&lt;Projects!$C$41+Projects!$D$41),Projects!$B$41*INDEX(Curves!$B$4:$AR$4,1,8-Projects!$C$41+1),0)+IF(AND(Projects!$G$42="Yes",Projects!$M$42="Yes",8&gt;=Projects!$C$42,8&lt;Projects!$C$42+Projects!$D$42),Projects!$B$42*INDEX(Curves!$B$4:$AR$4,1,8-Projects!$C$42+1),0)+IF(AND(Projects!$G$43="Yes",Projects!$M$43="Yes",8&gt;=Projects!$C$43,8&lt;Projects!$C$43+Projects!$D$43),Projects!$B$43*INDEX(Curves!$B$4:$AR$4,1,8-Projects!$C$43+1),0)+IF(AND(Projects!$G$44="Yes",Projects!$M$44="Yes",8&gt;=Projects!$C$44,8&lt;Projects!$C$44+Projects!$D$44),Projects!$B$44*INDEX(Curves!$B$4:$AR$4,1,8-Projects!$C$44+1),0)+IF(AND(Projects!$G$45="Yes",Projects!$M$45="Yes",8&gt;=Projects!$C$45,8&lt;Projects!$C$45+Projects!$D$45),Projects!$B$45*INDEX(Curves!$B$4:$AR$4,1,8-Projects!$C$45+1),0)+IF(AND(Projects!$G$46="Yes",Projects!$M$46="Yes",8&gt;=Projects!$C$46,8&lt;Projects!$C$46+Projects!$D$46),Projects!$B$46*INDEX(Curves!$B$4:$AR$4,1,8-Projects!$C$46+1),0)</f>
        <v>0</v>
      </c>
      <c r="N101" s="317" t="n">
        <f aca="false">IF(AND(Projects!$G$17="Yes",Projects!$M$17="Yes",9&gt;=Projects!$C$17,9&lt;Projects!$C$17+Projects!$D$17),Projects!$B$17*INDEX(Curves!$B$4:$AR$4,1,9-Projects!$C$17+1),0)+IF(AND(Projects!$G$18="Yes",Projects!$M$18="Yes",9&gt;=Projects!$C$18,9&lt;Projects!$C$18+Projects!$D$18),Projects!$B$18*INDEX(Curves!$B$4:$AR$4,1,9-Projects!$C$18+1),0)+IF(AND(Projects!$G$19="Yes",Projects!$M$19="Yes",9&gt;=Projects!$C$19,9&lt;Projects!$C$19+Projects!$D$19),Projects!$B$19*INDEX(Curves!$B$4:$AR$4,1,9-Projects!$C$19+1),0)+IF(AND(Projects!$G$20="Yes",Projects!$M$20="Yes",9&gt;=Projects!$C$20,9&lt;Projects!$C$20+Projects!$D$20),Projects!$B$20*INDEX(Curves!$B$4:$AR$4,1,9-Projects!$C$20+1),0)+IF(AND(Projects!$G$21="Yes",Projects!$M$21="Yes",9&gt;=Projects!$C$21,9&lt;Projects!$C$21+Projects!$D$21),Projects!$B$21*INDEX(Curves!$B$4:$AR$4,1,9-Projects!$C$21+1),0)+IF(AND(Projects!$G$22="Yes",Projects!$M$22="Yes",9&gt;=Projects!$C$22,9&lt;Projects!$C$22+Projects!$D$22),Projects!$B$22*INDEX(Curves!$B$4:$AR$4,1,9-Projects!$C$22+1),0)+IF(AND(Projects!$G$23="Yes",Projects!$M$23="Yes",9&gt;=Projects!$C$23,9&lt;Projects!$C$23+Projects!$D$23),Projects!$B$23*INDEX(Curves!$B$4:$AR$4,1,9-Projects!$C$23+1),0)+IF(AND(Projects!$G$24="Yes",Projects!$M$24="Yes",9&gt;=Projects!$C$24,9&lt;Projects!$C$24+Projects!$D$24),Projects!$B$24*INDEX(Curves!$B$4:$AR$4,1,9-Projects!$C$24+1),0)+IF(AND(Projects!$G$25="Yes",Projects!$M$25="Yes",9&gt;=Projects!$C$25,9&lt;Projects!$C$25+Projects!$D$25),Projects!$B$25*INDEX(Curves!$B$4:$AR$4,1,9-Projects!$C$25+1),0)+IF(AND(Projects!$G$26="Yes",Projects!$M$26="Yes",9&gt;=Projects!$C$26,9&lt;Projects!$C$26+Projects!$D$26),Projects!$B$26*INDEX(Curves!$B$4:$AR$4,1,9-Projects!$C$26+1),0)+IF(AND(Projects!$G$27="Yes",Projects!$M$27="Yes",9&gt;=Projects!$C$27,9&lt;Projects!$C$27+Projects!$D$27),Projects!$B$27*INDEX(Curves!$B$4:$AR$4,1,9-Projects!$C$27+1),0)+IF(AND(Projects!$G$28="Yes",Projects!$M$28="Yes",9&gt;=Projects!$C$28,9&lt;Projects!$C$28+Projects!$D$28),Projects!$B$28*INDEX(Curves!$B$4:$AR$4,1,9-Projects!$C$28+1),0)+IF(AND(Projects!$G$29="Yes",Projects!$M$29="Yes",9&gt;=Projects!$C$29,9&lt;Projects!$C$29+Projects!$D$29),Projects!$B$29*INDEX(Curves!$B$4:$AR$4,1,9-Projects!$C$29+1),0)+IF(AND(Projects!$G$30="Yes",Projects!$M$30="Yes",9&gt;=Projects!$C$30,9&lt;Projects!$C$30+Projects!$D$30),Projects!$B$30*INDEX(Curves!$B$4:$AR$4,1,9-Projects!$C$30+1),0)+IF(AND(Projects!$G$31="Yes",Projects!$M$31="Yes",9&gt;=Projects!$C$31,9&lt;Projects!$C$31+Projects!$D$31),Projects!$B$31*INDEX(Curves!$B$4:$AR$4,1,9-Projects!$C$31+1),0)+IF(AND(Projects!$G$32="Yes",Projects!$M$32="Yes",9&gt;=Projects!$C$32,9&lt;Projects!$C$32+Projects!$D$32),Projects!$B$32*INDEX(Curves!$B$4:$AR$4,1,9-Projects!$C$32+1),0)+IF(AND(Projects!$G$33="Yes",Projects!$M$33="Yes",9&gt;=Projects!$C$33,9&lt;Projects!$C$33+Projects!$D$33),Projects!$B$33*INDEX(Curves!$B$4:$AR$4,1,9-Projects!$C$33+1),0)+IF(AND(Projects!$G$34="Yes",Projects!$M$34="Yes",9&gt;=Projects!$C$34,9&lt;Projects!$C$34+Projects!$D$34),Projects!$B$34*INDEX(Curves!$B$4:$AR$4,1,9-Projects!$C$34+1),0)+IF(AND(Projects!$G$35="Yes",Projects!$M$35="Yes",9&gt;=Projects!$C$35,9&lt;Projects!$C$35+Projects!$D$35),Projects!$B$35*INDEX(Curves!$B$4:$AR$4,1,9-Projects!$C$35+1),0)+IF(AND(Projects!$G$36="Yes",Projects!$M$36="Yes",9&gt;=Projects!$C$36,9&lt;Projects!$C$36+Projects!$D$36),Projects!$B$36*INDEX(Curves!$B$4:$AR$4,1,9-Projects!$C$36+1),0)+IF(AND(Projects!$G$37="Yes",Projects!$M$37="Yes",9&gt;=Projects!$C$37,9&lt;Projects!$C$37+Projects!$D$37),Projects!$B$37*INDEX(Curves!$B$4:$AR$4,1,9-Projects!$C$37+1),0)+IF(AND(Projects!$G$38="Yes",Projects!$M$38="Yes",9&gt;=Projects!$C$38,9&lt;Projects!$C$38+Projects!$D$38),Projects!$B$38*INDEX(Curves!$B$4:$AR$4,1,9-Projects!$C$38+1),0)+IF(AND(Projects!$G$39="Yes",Projects!$M$39="Yes",9&gt;=Projects!$C$39,9&lt;Projects!$C$39+Projects!$D$39),Projects!$B$39*INDEX(Curves!$B$4:$AR$4,1,9-Projects!$C$39+1),0)+IF(AND(Projects!$G$40="Yes",Projects!$M$40="Yes",9&gt;=Projects!$C$40,9&lt;Projects!$C$40+Projects!$D$40),Projects!$B$40*INDEX(Curves!$B$4:$AR$4,1,9-Projects!$C$40+1),0)+IF(AND(Projects!$G$41="Yes",Projects!$M$41="Yes",9&gt;=Projects!$C$41,9&lt;Projects!$C$41+Projects!$D$41),Projects!$B$41*INDEX(Curves!$B$4:$AR$4,1,9-Projects!$C$41+1),0)+IF(AND(Projects!$G$42="Yes",Projects!$M$42="Yes",9&gt;=Projects!$C$42,9&lt;Projects!$C$42+Projects!$D$42),Projects!$B$42*INDEX(Curves!$B$4:$AR$4,1,9-Projects!$C$42+1),0)+IF(AND(Projects!$G$43="Yes",Projects!$M$43="Yes",9&gt;=Projects!$C$43,9&lt;Projects!$C$43+Projects!$D$43),Projects!$B$43*INDEX(Curves!$B$4:$AR$4,1,9-Projects!$C$43+1),0)+IF(AND(Projects!$G$44="Yes",Projects!$M$44="Yes",9&gt;=Projects!$C$44,9&lt;Projects!$C$44+Projects!$D$44),Projects!$B$44*INDEX(Curves!$B$4:$AR$4,1,9-Projects!$C$44+1),0)+IF(AND(Projects!$G$45="Yes",Projects!$M$45="Yes",9&gt;=Projects!$C$45,9&lt;Projects!$C$45+Projects!$D$45),Projects!$B$45*INDEX(Curves!$B$4:$AR$4,1,9-Projects!$C$45+1),0)+IF(AND(Projects!$G$46="Yes",Projects!$M$46="Yes",9&gt;=Projects!$C$46,9&lt;Projects!$C$46+Projects!$D$46),Projects!$B$46*INDEX(Curves!$B$4:$AR$4,1,9-Projects!$C$46+1),0)</f>
        <v>0</v>
      </c>
      <c r="O101" s="317" t="n">
        <f aca="false">IF(AND(Projects!$G$17="Yes",Projects!$M$17="Yes",10&gt;=Projects!$C$17,10&lt;Projects!$C$17+Projects!$D$17),Projects!$B$17*INDEX(Curves!$B$4:$AR$4,1,10-Projects!$C$17+1),0)+IF(AND(Projects!$G$18="Yes",Projects!$M$18="Yes",10&gt;=Projects!$C$18,10&lt;Projects!$C$18+Projects!$D$18),Projects!$B$18*INDEX(Curves!$B$4:$AR$4,1,10-Projects!$C$18+1),0)+IF(AND(Projects!$G$19="Yes",Projects!$M$19="Yes",10&gt;=Projects!$C$19,10&lt;Projects!$C$19+Projects!$D$19),Projects!$B$19*INDEX(Curves!$B$4:$AR$4,1,10-Projects!$C$19+1),0)+IF(AND(Projects!$G$20="Yes",Projects!$M$20="Yes",10&gt;=Projects!$C$20,10&lt;Projects!$C$20+Projects!$D$20),Projects!$B$20*INDEX(Curves!$B$4:$AR$4,1,10-Projects!$C$20+1),0)+IF(AND(Projects!$G$21="Yes",Projects!$M$21="Yes",10&gt;=Projects!$C$21,10&lt;Projects!$C$21+Projects!$D$21),Projects!$B$21*INDEX(Curves!$B$4:$AR$4,1,10-Projects!$C$21+1),0)+IF(AND(Projects!$G$22="Yes",Projects!$M$22="Yes",10&gt;=Projects!$C$22,10&lt;Projects!$C$22+Projects!$D$22),Projects!$B$22*INDEX(Curves!$B$4:$AR$4,1,10-Projects!$C$22+1),0)+IF(AND(Projects!$G$23="Yes",Projects!$M$23="Yes",10&gt;=Projects!$C$23,10&lt;Projects!$C$23+Projects!$D$23),Projects!$B$23*INDEX(Curves!$B$4:$AR$4,1,10-Projects!$C$23+1),0)+IF(AND(Projects!$G$24="Yes",Projects!$M$24="Yes",10&gt;=Projects!$C$24,10&lt;Projects!$C$24+Projects!$D$24),Projects!$B$24*INDEX(Curves!$B$4:$AR$4,1,10-Projects!$C$24+1),0)+IF(AND(Projects!$G$25="Yes",Projects!$M$25="Yes",10&gt;=Projects!$C$25,10&lt;Projects!$C$25+Projects!$D$25),Projects!$B$25*INDEX(Curves!$B$4:$AR$4,1,10-Projects!$C$25+1),0)+IF(AND(Projects!$G$26="Yes",Projects!$M$26="Yes",10&gt;=Projects!$C$26,10&lt;Projects!$C$26+Projects!$D$26),Projects!$B$26*INDEX(Curves!$B$4:$AR$4,1,10-Projects!$C$26+1),0)+IF(AND(Projects!$G$27="Yes",Projects!$M$27="Yes",10&gt;=Projects!$C$27,10&lt;Projects!$C$27+Projects!$D$27),Projects!$B$27*INDEX(Curves!$B$4:$AR$4,1,10-Projects!$C$27+1),0)+IF(AND(Projects!$G$28="Yes",Projects!$M$28="Yes",10&gt;=Projects!$C$28,10&lt;Projects!$C$28+Projects!$D$28),Projects!$B$28*INDEX(Curves!$B$4:$AR$4,1,10-Projects!$C$28+1),0)+IF(AND(Projects!$G$29="Yes",Projects!$M$29="Yes",10&gt;=Projects!$C$29,10&lt;Projects!$C$29+Projects!$D$29),Projects!$B$29*INDEX(Curves!$B$4:$AR$4,1,10-Projects!$C$29+1),0)+IF(AND(Projects!$G$30="Yes",Projects!$M$30="Yes",10&gt;=Projects!$C$30,10&lt;Projects!$C$30+Projects!$D$30),Projects!$B$30*INDEX(Curves!$B$4:$AR$4,1,10-Projects!$C$30+1),0)+IF(AND(Projects!$G$31="Yes",Projects!$M$31="Yes",10&gt;=Projects!$C$31,10&lt;Projects!$C$31+Projects!$D$31),Projects!$B$31*INDEX(Curves!$B$4:$AR$4,1,10-Projects!$C$31+1),0)+IF(AND(Projects!$G$32="Yes",Projects!$M$32="Yes",10&gt;=Projects!$C$32,10&lt;Projects!$C$32+Projects!$D$32),Projects!$B$32*INDEX(Curves!$B$4:$AR$4,1,10-Projects!$C$32+1),0)+IF(AND(Projects!$G$33="Yes",Projects!$M$33="Yes",10&gt;=Projects!$C$33,10&lt;Projects!$C$33+Projects!$D$33),Projects!$B$33*INDEX(Curves!$B$4:$AR$4,1,10-Projects!$C$33+1),0)+IF(AND(Projects!$G$34="Yes",Projects!$M$34="Yes",10&gt;=Projects!$C$34,10&lt;Projects!$C$34+Projects!$D$34),Projects!$B$34*INDEX(Curves!$B$4:$AR$4,1,10-Projects!$C$34+1),0)+IF(AND(Projects!$G$35="Yes",Projects!$M$35="Yes",10&gt;=Projects!$C$35,10&lt;Projects!$C$35+Projects!$D$35),Projects!$B$35*INDEX(Curves!$B$4:$AR$4,1,10-Projects!$C$35+1),0)+IF(AND(Projects!$G$36="Yes",Projects!$M$36="Yes",10&gt;=Projects!$C$36,10&lt;Projects!$C$36+Projects!$D$36),Projects!$B$36*INDEX(Curves!$B$4:$AR$4,1,10-Projects!$C$36+1),0)+IF(AND(Projects!$G$37="Yes",Projects!$M$37="Yes",10&gt;=Projects!$C$37,10&lt;Projects!$C$37+Projects!$D$37),Projects!$B$37*INDEX(Curves!$B$4:$AR$4,1,10-Projects!$C$37+1),0)+IF(AND(Projects!$G$38="Yes",Projects!$M$38="Yes",10&gt;=Projects!$C$38,10&lt;Projects!$C$38+Projects!$D$38),Projects!$B$38*INDEX(Curves!$B$4:$AR$4,1,10-Projects!$C$38+1),0)+IF(AND(Projects!$G$39="Yes",Projects!$M$39="Yes",10&gt;=Projects!$C$39,10&lt;Projects!$C$39+Projects!$D$39),Projects!$B$39*INDEX(Curves!$B$4:$AR$4,1,10-Projects!$C$39+1),0)+IF(AND(Projects!$G$40="Yes",Projects!$M$40="Yes",10&gt;=Projects!$C$40,10&lt;Projects!$C$40+Projects!$D$40),Projects!$B$40*INDEX(Curves!$B$4:$AR$4,1,10-Projects!$C$40+1),0)+IF(AND(Projects!$G$41="Yes",Projects!$M$41="Yes",10&gt;=Projects!$C$41,10&lt;Projects!$C$41+Projects!$D$41),Projects!$B$41*INDEX(Curves!$B$4:$AR$4,1,10-Projects!$C$41+1),0)+IF(AND(Projects!$G$42="Yes",Projects!$M$42="Yes",10&gt;=Projects!$C$42,10&lt;Projects!$C$42+Projects!$D$42),Projects!$B$42*INDEX(Curves!$B$4:$AR$4,1,10-Projects!$C$42+1),0)+IF(AND(Projects!$G$43="Yes",Projects!$M$43="Yes",10&gt;=Projects!$C$43,10&lt;Projects!$C$43+Projects!$D$43),Projects!$B$43*INDEX(Curves!$B$4:$AR$4,1,10-Projects!$C$43+1),0)+IF(AND(Projects!$G$44="Yes",Projects!$M$44="Yes",10&gt;=Projects!$C$44,10&lt;Projects!$C$44+Projects!$D$44),Projects!$B$44*INDEX(Curves!$B$4:$AR$4,1,10-Projects!$C$44+1),0)+IF(AND(Projects!$G$45="Yes",Projects!$M$45="Yes",10&gt;=Projects!$C$45,10&lt;Projects!$C$45+Projects!$D$45),Projects!$B$45*INDEX(Curves!$B$4:$AR$4,1,10-Projects!$C$45+1),0)+IF(AND(Projects!$G$46="Yes",Projects!$M$46="Yes",10&gt;=Projects!$C$46,10&lt;Projects!$C$46+Projects!$D$46),Projects!$B$46*INDEX(Curves!$B$4:$AR$4,1,10-Projects!$C$46+1),0)</f>
        <v>402780.20352375</v>
      </c>
      <c r="P101" s="317" t="n">
        <f aca="false">IF(AND(Projects!$G$17="Yes",Projects!$M$17="Yes",11&gt;=Projects!$C$17,11&lt;Projects!$C$17+Projects!$D$17),Projects!$B$17*INDEX(Curves!$B$4:$AR$4,1,11-Projects!$C$17+1),0)+IF(AND(Projects!$G$18="Yes",Projects!$M$18="Yes",11&gt;=Projects!$C$18,11&lt;Projects!$C$18+Projects!$D$18),Projects!$B$18*INDEX(Curves!$B$4:$AR$4,1,11-Projects!$C$18+1),0)+IF(AND(Projects!$G$19="Yes",Projects!$M$19="Yes",11&gt;=Projects!$C$19,11&lt;Projects!$C$19+Projects!$D$19),Projects!$B$19*INDEX(Curves!$B$4:$AR$4,1,11-Projects!$C$19+1),0)+IF(AND(Projects!$G$20="Yes",Projects!$M$20="Yes",11&gt;=Projects!$C$20,11&lt;Projects!$C$20+Projects!$D$20),Projects!$B$20*INDEX(Curves!$B$4:$AR$4,1,11-Projects!$C$20+1),0)+IF(AND(Projects!$G$21="Yes",Projects!$M$21="Yes",11&gt;=Projects!$C$21,11&lt;Projects!$C$21+Projects!$D$21),Projects!$B$21*INDEX(Curves!$B$4:$AR$4,1,11-Projects!$C$21+1),0)+IF(AND(Projects!$G$22="Yes",Projects!$M$22="Yes",11&gt;=Projects!$C$22,11&lt;Projects!$C$22+Projects!$D$22),Projects!$B$22*INDEX(Curves!$B$4:$AR$4,1,11-Projects!$C$22+1),0)+IF(AND(Projects!$G$23="Yes",Projects!$M$23="Yes",11&gt;=Projects!$C$23,11&lt;Projects!$C$23+Projects!$D$23),Projects!$B$23*INDEX(Curves!$B$4:$AR$4,1,11-Projects!$C$23+1),0)+IF(AND(Projects!$G$24="Yes",Projects!$M$24="Yes",11&gt;=Projects!$C$24,11&lt;Projects!$C$24+Projects!$D$24),Projects!$B$24*INDEX(Curves!$B$4:$AR$4,1,11-Projects!$C$24+1),0)+IF(AND(Projects!$G$25="Yes",Projects!$M$25="Yes",11&gt;=Projects!$C$25,11&lt;Projects!$C$25+Projects!$D$25),Projects!$B$25*INDEX(Curves!$B$4:$AR$4,1,11-Projects!$C$25+1),0)+IF(AND(Projects!$G$26="Yes",Projects!$M$26="Yes",11&gt;=Projects!$C$26,11&lt;Projects!$C$26+Projects!$D$26),Projects!$B$26*INDEX(Curves!$B$4:$AR$4,1,11-Projects!$C$26+1),0)+IF(AND(Projects!$G$27="Yes",Projects!$M$27="Yes",11&gt;=Projects!$C$27,11&lt;Projects!$C$27+Projects!$D$27),Projects!$B$27*INDEX(Curves!$B$4:$AR$4,1,11-Projects!$C$27+1),0)+IF(AND(Projects!$G$28="Yes",Projects!$M$28="Yes",11&gt;=Projects!$C$28,11&lt;Projects!$C$28+Projects!$D$28),Projects!$B$28*INDEX(Curves!$B$4:$AR$4,1,11-Projects!$C$28+1),0)+IF(AND(Projects!$G$29="Yes",Projects!$M$29="Yes",11&gt;=Projects!$C$29,11&lt;Projects!$C$29+Projects!$D$29),Projects!$B$29*INDEX(Curves!$B$4:$AR$4,1,11-Projects!$C$29+1),0)+IF(AND(Projects!$G$30="Yes",Projects!$M$30="Yes",11&gt;=Projects!$C$30,11&lt;Projects!$C$30+Projects!$D$30),Projects!$B$30*INDEX(Curves!$B$4:$AR$4,1,11-Projects!$C$30+1),0)+IF(AND(Projects!$G$31="Yes",Projects!$M$31="Yes",11&gt;=Projects!$C$31,11&lt;Projects!$C$31+Projects!$D$31),Projects!$B$31*INDEX(Curves!$B$4:$AR$4,1,11-Projects!$C$31+1),0)+IF(AND(Projects!$G$32="Yes",Projects!$M$32="Yes",11&gt;=Projects!$C$32,11&lt;Projects!$C$32+Projects!$D$32),Projects!$B$32*INDEX(Curves!$B$4:$AR$4,1,11-Projects!$C$32+1),0)+IF(AND(Projects!$G$33="Yes",Projects!$M$33="Yes",11&gt;=Projects!$C$33,11&lt;Projects!$C$33+Projects!$D$33),Projects!$B$33*INDEX(Curves!$B$4:$AR$4,1,11-Projects!$C$33+1),0)+IF(AND(Projects!$G$34="Yes",Projects!$M$34="Yes",11&gt;=Projects!$C$34,11&lt;Projects!$C$34+Projects!$D$34),Projects!$B$34*INDEX(Curves!$B$4:$AR$4,1,11-Projects!$C$34+1),0)+IF(AND(Projects!$G$35="Yes",Projects!$M$35="Yes",11&gt;=Projects!$C$35,11&lt;Projects!$C$35+Projects!$D$35),Projects!$B$35*INDEX(Curves!$B$4:$AR$4,1,11-Projects!$C$35+1),0)+IF(AND(Projects!$G$36="Yes",Projects!$M$36="Yes",11&gt;=Projects!$C$36,11&lt;Projects!$C$36+Projects!$D$36),Projects!$B$36*INDEX(Curves!$B$4:$AR$4,1,11-Projects!$C$36+1),0)+IF(AND(Projects!$G$37="Yes",Projects!$M$37="Yes",11&gt;=Projects!$C$37,11&lt;Projects!$C$37+Projects!$D$37),Projects!$B$37*INDEX(Curves!$B$4:$AR$4,1,11-Projects!$C$37+1),0)+IF(AND(Projects!$G$38="Yes",Projects!$M$38="Yes",11&gt;=Projects!$C$38,11&lt;Projects!$C$38+Projects!$D$38),Projects!$B$38*INDEX(Curves!$B$4:$AR$4,1,11-Projects!$C$38+1),0)+IF(AND(Projects!$G$39="Yes",Projects!$M$39="Yes",11&gt;=Projects!$C$39,11&lt;Projects!$C$39+Projects!$D$39),Projects!$B$39*INDEX(Curves!$B$4:$AR$4,1,11-Projects!$C$39+1),0)+IF(AND(Projects!$G$40="Yes",Projects!$M$40="Yes",11&gt;=Projects!$C$40,11&lt;Projects!$C$40+Projects!$D$40),Projects!$B$40*INDEX(Curves!$B$4:$AR$4,1,11-Projects!$C$40+1),0)+IF(AND(Projects!$G$41="Yes",Projects!$M$41="Yes",11&gt;=Projects!$C$41,11&lt;Projects!$C$41+Projects!$D$41),Projects!$B$41*INDEX(Curves!$B$4:$AR$4,1,11-Projects!$C$41+1),0)+IF(AND(Projects!$G$42="Yes",Projects!$M$42="Yes",11&gt;=Projects!$C$42,11&lt;Projects!$C$42+Projects!$D$42),Projects!$B$42*INDEX(Curves!$B$4:$AR$4,1,11-Projects!$C$42+1),0)+IF(AND(Projects!$G$43="Yes",Projects!$M$43="Yes",11&gt;=Projects!$C$43,11&lt;Projects!$C$43+Projects!$D$43),Projects!$B$43*INDEX(Curves!$B$4:$AR$4,1,11-Projects!$C$43+1),0)+IF(AND(Projects!$G$44="Yes",Projects!$M$44="Yes",11&gt;=Projects!$C$44,11&lt;Projects!$C$44+Projects!$D$44),Projects!$B$44*INDEX(Curves!$B$4:$AR$4,1,11-Projects!$C$44+1),0)+IF(AND(Projects!$G$45="Yes",Projects!$M$45="Yes",11&gt;=Projects!$C$45,11&lt;Projects!$C$45+Projects!$D$45),Projects!$B$45*INDEX(Curves!$B$4:$AR$4,1,11-Projects!$C$45+1),0)+IF(AND(Projects!$G$46="Yes",Projects!$M$46="Yes",11&gt;=Projects!$C$46,11&lt;Projects!$C$46+Projects!$D$46),Projects!$B$46*INDEX(Curves!$B$4:$AR$4,1,11-Projects!$C$46+1),0)</f>
        <v>497623.49615875</v>
      </c>
      <c r="Q101" s="317" t="n">
        <f aca="false">IF(AND(Projects!$G$17="Yes",Projects!$M$17="Yes",12&gt;=Projects!$C$17,12&lt;Projects!$C$17+Projects!$D$17),Projects!$B$17*INDEX(Curves!$B$4:$AR$4,1,12-Projects!$C$17+1),0)+IF(AND(Projects!$G$18="Yes",Projects!$M$18="Yes",12&gt;=Projects!$C$18,12&lt;Projects!$C$18+Projects!$D$18),Projects!$B$18*INDEX(Curves!$B$4:$AR$4,1,12-Projects!$C$18+1),0)+IF(AND(Projects!$G$19="Yes",Projects!$M$19="Yes",12&gt;=Projects!$C$19,12&lt;Projects!$C$19+Projects!$D$19),Projects!$B$19*INDEX(Curves!$B$4:$AR$4,1,12-Projects!$C$19+1),0)+IF(AND(Projects!$G$20="Yes",Projects!$M$20="Yes",12&gt;=Projects!$C$20,12&lt;Projects!$C$20+Projects!$D$20),Projects!$B$20*INDEX(Curves!$B$4:$AR$4,1,12-Projects!$C$20+1),0)+IF(AND(Projects!$G$21="Yes",Projects!$M$21="Yes",12&gt;=Projects!$C$21,12&lt;Projects!$C$21+Projects!$D$21),Projects!$B$21*INDEX(Curves!$B$4:$AR$4,1,12-Projects!$C$21+1),0)+IF(AND(Projects!$G$22="Yes",Projects!$M$22="Yes",12&gt;=Projects!$C$22,12&lt;Projects!$C$22+Projects!$D$22),Projects!$B$22*INDEX(Curves!$B$4:$AR$4,1,12-Projects!$C$22+1),0)+IF(AND(Projects!$G$23="Yes",Projects!$M$23="Yes",12&gt;=Projects!$C$23,12&lt;Projects!$C$23+Projects!$D$23),Projects!$B$23*INDEX(Curves!$B$4:$AR$4,1,12-Projects!$C$23+1),0)+IF(AND(Projects!$G$24="Yes",Projects!$M$24="Yes",12&gt;=Projects!$C$24,12&lt;Projects!$C$24+Projects!$D$24),Projects!$B$24*INDEX(Curves!$B$4:$AR$4,1,12-Projects!$C$24+1),0)+IF(AND(Projects!$G$25="Yes",Projects!$M$25="Yes",12&gt;=Projects!$C$25,12&lt;Projects!$C$25+Projects!$D$25),Projects!$B$25*INDEX(Curves!$B$4:$AR$4,1,12-Projects!$C$25+1),0)+IF(AND(Projects!$G$26="Yes",Projects!$M$26="Yes",12&gt;=Projects!$C$26,12&lt;Projects!$C$26+Projects!$D$26),Projects!$B$26*INDEX(Curves!$B$4:$AR$4,1,12-Projects!$C$26+1),0)+IF(AND(Projects!$G$27="Yes",Projects!$M$27="Yes",12&gt;=Projects!$C$27,12&lt;Projects!$C$27+Projects!$D$27),Projects!$B$27*INDEX(Curves!$B$4:$AR$4,1,12-Projects!$C$27+1),0)+IF(AND(Projects!$G$28="Yes",Projects!$M$28="Yes",12&gt;=Projects!$C$28,12&lt;Projects!$C$28+Projects!$D$28),Projects!$B$28*INDEX(Curves!$B$4:$AR$4,1,12-Projects!$C$28+1),0)+IF(AND(Projects!$G$29="Yes",Projects!$M$29="Yes",12&gt;=Projects!$C$29,12&lt;Projects!$C$29+Projects!$D$29),Projects!$B$29*INDEX(Curves!$B$4:$AR$4,1,12-Projects!$C$29+1),0)+IF(AND(Projects!$G$30="Yes",Projects!$M$30="Yes",12&gt;=Projects!$C$30,12&lt;Projects!$C$30+Projects!$D$30),Projects!$B$30*INDEX(Curves!$B$4:$AR$4,1,12-Projects!$C$30+1),0)+IF(AND(Projects!$G$31="Yes",Projects!$M$31="Yes",12&gt;=Projects!$C$31,12&lt;Projects!$C$31+Projects!$D$31),Projects!$B$31*INDEX(Curves!$B$4:$AR$4,1,12-Projects!$C$31+1),0)+IF(AND(Projects!$G$32="Yes",Projects!$M$32="Yes",12&gt;=Projects!$C$32,12&lt;Projects!$C$32+Projects!$D$32),Projects!$B$32*INDEX(Curves!$B$4:$AR$4,1,12-Projects!$C$32+1),0)+IF(AND(Projects!$G$33="Yes",Projects!$M$33="Yes",12&gt;=Projects!$C$33,12&lt;Projects!$C$33+Projects!$D$33),Projects!$B$33*INDEX(Curves!$B$4:$AR$4,1,12-Projects!$C$33+1),0)+IF(AND(Projects!$G$34="Yes",Projects!$M$34="Yes",12&gt;=Projects!$C$34,12&lt;Projects!$C$34+Projects!$D$34),Projects!$B$34*INDEX(Curves!$B$4:$AR$4,1,12-Projects!$C$34+1),0)+IF(AND(Projects!$G$35="Yes",Projects!$M$35="Yes",12&gt;=Projects!$C$35,12&lt;Projects!$C$35+Projects!$D$35),Projects!$B$35*INDEX(Curves!$B$4:$AR$4,1,12-Projects!$C$35+1),0)+IF(AND(Projects!$G$36="Yes",Projects!$M$36="Yes",12&gt;=Projects!$C$36,12&lt;Projects!$C$36+Projects!$D$36),Projects!$B$36*INDEX(Curves!$B$4:$AR$4,1,12-Projects!$C$36+1),0)+IF(AND(Projects!$G$37="Yes",Projects!$M$37="Yes",12&gt;=Projects!$C$37,12&lt;Projects!$C$37+Projects!$D$37),Projects!$B$37*INDEX(Curves!$B$4:$AR$4,1,12-Projects!$C$37+1),0)+IF(AND(Projects!$G$38="Yes",Projects!$M$38="Yes",12&gt;=Projects!$C$38,12&lt;Projects!$C$38+Projects!$D$38),Projects!$B$38*INDEX(Curves!$B$4:$AR$4,1,12-Projects!$C$38+1),0)+IF(AND(Projects!$G$39="Yes",Projects!$M$39="Yes",12&gt;=Projects!$C$39,12&lt;Projects!$C$39+Projects!$D$39),Projects!$B$39*INDEX(Curves!$B$4:$AR$4,1,12-Projects!$C$39+1),0)+IF(AND(Projects!$G$40="Yes",Projects!$M$40="Yes",12&gt;=Projects!$C$40,12&lt;Projects!$C$40+Projects!$D$40),Projects!$B$40*INDEX(Curves!$B$4:$AR$4,1,12-Projects!$C$40+1),0)+IF(AND(Projects!$G$41="Yes",Projects!$M$41="Yes",12&gt;=Projects!$C$41,12&lt;Projects!$C$41+Projects!$D$41),Projects!$B$41*INDEX(Curves!$B$4:$AR$4,1,12-Projects!$C$41+1),0)+IF(AND(Projects!$G$42="Yes",Projects!$M$42="Yes",12&gt;=Projects!$C$42,12&lt;Projects!$C$42+Projects!$D$42),Projects!$B$42*INDEX(Curves!$B$4:$AR$4,1,12-Projects!$C$42+1),0)+IF(AND(Projects!$G$43="Yes",Projects!$M$43="Yes",12&gt;=Projects!$C$43,12&lt;Projects!$C$43+Projects!$D$43),Projects!$B$43*INDEX(Curves!$B$4:$AR$4,1,12-Projects!$C$43+1),0)+IF(AND(Projects!$G$44="Yes",Projects!$M$44="Yes",12&gt;=Projects!$C$44,12&lt;Projects!$C$44+Projects!$D$44),Projects!$B$44*INDEX(Curves!$B$4:$AR$4,1,12-Projects!$C$44+1),0)+IF(AND(Projects!$G$45="Yes",Projects!$M$45="Yes",12&gt;=Projects!$C$45,12&lt;Projects!$C$45+Projects!$D$45),Projects!$B$45*INDEX(Curves!$B$4:$AR$4,1,12-Projects!$C$45+1),0)+IF(AND(Projects!$G$46="Yes",Projects!$M$46="Yes",12&gt;=Projects!$C$46,12&lt;Projects!$C$46+Projects!$D$46),Projects!$B$46*INDEX(Curves!$B$4:$AR$4,1,12-Projects!$C$46+1),0)</f>
        <v>599712.1844675</v>
      </c>
      <c r="R101" s="317" t="n">
        <f aca="false">IF(AND(Projects!$G$17="Yes",Projects!$M$17="Yes",13&gt;=Projects!$C$17,13&lt;Projects!$C$17+Projects!$D$17),Projects!$B$17*INDEX(Curves!$B$4:$AR$4,1,13-Projects!$C$17+1),0)+IF(AND(Projects!$G$18="Yes",Projects!$M$18="Yes",13&gt;=Projects!$C$18,13&lt;Projects!$C$18+Projects!$D$18),Projects!$B$18*INDEX(Curves!$B$4:$AR$4,1,13-Projects!$C$18+1),0)+IF(AND(Projects!$G$19="Yes",Projects!$M$19="Yes",13&gt;=Projects!$C$19,13&lt;Projects!$C$19+Projects!$D$19),Projects!$B$19*INDEX(Curves!$B$4:$AR$4,1,13-Projects!$C$19+1),0)+IF(AND(Projects!$G$20="Yes",Projects!$M$20="Yes",13&gt;=Projects!$C$20,13&lt;Projects!$C$20+Projects!$D$20),Projects!$B$20*INDEX(Curves!$B$4:$AR$4,1,13-Projects!$C$20+1),0)+IF(AND(Projects!$G$21="Yes",Projects!$M$21="Yes",13&gt;=Projects!$C$21,13&lt;Projects!$C$21+Projects!$D$21),Projects!$B$21*INDEX(Curves!$B$4:$AR$4,1,13-Projects!$C$21+1),0)+IF(AND(Projects!$G$22="Yes",Projects!$M$22="Yes",13&gt;=Projects!$C$22,13&lt;Projects!$C$22+Projects!$D$22),Projects!$B$22*INDEX(Curves!$B$4:$AR$4,1,13-Projects!$C$22+1),0)+IF(AND(Projects!$G$23="Yes",Projects!$M$23="Yes",13&gt;=Projects!$C$23,13&lt;Projects!$C$23+Projects!$D$23),Projects!$B$23*INDEX(Curves!$B$4:$AR$4,1,13-Projects!$C$23+1),0)+IF(AND(Projects!$G$24="Yes",Projects!$M$24="Yes",13&gt;=Projects!$C$24,13&lt;Projects!$C$24+Projects!$D$24),Projects!$B$24*INDEX(Curves!$B$4:$AR$4,1,13-Projects!$C$24+1),0)+IF(AND(Projects!$G$25="Yes",Projects!$M$25="Yes",13&gt;=Projects!$C$25,13&lt;Projects!$C$25+Projects!$D$25),Projects!$B$25*INDEX(Curves!$B$4:$AR$4,1,13-Projects!$C$25+1),0)+IF(AND(Projects!$G$26="Yes",Projects!$M$26="Yes",13&gt;=Projects!$C$26,13&lt;Projects!$C$26+Projects!$D$26),Projects!$B$26*INDEX(Curves!$B$4:$AR$4,1,13-Projects!$C$26+1),0)+IF(AND(Projects!$G$27="Yes",Projects!$M$27="Yes",13&gt;=Projects!$C$27,13&lt;Projects!$C$27+Projects!$D$27),Projects!$B$27*INDEX(Curves!$B$4:$AR$4,1,13-Projects!$C$27+1),0)+IF(AND(Projects!$G$28="Yes",Projects!$M$28="Yes",13&gt;=Projects!$C$28,13&lt;Projects!$C$28+Projects!$D$28),Projects!$B$28*INDEX(Curves!$B$4:$AR$4,1,13-Projects!$C$28+1),0)+IF(AND(Projects!$G$29="Yes",Projects!$M$29="Yes",13&gt;=Projects!$C$29,13&lt;Projects!$C$29+Projects!$D$29),Projects!$B$29*INDEX(Curves!$B$4:$AR$4,1,13-Projects!$C$29+1),0)+IF(AND(Projects!$G$30="Yes",Projects!$M$30="Yes",13&gt;=Projects!$C$30,13&lt;Projects!$C$30+Projects!$D$30),Projects!$B$30*INDEX(Curves!$B$4:$AR$4,1,13-Projects!$C$30+1),0)+IF(AND(Projects!$G$31="Yes",Projects!$M$31="Yes",13&gt;=Projects!$C$31,13&lt;Projects!$C$31+Projects!$D$31),Projects!$B$31*INDEX(Curves!$B$4:$AR$4,1,13-Projects!$C$31+1),0)+IF(AND(Projects!$G$32="Yes",Projects!$M$32="Yes",13&gt;=Projects!$C$32,13&lt;Projects!$C$32+Projects!$D$32),Projects!$B$32*INDEX(Curves!$B$4:$AR$4,1,13-Projects!$C$32+1),0)+IF(AND(Projects!$G$33="Yes",Projects!$M$33="Yes",13&gt;=Projects!$C$33,13&lt;Projects!$C$33+Projects!$D$33),Projects!$B$33*INDEX(Curves!$B$4:$AR$4,1,13-Projects!$C$33+1),0)+IF(AND(Projects!$G$34="Yes",Projects!$M$34="Yes",13&gt;=Projects!$C$34,13&lt;Projects!$C$34+Projects!$D$34),Projects!$B$34*INDEX(Curves!$B$4:$AR$4,1,13-Projects!$C$34+1),0)+IF(AND(Projects!$G$35="Yes",Projects!$M$35="Yes",13&gt;=Projects!$C$35,13&lt;Projects!$C$35+Projects!$D$35),Projects!$B$35*INDEX(Curves!$B$4:$AR$4,1,13-Projects!$C$35+1),0)+IF(AND(Projects!$G$36="Yes",Projects!$M$36="Yes",13&gt;=Projects!$C$36,13&lt;Projects!$C$36+Projects!$D$36),Projects!$B$36*INDEX(Curves!$B$4:$AR$4,1,13-Projects!$C$36+1),0)+IF(AND(Projects!$G$37="Yes",Projects!$M$37="Yes",13&gt;=Projects!$C$37,13&lt;Projects!$C$37+Projects!$D$37),Projects!$B$37*INDEX(Curves!$B$4:$AR$4,1,13-Projects!$C$37+1),0)+IF(AND(Projects!$G$38="Yes",Projects!$M$38="Yes",13&gt;=Projects!$C$38,13&lt;Projects!$C$38+Projects!$D$38),Projects!$B$38*INDEX(Curves!$B$4:$AR$4,1,13-Projects!$C$38+1),0)+IF(AND(Projects!$G$39="Yes",Projects!$M$39="Yes",13&gt;=Projects!$C$39,13&lt;Projects!$C$39+Projects!$D$39),Projects!$B$39*INDEX(Curves!$B$4:$AR$4,1,13-Projects!$C$39+1),0)+IF(AND(Projects!$G$40="Yes",Projects!$M$40="Yes",13&gt;=Projects!$C$40,13&lt;Projects!$C$40+Projects!$D$40),Projects!$B$40*INDEX(Curves!$B$4:$AR$4,1,13-Projects!$C$40+1),0)+IF(AND(Projects!$G$41="Yes",Projects!$M$41="Yes",13&gt;=Projects!$C$41,13&lt;Projects!$C$41+Projects!$D$41),Projects!$B$41*INDEX(Curves!$B$4:$AR$4,1,13-Projects!$C$41+1),0)+IF(AND(Projects!$G$42="Yes",Projects!$M$42="Yes",13&gt;=Projects!$C$42,13&lt;Projects!$C$42+Projects!$D$42),Projects!$B$42*INDEX(Curves!$B$4:$AR$4,1,13-Projects!$C$42+1),0)+IF(AND(Projects!$G$43="Yes",Projects!$M$43="Yes",13&gt;=Projects!$C$43,13&lt;Projects!$C$43+Projects!$D$43),Projects!$B$43*INDEX(Curves!$B$4:$AR$4,1,13-Projects!$C$43+1),0)+IF(AND(Projects!$G$44="Yes",Projects!$M$44="Yes",13&gt;=Projects!$C$44,13&lt;Projects!$C$44+Projects!$D$44),Projects!$B$44*INDEX(Curves!$B$4:$AR$4,1,13-Projects!$C$44+1),0)+IF(AND(Projects!$G$45="Yes",Projects!$M$45="Yes",13&gt;=Projects!$C$45,13&lt;Projects!$C$45+Projects!$D$45),Projects!$B$45*INDEX(Curves!$B$4:$AR$4,1,13-Projects!$C$45+1),0)+IF(AND(Projects!$G$46="Yes",Projects!$M$46="Yes",13&gt;=Projects!$C$46,13&lt;Projects!$C$46+Projects!$D$46),Projects!$B$46*INDEX(Curves!$B$4:$AR$4,1,13-Projects!$C$46+1),0)</f>
        <v>704975.480105</v>
      </c>
      <c r="S101" s="317" t="n">
        <f aca="false">IF(AND(Projects!$G$17="Yes",Projects!$M$17="Yes",14&gt;=Projects!$C$17,14&lt;Projects!$C$17+Projects!$D$17),Projects!$B$17*INDEX(Curves!$B$4:$AR$4,1,14-Projects!$C$17+1),0)+IF(AND(Projects!$G$18="Yes",Projects!$M$18="Yes",14&gt;=Projects!$C$18,14&lt;Projects!$C$18+Projects!$D$18),Projects!$B$18*INDEX(Curves!$B$4:$AR$4,1,14-Projects!$C$18+1),0)+IF(AND(Projects!$G$19="Yes",Projects!$M$19="Yes",14&gt;=Projects!$C$19,14&lt;Projects!$C$19+Projects!$D$19),Projects!$B$19*INDEX(Curves!$B$4:$AR$4,1,14-Projects!$C$19+1),0)+IF(AND(Projects!$G$20="Yes",Projects!$M$20="Yes",14&gt;=Projects!$C$20,14&lt;Projects!$C$20+Projects!$D$20),Projects!$B$20*INDEX(Curves!$B$4:$AR$4,1,14-Projects!$C$20+1),0)+IF(AND(Projects!$G$21="Yes",Projects!$M$21="Yes",14&gt;=Projects!$C$21,14&lt;Projects!$C$21+Projects!$D$21),Projects!$B$21*INDEX(Curves!$B$4:$AR$4,1,14-Projects!$C$21+1),0)+IF(AND(Projects!$G$22="Yes",Projects!$M$22="Yes",14&gt;=Projects!$C$22,14&lt;Projects!$C$22+Projects!$D$22),Projects!$B$22*INDEX(Curves!$B$4:$AR$4,1,14-Projects!$C$22+1),0)+IF(AND(Projects!$G$23="Yes",Projects!$M$23="Yes",14&gt;=Projects!$C$23,14&lt;Projects!$C$23+Projects!$D$23),Projects!$B$23*INDEX(Curves!$B$4:$AR$4,1,14-Projects!$C$23+1),0)+IF(AND(Projects!$G$24="Yes",Projects!$M$24="Yes",14&gt;=Projects!$C$24,14&lt;Projects!$C$24+Projects!$D$24),Projects!$B$24*INDEX(Curves!$B$4:$AR$4,1,14-Projects!$C$24+1),0)+IF(AND(Projects!$G$25="Yes",Projects!$M$25="Yes",14&gt;=Projects!$C$25,14&lt;Projects!$C$25+Projects!$D$25),Projects!$B$25*INDEX(Curves!$B$4:$AR$4,1,14-Projects!$C$25+1),0)+IF(AND(Projects!$G$26="Yes",Projects!$M$26="Yes",14&gt;=Projects!$C$26,14&lt;Projects!$C$26+Projects!$D$26),Projects!$B$26*INDEX(Curves!$B$4:$AR$4,1,14-Projects!$C$26+1),0)+IF(AND(Projects!$G$27="Yes",Projects!$M$27="Yes",14&gt;=Projects!$C$27,14&lt;Projects!$C$27+Projects!$D$27),Projects!$B$27*INDEX(Curves!$B$4:$AR$4,1,14-Projects!$C$27+1),0)+IF(AND(Projects!$G$28="Yes",Projects!$M$28="Yes",14&gt;=Projects!$C$28,14&lt;Projects!$C$28+Projects!$D$28),Projects!$B$28*INDEX(Curves!$B$4:$AR$4,1,14-Projects!$C$28+1),0)+IF(AND(Projects!$G$29="Yes",Projects!$M$29="Yes",14&gt;=Projects!$C$29,14&lt;Projects!$C$29+Projects!$D$29),Projects!$B$29*INDEX(Curves!$B$4:$AR$4,1,14-Projects!$C$29+1),0)+IF(AND(Projects!$G$30="Yes",Projects!$M$30="Yes",14&gt;=Projects!$C$30,14&lt;Projects!$C$30+Projects!$D$30),Projects!$B$30*INDEX(Curves!$B$4:$AR$4,1,14-Projects!$C$30+1),0)+IF(AND(Projects!$G$31="Yes",Projects!$M$31="Yes",14&gt;=Projects!$C$31,14&lt;Projects!$C$31+Projects!$D$31),Projects!$B$31*INDEX(Curves!$B$4:$AR$4,1,14-Projects!$C$31+1),0)+IF(AND(Projects!$G$32="Yes",Projects!$M$32="Yes",14&gt;=Projects!$C$32,14&lt;Projects!$C$32+Projects!$D$32),Projects!$B$32*INDEX(Curves!$B$4:$AR$4,1,14-Projects!$C$32+1),0)+IF(AND(Projects!$G$33="Yes",Projects!$M$33="Yes",14&gt;=Projects!$C$33,14&lt;Projects!$C$33+Projects!$D$33),Projects!$B$33*INDEX(Curves!$B$4:$AR$4,1,14-Projects!$C$33+1),0)+IF(AND(Projects!$G$34="Yes",Projects!$M$34="Yes",14&gt;=Projects!$C$34,14&lt;Projects!$C$34+Projects!$D$34),Projects!$B$34*INDEX(Curves!$B$4:$AR$4,1,14-Projects!$C$34+1),0)+IF(AND(Projects!$G$35="Yes",Projects!$M$35="Yes",14&gt;=Projects!$C$35,14&lt;Projects!$C$35+Projects!$D$35),Projects!$B$35*INDEX(Curves!$B$4:$AR$4,1,14-Projects!$C$35+1),0)+IF(AND(Projects!$G$36="Yes",Projects!$M$36="Yes",14&gt;=Projects!$C$36,14&lt;Projects!$C$36+Projects!$D$36),Projects!$B$36*INDEX(Curves!$B$4:$AR$4,1,14-Projects!$C$36+1),0)+IF(AND(Projects!$G$37="Yes",Projects!$M$37="Yes",14&gt;=Projects!$C$37,14&lt;Projects!$C$37+Projects!$D$37),Projects!$B$37*INDEX(Curves!$B$4:$AR$4,1,14-Projects!$C$37+1),0)+IF(AND(Projects!$G$38="Yes",Projects!$M$38="Yes",14&gt;=Projects!$C$38,14&lt;Projects!$C$38+Projects!$D$38),Projects!$B$38*INDEX(Curves!$B$4:$AR$4,1,14-Projects!$C$38+1),0)+IF(AND(Projects!$G$39="Yes",Projects!$M$39="Yes",14&gt;=Projects!$C$39,14&lt;Projects!$C$39+Projects!$D$39),Projects!$B$39*INDEX(Curves!$B$4:$AR$4,1,14-Projects!$C$39+1),0)+IF(AND(Projects!$G$40="Yes",Projects!$M$40="Yes",14&gt;=Projects!$C$40,14&lt;Projects!$C$40+Projects!$D$40),Projects!$B$40*INDEX(Curves!$B$4:$AR$4,1,14-Projects!$C$40+1),0)+IF(AND(Projects!$G$41="Yes",Projects!$M$41="Yes",14&gt;=Projects!$C$41,14&lt;Projects!$C$41+Projects!$D$41),Projects!$B$41*INDEX(Curves!$B$4:$AR$4,1,14-Projects!$C$41+1),0)+IF(AND(Projects!$G$42="Yes",Projects!$M$42="Yes",14&gt;=Projects!$C$42,14&lt;Projects!$C$42+Projects!$D$42),Projects!$B$42*INDEX(Curves!$B$4:$AR$4,1,14-Projects!$C$42+1),0)+IF(AND(Projects!$G$43="Yes",Projects!$M$43="Yes",14&gt;=Projects!$C$43,14&lt;Projects!$C$43+Projects!$D$43),Projects!$B$43*INDEX(Curves!$B$4:$AR$4,1,14-Projects!$C$43+1),0)+IF(AND(Projects!$G$44="Yes",Projects!$M$44="Yes",14&gt;=Projects!$C$44,14&lt;Projects!$C$44+Projects!$D$44),Projects!$B$44*INDEX(Curves!$B$4:$AR$4,1,14-Projects!$C$44+1),0)+IF(AND(Projects!$G$45="Yes",Projects!$M$45="Yes",14&gt;=Projects!$C$45,14&lt;Projects!$C$45+Projects!$D$45),Projects!$B$45*INDEX(Curves!$B$4:$AR$4,1,14-Projects!$C$45+1),0)+IF(AND(Projects!$G$46="Yes",Projects!$M$46="Yes",14&gt;=Projects!$C$46,14&lt;Projects!$C$46+Projects!$D$46),Projects!$B$46*INDEX(Curves!$B$4:$AR$4,1,14-Projects!$C$46+1),0)</f>
        <v>1214490.0464125</v>
      </c>
      <c r="T101" s="317" t="n">
        <f aca="false">IF(AND(Projects!$G$17="Yes",Projects!$M$17="Yes",15&gt;=Projects!$C$17,15&lt;Projects!$C$17+Projects!$D$17),Projects!$B$17*INDEX(Curves!$B$4:$AR$4,1,15-Projects!$C$17+1),0)+IF(AND(Projects!$G$18="Yes",Projects!$M$18="Yes",15&gt;=Projects!$C$18,15&lt;Projects!$C$18+Projects!$D$18),Projects!$B$18*INDEX(Curves!$B$4:$AR$4,1,15-Projects!$C$18+1),0)+IF(AND(Projects!$G$19="Yes",Projects!$M$19="Yes",15&gt;=Projects!$C$19,15&lt;Projects!$C$19+Projects!$D$19),Projects!$B$19*INDEX(Curves!$B$4:$AR$4,1,15-Projects!$C$19+1),0)+IF(AND(Projects!$G$20="Yes",Projects!$M$20="Yes",15&gt;=Projects!$C$20,15&lt;Projects!$C$20+Projects!$D$20),Projects!$B$20*INDEX(Curves!$B$4:$AR$4,1,15-Projects!$C$20+1),0)+IF(AND(Projects!$G$21="Yes",Projects!$M$21="Yes",15&gt;=Projects!$C$21,15&lt;Projects!$C$21+Projects!$D$21),Projects!$B$21*INDEX(Curves!$B$4:$AR$4,1,15-Projects!$C$21+1),0)+IF(AND(Projects!$G$22="Yes",Projects!$M$22="Yes",15&gt;=Projects!$C$22,15&lt;Projects!$C$22+Projects!$D$22),Projects!$B$22*INDEX(Curves!$B$4:$AR$4,1,15-Projects!$C$22+1),0)+IF(AND(Projects!$G$23="Yes",Projects!$M$23="Yes",15&gt;=Projects!$C$23,15&lt;Projects!$C$23+Projects!$D$23),Projects!$B$23*INDEX(Curves!$B$4:$AR$4,1,15-Projects!$C$23+1),0)+IF(AND(Projects!$G$24="Yes",Projects!$M$24="Yes",15&gt;=Projects!$C$24,15&lt;Projects!$C$24+Projects!$D$24),Projects!$B$24*INDEX(Curves!$B$4:$AR$4,1,15-Projects!$C$24+1),0)+IF(AND(Projects!$G$25="Yes",Projects!$M$25="Yes",15&gt;=Projects!$C$25,15&lt;Projects!$C$25+Projects!$D$25),Projects!$B$25*INDEX(Curves!$B$4:$AR$4,1,15-Projects!$C$25+1),0)+IF(AND(Projects!$G$26="Yes",Projects!$M$26="Yes",15&gt;=Projects!$C$26,15&lt;Projects!$C$26+Projects!$D$26),Projects!$B$26*INDEX(Curves!$B$4:$AR$4,1,15-Projects!$C$26+1),0)+IF(AND(Projects!$G$27="Yes",Projects!$M$27="Yes",15&gt;=Projects!$C$27,15&lt;Projects!$C$27+Projects!$D$27),Projects!$B$27*INDEX(Curves!$B$4:$AR$4,1,15-Projects!$C$27+1),0)+IF(AND(Projects!$G$28="Yes",Projects!$M$28="Yes",15&gt;=Projects!$C$28,15&lt;Projects!$C$28+Projects!$D$28),Projects!$B$28*INDEX(Curves!$B$4:$AR$4,1,15-Projects!$C$28+1),0)+IF(AND(Projects!$G$29="Yes",Projects!$M$29="Yes",15&gt;=Projects!$C$29,15&lt;Projects!$C$29+Projects!$D$29),Projects!$B$29*INDEX(Curves!$B$4:$AR$4,1,15-Projects!$C$29+1),0)+IF(AND(Projects!$G$30="Yes",Projects!$M$30="Yes",15&gt;=Projects!$C$30,15&lt;Projects!$C$30+Projects!$D$30),Projects!$B$30*INDEX(Curves!$B$4:$AR$4,1,15-Projects!$C$30+1),0)+IF(AND(Projects!$G$31="Yes",Projects!$M$31="Yes",15&gt;=Projects!$C$31,15&lt;Projects!$C$31+Projects!$D$31),Projects!$B$31*INDEX(Curves!$B$4:$AR$4,1,15-Projects!$C$31+1),0)+IF(AND(Projects!$G$32="Yes",Projects!$M$32="Yes",15&gt;=Projects!$C$32,15&lt;Projects!$C$32+Projects!$D$32),Projects!$B$32*INDEX(Curves!$B$4:$AR$4,1,15-Projects!$C$32+1),0)+IF(AND(Projects!$G$33="Yes",Projects!$M$33="Yes",15&gt;=Projects!$C$33,15&lt;Projects!$C$33+Projects!$D$33),Projects!$B$33*INDEX(Curves!$B$4:$AR$4,1,15-Projects!$C$33+1),0)+IF(AND(Projects!$G$34="Yes",Projects!$M$34="Yes",15&gt;=Projects!$C$34,15&lt;Projects!$C$34+Projects!$D$34),Projects!$B$34*INDEX(Curves!$B$4:$AR$4,1,15-Projects!$C$34+1),0)+IF(AND(Projects!$G$35="Yes",Projects!$M$35="Yes",15&gt;=Projects!$C$35,15&lt;Projects!$C$35+Projects!$D$35),Projects!$B$35*INDEX(Curves!$B$4:$AR$4,1,15-Projects!$C$35+1),0)+IF(AND(Projects!$G$36="Yes",Projects!$M$36="Yes",15&gt;=Projects!$C$36,15&lt;Projects!$C$36+Projects!$D$36),Projects!$B$36*INDEX(Curves!$B$4:$AR$4,1,15-Projects!$C$36+1),0)+IF(AND(Projects!$G$37="Yes",Projects!$M$37="Yes",15&gt;=Projects!$C$37,15&lt;Projects!$C$37+Projects!$D$37),Projects!$B$37*INDEX(Curves!$B$4:$AR$4,1,15-Projects!$C$37+1),0)+IF(AND(Projects!$G$38="Yes",Projects!$M$38="Yes",15&gt;=Projects!$C$38,15&lt;Projects!$C$38+Projects!$D$38),Projects!$B$38*INDEX(Curves!$B$4:$AR$4,1,15-Projects!$C$38+1),0)+IF(AND(Projects!$G$39="Yes",Projects!$M$39="Yes",15&gt;=Projects!$C$39,15&lt;Projects!$C$39+Projects!$D$39),Projects!$B$39*INDEX(Curves!$B$4:$AR$4,1,15-Projects!$C$39+1),0)+IF(AND(Projects!$G$40="Yes",Projects!$M$40="Yes",15&gt;=Projects!$C$40,15&lt;Projects!$C$40+Projects!$D$40),Projects!$B$40*INDEX(Curves!$B$4:$AR$4,1,15-Projects!$C$40+1),0)+IF(AND(Projects!$G$41="Yes",Projects!$M$41="Yes",15&gt;=Projects!$C$41,15&lt;Projects!$C$41+Projects!$D$41),Projects!$B$41*INDEX(Curves!$B$4:$AR$4,1,15-Projects!$C$41+1),0)+IF(AND(Projects!$G$42="Yes",Projects!$M$42="Yes",15&gt;=Projects!$C$42,15&lt;Projects!$C$42+Projects!$D$42),Projects!$B$42*INDEX(Curves!$B$4:$AR$4,1,15-Projects!$C$42+1),0)+IF(AND(Projects!$G$43="Yes",Projects!$M$43="Yes",15&gt;=Projects!$C$43,15&lt;Projects!$C$43+Projects!$D$43),Projects!$B$43*INDEX(Curves!$B$4:$AR$4,1,15-Projects!$C$43+1),0)+IF(AND(Projects!$G$44="Yes",Projects!$M$44="Yes",15&gt;=Projects!$C$44,15&lt;Projects!$C$44+Projects!$D$44),Projects!$B$44*INDEX(Curves!$B$4:$AR$4,1,15-Projects!$C$44+1),0)+IF(AND(Projects!$G$45="Yes",Projects!$M$45="Yes",15&gt;=Projects!$C$45,15&lt;Projects!$C$45+Projects!$D$45),Projects!$B$45*INDEX(Curves!$B$4:$AR$4,1,15-Projects!$C$45+1),0)+IF(AND(Projects!$G$46="Yes",Projects!$M$46="Yes",15&gt;=Projects!$C$46,15&lt;Projects!$C$46+Projects!$D$46),Projects!$B$46*INDEX(Curves!$B$4:$AR$4,1,15-Projects!$C$46+1),0)</f>
        <v>1705981.0052775</v>
      </c>
      <c r="U101" s="317" t="n">
        <f aca="false">IF(AND(Projects!$G$17="Yes",Projects!$M$17="Yes",16&gt;=Projects!$C$17,16&lt;Projects!$C$17+Projects!$D$17),Projects!$B$17*INDEX(Curves!$B$4:$AR$4,1,16-Projects!$C$17+1),0)+IF(AND(Projects!$G$18="Yes",Projects!$M$18="Yes",16&gt;=Projects!$C$18,16&lt;Projects!$C$18+Projects!$D$18),Projects!$B$18*INDEX(Curves!$B$4:$AR$4,1,16-Projects!$C$18+1),0)+IF(AND(Projects!$G$19="Yes",Projects!$M$19="Yes",16&gt;=Projects!$C$19,16&lt;Projects!$C$19+Projects!$D$19),Projects!$B$19*INDEX(Curves!$B$4:$AR$4,1,16-Projects!$C$19+1),0)+IF(AND(Projects!$G$20="Yes",Projects!$M$20="Yes",16&gt;=Projects!$C$20,16&lt;Projects!$C$20+Projects!$D$20),Projects!$B$20*INDEX(Curves!$B$4:$AR$4,1,16-Projects!$C$20+1),0)+IF(AND(Projects!$G$21="Yes",Projects!$M$21="Yes",16&gt;=Projects!$C$21,16&lt;Projects!$C$21+Projects!$D$21),Projects!$B$21*INDEX(Curves!$B$4:$AR$4,1,16-Projects!$C$21+1),0)+IF(AND(Projects!$G$22="Yes",Projects!$M$22="Yes",16&gt;=Projects!$C$22,16&lt;Projects!$C$22+Projects!$D$22),Projects!$B$22*INDEX(Curves!$B$4:$AR$4,1,16-Projects!$C$22+1),0)+IF(AND(Projects!$G$23="Yes",Projects!$M$23="Yes",16&gt;=Projects!$C$23,16&lt;Projects!$C$23+Projects!$D$23),Projects!$B$23*INDEX(Curves!$B$4:$AR$4,1,16-Projects!$C$23+1),0)+IF(AND(Projects!$G$24="Yes",Projects!$M$24="Yes",16&gt;=Projects!$C$24,16&lt;Projects!$C$24+Projects!$D$24),Projects!$B$24*INDEX(Curves!$B$4:$AR$4,1,16-Projects!$C$24+1),0)+IF(AND(Projects!$G$25="Yes",Projects!$M$25="Yes",16&gt;=Projects!$C$25,16&lt;Projects!$C$25+Projects!$D$25),Projects!$B$25*INDEX(Curves!$B$4:$AR$4,1,16-Projects!$C$25+1),0)+IF(AND(Projects!$G$26="Yes",Projects!$M$26="Yes",16&gt;=Projects!$C$26,16&lt;Projects!$C$26+Projects!$D$26),Projects!$B$26*INDEX(Curves!$B$4:$AR$4,1,16-Projects!$C$26+1),0)+IF(AND(Projects!$G$27="Yes",Projects!$M$27="Yes",16&gt;=Projects!$C$27,16&lt;Projects!$C$27+Projects!$D$27),Projects!$B$27*INDEX(Curves!$B$4:$AR$4,1,16-Projects!$C$27+1),0)+IF(AND(Projects!$G$28="Yes",Projects!$M$28="Yes",16&gt;=Projects!$C$28,16&lt;Projects!$C$28+Projects!$D$28),Projects!$B$28*INDEX(Curves!$B$4:$AR$4,1,16-Projects!$C$28+1),0)+IF(AND(Projects!$G$29="Yes",Projects!$M$29="Yes",16&gt;=Projects!$C$29,16&lt;Projects!$C$29+Projects!$D$29),Projects!$B$29*INDEX(Curves!$B$4:$AR$4,1,16-Projects!$C$29+1),0)+IF(AND(Projects!$G$30="Yes",Projects!$M$30="Yes",16&gt;=Projects!$C$30,16&lt;Projects!$C$30+Projects!$D$30),Projects!$B$30*INDEX(Curves!$B$4:$AR$4,1,16-Projects!$C$30+1),0)+IF(AND(Projects!$G$31="Yes",Projects!$M$31="Yes",16&gt;=Projects!$C$31,16&lt;Projects!$C$31+Projects!$D$31),Projects!$B$31*INDEX(Curves!$B$4:$AR$4,1,16-Projects!$C$31+1),0)+IF(AND(Projects!$G$32="Yes",Projects!$M$32="Yes",16&gt;=Projects!$C$32,16&lt;Projects!$C$32+Projects!$D$32),Projects!$B$32*INDEX(Curves!$B$4:$AR$4,1,16-Projects!$C$32+1),0)+IF(AND(Projects!$G$33="Yes",Projects!$M$33="Yes",16&gt;=Projects!$C$33,16&lt;Projects!$C$33+Projects!$D$33),Projects!$B$33*INDEX(Curves!$B$4:$AR$4,1,16-Projects!$C$33+1),0)+IF(AND(Projects!$G$34="Yes",Projects!$M$34="Yes",16&gt;=Projects!$C$34,16&lt;Projects!$C$34+Projects!$D$34),Projects!$B$34*INDEX(Curves!$B$4:$AR$4,1,16-Projects!$C$34+1),0)+IF(AND(Projects!$G$35="Yes",Projects!$M$35="Yes",16&gt;=Projects!$C$35,16&lt;Projects!$C$35+Projects!$D$35),Projects!$B$35*INDEX(Curves!$B$4:$AR$4,1,16-Projects!$C$35+1),0)+IF(AND(Projects!$G$36="Yes",Projects!$M$36="Yes",16&gt;=Projects!$C$36,16&lt;Projects!$C$36+Projects!$D$36),Projects!$B$36*INDEX(Curves!$B$4:$AR$4,1,16-Projects!$C$36+1),0)+IF(AND(Projects!$G$37="Yes",Projects!$M$37="Yes",16&gt;=Projects!$C$37,16&lt;Projects!$C$37+Projects!$D$37),Projects!$B$37*INDEX(Curves!$B$4:$AR$4,1,16-Projects!$C$37+1),0)+IF(AND(Projects!$G$38="Yes",Projects!$M$38="Yes",16&gt;=Projects!$C$38,16&lt;Projects!$C$38+Projects!$D$38),Projects!$B$38*INDEX(Curves!$B$4:$AR$4,1,16-Projects!$C$38+1),0)+IF(AND(Projects!$G$39="Yes",Projects!$M$39="Yes",16&gt;=Projects!$C$39,16&lt;Projects!$C$39+Projects!$D$39),Projects!$B$39*INDEX(Curves!$B$4:$AR$4,1,16-Projects!$C$39+1),0)+IF(AND(Projects!$G$40="Yes",Projects!$M$40="Yes",16&gt;=Projects!$C$40,16&lt;Projects!$C$40+Projects!$D$40),Projects!$B$40*INDEX(Curves!$B$4:$AR$4,1,16-Projects!$C$40+1),0)+IF(AND(Projects!$G$41="Yes",Projects!$M$41="Yes",16&gt;=Projects!$C$41,16&lt;Projects!$C$41+Projects!$D$41),Projects!$B$41*INDEX(Curves!$B$4:$AR$4,1,16-Projects!$C$41+1),0)+IF(AND(Projects!$G$42="Yes",Projects!$M$42="Yes",16&gt;=Projects!$C$42,16&lt;Projects!$C$42+Projects!$D$42),Projects!$B$42*INDEX(Curves!$B$4:$AR$4,1,16-Projects!$C$42+1),0)+IF(AND(Projects!$G$43="Yes",Projects!$M$43="Yes",16&gt;=Projects!$C$43,16&lt;Projects!$C$43+Projects!$D$43),Projects!$B$43*INDEX(Curves!$B$4:$AR$4,1,16-Projects!$C$43+1),0)+IF(AND(Projects!$G$44="Yes",Projects!$M$44="Yes",16&gt;=Projects!$C$44,16&lt;Projects!$C$44+Projects!$D$44),Projects!$B$44*INDEX(Curves!$B$4:$AR$4,1,16-Projects!$C$44+1),0)+IF(AND(Projects!$G$45="Yes",Projects!$M$45="Yes",16&gt;=Projects!$C$45,16&lt;Projects!$C$45+Projects!$D$45),Projects!$B$45*INDEX(Curves!$B$4:$AR$4,1,16-Projects!$C$45+1),0)+IF(AND(Projects!$G$46="Yes",Projects!$M$46="Yes",16&gt;=Projects!$C$46,16&lt;Projects!$C$46+Projects!$D$46),Projects!$B$46*INDEX(Curves!$B$4:$AR$4,1,16-Projects!$C$46+1),0)</f>
        <v>2450883.78948675</v>
      </c>
      <c r="V101" s="317" t="n">
        <f aca="false">IF(AND(Projects!$G$17="Yes",Projects!$M$17="Yes",17&gt;=Projects!$C$17,17&lt;Projects!$C$17+Projects!$D$17),Projects!$B$17*INDEX(Curves!$B$4:$AR$4,1,17-Projects!$C$17+1),0)+IF(AND(Projects!$G$18="Yes",Projects!$M$18="Yes",17&gt;=Projects!$C$18,17&lt;Projects!$C$18+Projects!$D$18),Projects!$B$18*INDEX(Curves!$B$4:$AR$4,1,17-Projects!$C$18+1),0)+IF(AND(Projects!$G$19="Yes",Projects!$M$19="Yes",17&gt;=Projects!$C$19,17&lt;Projects!$C$19+Projects!$D$19),Projects!$B$19*INDEX(Curves!$B$4:$AR$4,1,17-Projects!$C$19+1),0)+IF(AND(Projects!$G$20="Yes",Projects!$M$20="Yes",17&gt;=Projects!$C$20,17&lt;Projects!$C$20+Projects!$D$20),Projects!$B$20*INDEX(Curves!$B$4:$AR$4,1,17-Projects!$C$20+1),0)+IF(AND(Projects!$G$21="Yes",Projects!$M$21="Yes",17&gt;=Projects!$C$21,17&lt;Projects!$C$21+Projects!$D$21),Projects!$B$21*INDEX(Curves!$B$4:$AR$4,1,17-Projects!$C$21+1),0)+IF(AND(Projects!$G$22="Yes",Projects!$M$22="Yes",17&gt;=Projects!$C$22,17&lt;Projects!$C$22+Projects!$D$22),Projects!$B$22*INDEX(Curves!$B$4:$AR$4,1,17-Projects!$C$22+1),0)+IF(AND(Projects!$G$23="Yes",Projects!$M$23="Yes",17&gt;=Projects!$C$23,17&lt;Projects!$C$23+Projects!$D$23),Projects!$B$23*INDEX(Curves!$B$4:$AR$4,1,17-Projects!$C$23+1),0)+IF(AND(Projects!$G$24="Yes",Projects!$M$24="Yes",17&gt;=Projects!$C$24,17&lt;Projects!$C$24+Projects!$D$24),Projects!$B$24*INDEX(Curves!$B$4:$AR$4,1,17-Projects!$C$24+1),0)+IF(AND(Projects!$G$25="Yes",Projects!$M$25="Yes",17&gt;=Projects!$C$25,17&lt;Projects!$C$25+Projects!$D$25),Projects!$B$25*INDEX(Curves!$B$4:$AR$4,1,17-Projects!$C$25+1),0)+IF(AND(Projects!$G$26="Yes",Projects!$M$26="Yes",17&gt;=Projects!$C$26,17&lt;Projects!$C$26+Projects!$D$26),Projects!$B$26*INDEX(Curves!$B$4:$AR$4,1,17-Projects!$C$26+1),0)+IF(AND(Projects!$G$27="Yes",Projects!$M$27="Yes",17&gt;=Projects!$C$27,17&lt;Projects!$C$27+Projects!$D$27),Projects!$B$27*INDEX(Curves!$B$4:$AR$4,1,17-Projects!$C$27+1),0)+IF(AND(Projects!$G$28="Yes",Projects!$M$28="Yes",17&gt;=Projects!$C$28,17&lt;Projects!$C$28+Projects!$D$28),Projects!$B$28*INDEX(Curves!$B$4:$AR$4,1,17-Projects!$C$28+1),0)+IF(AND(Projects!$G$29="Yes",Projects!$M$29="Yes",17&gt;=Projects!$C$29,17&lt;Projects!$C$29+Projects!$D$29),Projects!$B$29*INDEX(Curves!$B$4:$AR$4,1,17-Projects!$C$29+1),0)+IF(AND(Projects!$G$30="Yes",Projects!$M$30="Yes",17&gt;=Projects!$C$30,17&lt;Projects!$C$30+Projects!$D$30),Projects!$B$30*INDEX(Curves!$B$4:$AR$4,1,17-Projects!$C$30+1),0)+IF(AND(Projects!$G$31="Yes",Projects!$M$31="Yes",17&gt;=Projects!$C$31,17&lt;Projects!$C$31+Projects!$D$31),Projects!$B$31*INDEX(Curves!$B$4:$AR$4,1,17-Projects!$C$31+1),0)+IF(AND(Projects!$G$32="Yes",Projects!$M$32="Yes",17&gt;=Projects!$C$32,17&lt;Projects!$C$32+Projects!$D$32),Projects!$B$32*INDEX(Curves!$B$4:$AR$4,1,17-Projects!$C$32+1),0)+IF(AND(Projects!$G$33="Yes",Projects!$M$33="Yes",17&gt;=Projects!$C$33,17&lt;Projects!$C$33+Projects!$D$33),Projects!$B$33*INDEX(Curves!$B$4:$AR$4,1,17-Projects!$C$33+1),0)+IF(AND(Projects!$G$34="Yes",Projects!$M$34="Yes",17&gt;=Projects!$C$34,17&lt;Projects!$C$34+Projects!$D$34),Projects!$B$34*INDEX(Curves!$B$4:$AR$4,1,17-Projects!$C$34+1),0)+IF(AND(Projects!$G$35="Yes",Projects!$M$35="Yes",17&gt;=Projects!$C$35,17&lt;Projects!$C$35+Projects!$D$35),Projects!$B$35*INDEX(Curves!$B$4:$AR$4,1,17-Projects!$C$35+1),0)+IF(AND(Projects!$G$36="Yes",Projects!$M$36="Yes",17&gt;=Projects!$C$36,17&lt;Projects!$C$36+Projects!$D$36),Projects!$B$36*INDEX(Curves!$B$4:$AR$4,1,17-Projects!$C$36+1),0)+IF(AND(Projects!$G$37="Yes",Projects!$M$37="Yes",17&gt;=Projects!$C$37,17&lt;Projects!$C$37+Projects!$D$37),Projects!$B$37*INDEX(Curves!$B$4:$AR$4,1,17-Projects!$C$37+1),0)+IF(AND(Projects!$G$38="Yes",Projects!$M$38="Yes",17&gt;=Projects!$C$38,17&lt;Projects!$C$38+Projects!$D$38),Projects!$B$38*INDEX(Curves!$B$4:$AR$4,1,17-Projects!$C$38+1),0)+IF(AND(Projects!$G$39="Yes",Projects!$M$39="Yes",17&gt;=Projects!$C$39,17&lt;Projects!$C$39+Projects!$D$39),Projects!$B$39*INDEX(Curves!$B$4:$AR$4,1,17-Projects!$C$39+1),0)+IF(AND(Projects!$G$40="Yes",Projects!$M$40="Yes",17&gt;=Projects!$C$40,17&lt;Projects!$C$40+Projects!$D$40),Projects!$B$40*INDEX(Curves!$B$4:$AR$4,1,17-Projects!$C$40+1),0)+IF(AND(Projects!$G$41="Yes",Projects!$M$41="Yes",17&gt;=Projects!$C$41,17&lt;Projects!$C$41+Projects!$D$41),Projects!$B$41*INDEX(Curves!$B$4:$AR$4,1,17-Projects!$C$41+1),0)+IF(AND(Projects!$G$42="Yes",Projects!$M$42="Yes",17&gt;=Projects!$C$42,17&lt;Projects!$C$42+Projects!$D$42),Projects!$B$42*INDEX(Curves!$B$4:$AR$4,1,17-Projects!$C$42+1),0)+IF(AND(Projects!$G$43="Yes",Projects!$M$43="Yes",17&gt;=Projects!$C$43,17&lt;Projects!$C$43+Projects!$D$43),Projects!$B$43*INDEX(Curves!$B$4:$AR$4,1,17-Projects!$C$43+1),0)+IF(AND(Projects!$G$44="Yes",Projects!$M$44="Yes",17&gt;=Projects!$C$44,17&lt;Projects!$C$44+Projects!$D$44),Projects!$B$44*INDEX(Curves!$B$4:$AR$4,1,17-Projects!$C$44+1),0)+IF(AND(Projects!$G$45="Yes",Projects!$M$45="Yes",17&gt;=Projects!$C$45,17&lt;Projects!$C$45+Projects!$D$45),Projects!$B$45*INDEX(Curves!$B$4:$AR$4,1,17-Projects!$C$45+1),0)+IF(AND(Projects!$G$46="Yes",Projects!$M$46="Yes",17&gt;=Projects!$C$46,17&lt;Projects!$C$46+Projects!$D$46),Projects!$B$46*INDEX(Curves!$B$4:$AR$4,1,17-Projects!$C$46+1),0)</f>
        <v>2811539.250619</v>
      </c>
      <c r="W101" s="317" t="n">
        <f aca="false">IF(AND(Projects!$G$17="Yes",Projects!$M$17="Yes",18&gt;=Projects!$C$17,18&lt;Projects!$C$17+Projects!$D$17),Projects!$B$17*INDEX(Curves!$B$4:$AR$4,1,18-Projects!$C$17+1),0)+IF(AND(Projects!$G$18="Yes",Projects!$M$18="Yes",18&gt;=Projects!$C$18,18&lt;Projects!$C$18+Projects!$D$18),Projects!$B$18*INDEX(Curves!$B$4:$AR$4,1,18-Projects!$C$18+1),0)+IF(AND(Projects!$G$19="Yes",Projects!$M$19="Yes",18&gt;=Projects!$C$19,18&lt;Projects!$C$19+Projects!$D$19),Projects!$B$19*INDEX(Curves!$B$4:$AR$4,1,18-Projects!$C$19+1),0)+IF(AND(Projects!$G$20="Yes",Projects!$M$20="Yes",18&gt;=Projects!$C$20,18&lt;Projects!$C$20+Projects!$D$20),Projects!$B$20*INDEX(Curves!$B$4:$AR$4,1,18-Projects!$C$20+1),0)+IF(AND(Projects!$G$21="Yes",Projects!$M$21="Yes",18&gt;=Projects!$C$21,18&lt;Projects!$C$21+Projects!$D$21),Projects!$B$21*INDEX(Curves!$B$4:$AR$4,1,18-Projects!$C$21+1),0)+IF(AND(Projects!$G$22="Yes",Projects!$M$22="Yes",18&gt;=Projects!$C$22,18&lt;Projects!$C$22+Projects!$D$22),Projects!$B$22*INDEX(Curves!$B$4:$AR$4,1,18-Projects!$C$22+1),0)+IF(AND(Projects!$G$23="Yes",Projects!$M$23="Yes",18&gt;=Projects!$C$23,18&lt;Projects!$C$23+Projects!$D$23),Projects!$B$23*INDEX(Curves!$B$4:$AR$4,1,18-Projects!$C$23+1),0)+IF(AND(Projects!$G$24="Yes",Projects!$M$24="Yes",18&gt;=Projects!$C$24,18&lt;Projects!$C$24+Projects!$D$24),Projects!$B$24*INDEX(Curves!$B$4:$AR$4,1,18-Projects!$C$24+1),0)+IF(AND(Projects!$G$25="Yes",Projects!$M$25="Yes",18&gt;=Projects!$C$25,18&lt;Projects!$C$25+Projects!$D$25),Projects!$B$25*INDEX(Curves!$B$4:$AR$4,1,18-Projects!$C$25+1),0)+IF(AND(Projects!$G$26="Yes",Projects!$M$26="Yes",18&gt;=Projects!$C$26,18&lt;Projects!$C$26+Projects!$D$26),Projects!$B$26*INDEX(Curves!$B$4:$AR$4,1,18-Projects!$C$26+1),0)+IF(AND(Projects!$G$27="Yes",Projects!$M$27="Yes",18&gt;=Projects!$C$27,18&lt;Projects!$C$27+Projects!$D$27),Projects!$B$27*INDEX(Curves!$B$4:$AR$4,1,18-Projects!$C$27+1),0)+IF(AND(Projects!$G$28="Yes",Projects!$M$28="Yes",18&gt;=Projects!$C$28,18&lt;Projects!$C$28+Projects!$D$28),Projects!$B$28*INDEX(Curves!$B$4:$AR$4,1,18-Projects!$C$28+1),0)+IF(AND(Projects!$G$29="Yes",Projects!$M$29="Yes",18&gt;=Projects!$C$29,18&lt;Projects!$C$29+Projects!$D$29),Projects!$B$29*INDEX(Curves!$B$4:$AR$4,1,18-Projects!$C$29+1),0)+IF(AND(Projects!$G$30="Yes",Projects!$M$30="Yes",18&gt;=Projects!$C$30,18&lt;Projects!$C$30+Projects!$D$30),Projects!$B$30*INDEX(Curves!$B$4:$AR$4,1,18-Projects!$C$30+1),0)+IF(AND(Projects!$G$31="Yes",Projects!$M$31="Yes",18&gt;=Projects!$C$31,18&lt;Projects!$C$31+Projects!$D$31),Projects!$B$31*INDEX(Curves!$B$4:$AR$4,1,18-Projects!$C$31+1),0)+IF(AND(Projects!$G$32="Yes",Projects!$M$32="Yes",18&gt;=Projects!$C$32,18&lt;Projects!$C$32+Projects!$D$32),Projects!$B$32*INDEX(Curves!$B$4:$AR$4,1,18-Projects!$C$32+1),0)+IF(AND(Projects!$G$33="Yes",Projects!$M$33="Yes",18&gt;=Projects!$C$33,18&lt;Projects!$C$33+Projects!$D$33),Projects!$B$33*INDEX(Curves!$B$4:$AR$4,1,18-Projects!$C$33+1),0)+IF(AND(Projects!$G$34="Yes",Projects!$M$34="Yes",18&gt;=Projects!$C$34,18&lt;Projects!$C$34+Projects!$D$34),Projects!$B$34*INDEX(Curves!$B$4:$AR$4,1,18-Projects!$C$34+1),0)+IF(AND(Projects!$G$35="Yes",Projects!$M$35="Yes",18&gt;=Projects!$C$35,18&lt;Projects!$C$35+Projects!$D$35),Projects!$B$35*INDEX(Curves!$B$4:$AR$4,1,18-Projects!$C$35+1),0)+IF(AND(Projects!$G$36="Yes",Projects!$M$36="Yes",18&gt;=Projects!$C$36,18&lt;Projects!$C$36+Projects!$D$36),Projects!$B$36*INDEX(Curves!$B$4:$AR$4,1,18-Projects!$C$36+1),0)+IF(AND(Projects!$G$37="Yes",Projects!$M$37="Yes",18&gt;=Projects!$C$37,18&lt;Projects!$C$37+Projects!$D$37),Projects!$B$37*INDEX(Curves!$B$4:$AR$4,1,18-Projects!$C$37+1),0)+IF(AND(Projects!$G$38="Yes",Projects!$M$38="Yes",18&gt;=Projects!$C$38,18&lt;Projects!$C$38+Projects!$D$38),Projects!$B$38*INDEX(Curves!$B$4:$AR$4,1,18-Projects!$C$38+1),0)+IF(AND(Projects!$G$39="Yes",Projects!$M$39="Yes",18&gt;=Projects!$C$39,18&lt;Projects!$C$39+Projects!$D$39),Projects!$B$39*INDEX(Curves!$B$4:$AR$4,1,18-Projects!$C$39+1),0)+IF(AND(Projects!$G$40="Yes",Projects!$M$40="Yes",18&gt;=Projects!$C$40,18&lt;Projects!$C$40+Projects!$D$40),Projects!$B$40*INDEX(Curves!$B$4:$AR$4,1,18-Projects!$C$40+1),0)+IF(AND(Projects!$G$41="Yes",Projects!$M$41="Yes",18&gt;=Projects!$C$41,18&lt;Projects!$C$41+Projects!$D$41),Projects!$B$41*INDEX(Curves!$B$4:$AR$4,1,18-Projects!$C$41+1),0)+IF(AND(Projects!$G$42="Yes",Projects!$M$42="Yes",18&gt;=Projects!$C$42,18&lt;Projects!$C$42+Projects!$D$42),Projects!$B$42*INDEX(Curves!$B$4:$AR$4,1,18-Projects!$C$42+1),0)+IF(AND(Projects!$G$43="Yes",Projects!$M$43="Yes",18&gt;=Projects!$C$43,18&lt;Projects!$C$43+Projects!$D$43),Projects!$B$43*INDEX(Curves!$B$4:$AR$4,1,18-Projects!$C$43+1),0)+IF(AND(Projects!$G$44="Yes",Projects!$M$44="Yes",18&gt;=Projects!$C$44,18&lt;Projects!$C$44+Projects!$D$44),Projects!$B$44*INDEX(Curves!$B$4:$AR$4,1,18-Projects!$C$44+1),0)+IF(AND(Projects!$G$45="Yes",Projects!$M$45="Yes",18&gt;=Projects!$C$45,18&lt;Projects!$C$45+Projects!$D$45),Projects!$B$45*INDEX(Curves!$B$4:$AR$4,1,18-Projects!$C$45+1),0)+IF(AND(Projects!$G$46="Yes",Projects!$M$46="Yes",18&gt;=Projects!$C$46,18&lt;Projects!$C$46+Projects!$D$46),Projects!$B$46*INDEX(Curves!$B$4:$AR$4,1,18-Projects!$C$46+1),0)</f>
        <v>3158081.406203</v>
      </c>
      <c r="X101" s="317" t="n">
        <f aca="false">IF(AND(Projects!$G$17="Yes",Projects!$M$17="Yes",19&gt;=Projects!$C$17,19&lt;Projects!$C$17+Projects!$D$17),Projects!$B$17*INDEX(Curves!$B$4:$AR$4,1,19-Projects!$C$17+1),0)+IF(AND(Projects!$G$18="Yes",Projects!$M$18="Yes",19&gt;=Projects!$C$18,19&lt;Projects!$C$18+Projects!$D$18),Projects!$B$18*INDEX(Curves!$B$4:$AR$4,1,19-Projects!$C$18+1),0)+IF(AND(Projects!$G$19="Yes",Projects!$M$19="Yes",19&gt;=Projects!$C$19,19&lt;Projects!$C$19+Projects!$D$19),Projects!$B$19*INDEX(Curves!$B$4:$AR$4,1,19-Projects!$C$19+1),0)+IF(AND(Projects!$G$20="Yes",Projects!$M$20="Yes",19&gt;=Projects!$C$20,19&lt;Projects!$C$20+Projects!$D$20),Projects!$B$20*INDEX(Curves!$B$4:$AR$4,1,19-Projects!$C$20+1),0)+IF(AND(Projects!$G$21="Yes",Projects!$M$21="Yes",19&gt;=Projects!$C$21,19&lt;Projects!$C$21+Projects!$D$21),Projects!$B$21*INDEX(Curves!$B$4:$AR$4,1,19-Projects!$C$21+1),0)+IF(AND(Projects!$G$22="Yes",Projects!$M$22="Yes",19&gt;=Projects!$C$22,19&lt;Projects!$C$22+Projects!$D$22),Projects!$B$22*INDEX(Curves!$B$4:$AR$4,1,19-Projects!$C$22+1),0)+IF(AND(Projects!$G$23="Yes",Projects!$M$23="Yes",19&gt;=Projects!$C$23,19&lt;Projects!$C$23+Projects!$D$23),Projects!$B$23*INDEX(Curves!$B$4:$AR$4,1,19-Projects!$C$23+1),0)+IF(AND(Projects!$G$24="Yes",Projects!$M$24="Yes",19&gt;=Projects!$C$24,19&lt;Projects!$C$24+Projects!$D$24),Projects!$B$24*INDEX(Curves!$B$4:$AR$4,1,19-Projects!$C$24+1),0)+IF(AND(Projects!$G$25="Yes",Projects!$M$25="Yes",19&gt;=Projects!$C$25,19&lt;Projects!$C$25+Projects!$D$25),Projects!$B$25*INDEX(Curves!$B$4:$AR$4,1,19-Projects!$C$25+1),0)+IF(AND(Projects!$G$26="Yes",Projects!$M$26="Yes",19&gt;=Projects!$C$26,19&lt;Projects!$C$26+Projects!$D$26),Projects!$B$26*INDEX(Curves!$B$4:$AR$4,1,19-Projects!$C$26+1),0)+IF(AND(Projects!$G$27="Yes",Projects!$M$27="Yes",19&gt;=Projects!$C$27,19&lt;Projects!$C$27+Projects!$D$27),Projects!$B$27*INDEX(Curves!$B$4:$AR$4,1,19-Projects!$C$27+1),0)+IF(AND(Projects!$G$28="Yes",Projects!$M$28="Yes",19&gt;=Projects!$C$28,19&lt;Projects!$C$28+Projects!$D$28),Projects!$B$28*INDEX(Curves!$B$4:$AR$4,1,19-Projects!$C$28+1),0)+IF(AND(Projects!$G$29="Yes",Projects!$M$29="Yes",19&gt;=Projects!$C$29,19&lt;Projects!$C$29+Projects!$D$29),Projects!$B$29*INDEX(Curves!$B$4:$AR$4,1,19-Projects!$C$29+1),0)+IF(AND(Projects!$G$30="Yes",Projects!$M$30="Yes",19&gt;=Projects!$C$30,19&lt;Projects!$C$30+Projects!$D$30),Projects!$B$30*INDEX(Curves!$B$4:$AR$4,1,19-Projects!$C$30+1),0)+IF(AND(Projects!$G$31="Yes",Projects!$M$31="Yes",19&gt;=Projects!$C$31,19&lt;Projects!$C$31+Projects!$D$31),Projects!$B$31*INDEX(Curves!$B$4:$AR$4,1,19-Projects!$C$31+1),0)+IF(AND(Projects!$G$32="Yes",Projects!$M$32="Yes",19&gt;=Projects!$C$32,19&lt;Projects!$C$32+Projects!$D$32),Projects!$B$32*INDEX(Curves!$B$4:$AR$4,1,19-Projects!$C$32+1),0)+IF(AND(Projects!$G$33="Yes",Projects!$M$33="Yes",19&gt;=Projects!$C$33,19&lt;Projects!$C$33+Projects!$D$33),Projects!$B$33*INDEX(Curves!$B$4:$AR$4,1,19-Projects!$C$33+1),0)+IF(AND(Projects!$G$34="Yes",Projects!$M$34="Yes",19&gt;=Projects!$C$34,19&lt;Projects!$C$34+Projects!$D$34),Projects!$B$34*INDEX(Curves!$B$4:$AR$4,1,19-Projects!$C$34+1),0)+IF(AND(Projects!$G$35="Yes",Projects!$M$35="Yes",19&gt;=Projects!$C$35,19&lt;Projects!$C$35+Projects!$D$35),Projects!$B$35*INDEX(Curves!$B$4:$AR$4,1,19-Projects!$C$35+1),0)+IF(AND(Projects!$G$36="Yes",Projects!$M$36="Yes",19&gt;=Projects!$C$36,19&lt;Projects!$C$36+Projects!$D$36),Projects!$B$36*INDEX(Curves!$B$4:$AR$4,1,19-Projects!$C$36+1),0)+IF(AND(Projects!$G$37="Yes",Projects!$M$37="Yes",19&gt;=Projects!$C$37,19&lt;Projects!$C$37+Projects!$D$37),Projects!$B$37*INDEX(Curves!$B$4:$AR$4,1,19-Projects!$C$37+1),0)+IF(AND(Projects!$G$38="Yes",Projects!$M$38="Yes",19&gt;=Projects!$C$38,19&lt;Projects!$C$38+Projects!$D$38),Projects!$B$38*INDEX(Curves!$B$4:$AR$4,1,19-Projects!$C$38+1),0)+IF(AND(Projects!$G$39="Yes",Projects!$M$39="Yes",19&gt;=Projects!$C$39,19&lt;Projects!$C$39+Projects!$D$39),Projects!$B$39*INDEX(Curves!$B$4:$AR$4,1,19-Projects!$C$39+1),0)+IF(AND(Projects!$G$40="Yes",Projects!$M$40="Yes",19&gt;=Projects!$C$40,19&lt;Projects!$C$40+Projects!$D$40),Projects!$B$40*INDEX(Curves!$B$4:$AR$4,1,19-Projects!$C$40+1),0)+IF(AND(Projects!$G$41="Yes",Projects!$M$41="Yes",19&gt;=Projects!$C$41,19&lt;Projects!$C$41+Projects!$D$41),Projects!$B$41*INDEX(Curves!$B$4:$AR$4,1,19-Projects!$C$41+1),0)+IF(AND(Projects!$G$42="Yes",Projects!$M$42="Yes",19&gt;=Projects!$C$42,19&lt;Projects!$C$42+Projects!$D$42),Projects!$B$42*INDEX(Curves!$B$4:$AR$4,1,19-Projects!$C$42+1),0)+IF(AND(Projects!$G$43="Yes",Projects!$M$43="Yes",19&gt;=Projects!$C$43,19&lt;Projects!$C$43+Projects!$D$43),Projects!$B$43*INDEX(Curves!$B$4:$AR$4,1,19-Projects!$C$43+1),0)+IF(AND(Projects!$G$44="Yes",Projects!$M$44="Yes",19&gt;=Projects!$C$44,19&lt;Projects!$C$44+Projects!$D$44),Projects!$B$44*INDEX(Curves!$B$4:$AR$4,1,19-Projects!$C$44+1),0)+IF(AND(Projects!$G$45="Yes",Projects!$M$45="Yes",19&gt;=Projects!$C$45,19&lt;Projects!$C$45+Projects!$D$45),Projects!$B$45*INDEX(Curves!$B$4:$AR$4,1,19-Projects!$C$45+1),0)+IF(AND(Projects!$G$46="Yes",Projects!$M$46="Yes",19&gt;=Projects!$C$46,19&lt;Projects!$C$46+Projects!$D$46),Projects!$B$46*INDEX(Curves!$B$4:$AR$4,1,19-Projects!$C$46+1),0)</f>
        <v>3473108.2551005</v>
      </c>
      <c r="Y101" s="317" t="n">
        <f aca="false">IF(AND(Projects!$G$17="Yes",Projects!$M$17="Yes",20&gt;=Projects!$C$17,20&lt;Projects!$C$17+Projects!$D$17),Projects!$B$17*INDEX(Curves!$B$4:$AR$4,1,20-Projects!$C$17+1),0)+IF(AND(Projects!$G$18="Yes",Projects!$M$18="Yes",20&gt;=Projects!$C$18,20&lt;Projects!$C$18+Projects!$D$18),Projects!$B$18*INDEX(Curves!$B$4:$AR$4,1,20-Projects!$C$18+1),0)+IF(AND(Projects!$G$19="Yes",Projects!$M$19="Yes",20&gt;=Projects!$C$19,20&lt;Projects!$C$19+Projects!$D$19),Projects!$B$19*INDEX(Curves!$B$4:$AR$4,1,20-Projects!$C$19+1),0)+IF(AND(Projects!$G$20="Yes",Projects!$M$20="Yes",20&gt;=Projects!$C$20,20&lt;Projects!$C$20+Projects!$D$20),Projects!$B$20*INDEX(Curves!$B$4:$AR$4,1,20-Projects!$C$20+1),0)+IF(AND(Projects!$G$21="Yes",Projects!$M$21="Yes",20&gt;=Projects!$C$21,20&lt;Projects!$C$21+Projects!$D$21),Projects!$B$21*INDEX(Curves!$B$4:$AR$4,1,20-Projects!$C$21+1),0)+IF(AND(Projects!$G$22="Yes",Projects!$M$22="Yes",20&gt;=Projects!$C$22,20&lt;Projects!$C$22+Projects!$D$22),Projects!$B$22*INDEX(Curves!$B$4:$AR$4,1,20-Projects!$C$22+1),0)+IF(AND(Projects!$G$23="Yes",Projects!$M$23="Yes",20&gt;=Projects!$C$23,20&lt;Projects!$C$23+Projects!$D$23),Projects!$B$23*INDEX(Curves!$B$4:$AR$4,1,20-Projects!$C$23+1),0)+IF(AND(Projects!$G$24="Yes",Projects!$M$24="Yes",20&gt;=Projects!$C$24,20&lt;Projects!$C$24+Projects!$D$24),Projects!$B$24*INDEX(Curves!$B$4:$AR$4,1,20-Projects!$C$24+1),0)+IF(AND(Projects!$G$25="Yes",Projects!$M$25="Yes",20&gt;=Projects!$C$25,20&lt;Projects!$C$25+Projects!$D$25),Projects!$B$25*INDEX(Curves!$B$4:$AR$4,1,20-Projects!$C$25+1),0)+IF(AND(Projects!$G$26="Yes",Projects!$M$26="Yes",20&gt;=Projects!$C$26,20&lt;Projects!$C$26+Projects!$D$26),Projects!$B$26*INDEX(Curves!$B$4:$AR$4,1,20-Projects!$C$26+1),0)+IF(AND(Projects!$G$27="Yes",Projects!$M$27="Yes",20&gt;=Projects!$C$27,20&lt;Projects!$C$27+Projects!$D$27),Projects!$B$27*INDEX(Curves!$B$4:$AR$4,1,20-Projects!$C$27+1),0)+IF(AND(Projects!$G$28="Yes",Projects!$M$28="Yes",20&gt;=Projects!$C$28,20&lt;Projects!$C$28+Projects!$D$28),Projects!$B$28*INDEX(Curves!$B$4:$AR$4,1,20-Projects!$C$28+1),0)+IF(AND(Projects!$G$29="Yes",Projects!$M$29="Yes",20&gt;=Projects!$C$29,20&lt;Projects!$C$29+Projects!$D$29),Projects!$B$29*INDEX(Curves!$B$4:$AR$4,1,20-Projects!$C$29+1),0)+IF(AND(Projects!$G$30="Yes",Projects!$M$30="Yes",20&gt;=Projects!$C$30,20&lt;Projects!$C$30+Projects!$D$30),Projects!$B$30*INDEX(Curves!$B$4:$AR$4,1,20-Projects!$C$30+1),0)+IF(AND(Projects!$G$31="Yes",Projects!$M$31="Yes",20&gt;=Projects!$C$31,20&lt;Projects!$C$31+Projects!$D$31),Projects!$B$31*INDEX(Curves!$B$4:$AR$4,1,20-Projects!$C$31+1),0)+IF(AND(Projects!$G$32="Yes",Projects!$M$32="Yes",20&gt;=Projects!$C$32,20&lt;Projects!$C$32+Projects!$D$32),Projects!$B$32*INDEX(Curves!$B$4:$AR$4,1,20-Projects!$C$32+1),0)+IF(AND(Projects!$G$33="Yes",Projects!$M$33="Yes",20&gt;=Projects!$C$33,20&lt;Projects!$C$33+Projects!$D$33),Projects!$B$33*INDEX(Curves!$B$4:$AR$4,1,20-Projects!$C$33+1),0)+IF(AND(Projects!$G$34="Yes",Projects!$M$34="Yes",20&gt;=Projects!$C$34,20&lt;Projects!$C$34+Projects!$D$34),Projects!$B$34*INDEX(Curves!$B$4:$AR$4,1,20-Projects!$C$34+1),0)+IF(AND(Projects!$G$35="Yes",Projects!$M$35="Yes",20&gt;=Projects!$C$35,20&lt;Projects!$C$35+Projects!$D$35),Projects!$B$35*INDEX(Curves!$B$4:$AR$4,1,20-Projects!$C$35+1),0)+IF(AND(Projects!$G$36="Yes",Projects!$M$36="Yes",20&gt;=Projects!$C$36,20&lt;Projects!$C$36+Projects!$D$36),Projects!$B$36*INDEX(Curves!$B$4:$AR$4,1,20-Projects!$C$36+1),0)+IF(AND(Projects!$G$37="Yes",Projects!$M$37="Yes",20&gt;=Projects!$C$37,20&lt;Projects!$C$37+Projects!$D$37),Projects!$B$37*INDEX(Curves!$B$4:$AR$4,1,20-Projects!$C$37+1),0)+IF(AND(Projects!$G$38="Yes",Projects!$M$38="Yes",20&gt;=Projects!$C$38,20&lt;Projects!$C$38+Projects!$D$38),Projects!$B$38*INDEX(Curves!$B$4:$AR$4,1,20-Projects!$C$38+1),0)+IF(AND(Projects!$G$39="Yes",Projects!$M$39="Yes",20&gt;=Projects!$C$39,20&lt;Projects!$C$39+Projects!$D$39),Projects!$B$39*INDEX(Curves!$B$4:$AR$4,1,20-Projects!$C$39+1),0)+IF(AND(Projects!$G$40="Yes",Projects!$M$40="Yes",20&gt;=Projects!$C$40,20&lt;Projects!$C$40+Projects!$D$40),Projects!$B$40*INDEX(Curves!$B$4:$AR$4,1,20-Projects!$C$40+1),0)+IF(AND(Projects!$G$41="Yes",Projects!$M$41="Yes",20&gt;=Projects!$C$41,20&lt;Projects!$C$41+Projects!$D$41),Projects!$B$41*INDEX(Curves!$B$4:$AR$4,1,20-Projects!$C$41+1),0)+IF(AND(Projects!$G$42="Yes",Projects!$M$42="Yes",20&gt;=Projects!$C$42,20&lt;Projects!$C$42+Projects!$D$42),Projects!$B$42*INDEX(Curves!$B$4:$AR$4,1,20-Projects!$C$42+1),0)+IF(AND(Projects!$G$43="Yes",Projects!$M$43="Yes",20&gt;=Projects!$C$43,20&lt;Projects!$C$43+Projects!$D$43),Projects!$B$43*INDEX(Curves!$B$4:$AR$4,1,20-Projects!$C$43+1),0)+IF(AND(Projects!$G$44="Yes",Projects!$M$44="Yes",20&gt;=Projects!$C$44,20&lt;Projects!$C$44+Projects!$D$44),Projects!$B$44*INDEX(Curves!$B$4:$AR$4,1,20-Projects!$C$44+1),0)+IF(AND(Projects!$G$45="Yes",Projects!$M$45="Yes",20&gt;=Projects!$C$45,20&lt;Projects!$C$45+Projects!$D$45),Projects!$B$45*INDEX(Curves!$B$4:$AR$4,1,20-Projects!$C$45+1),0)+IF(AND(Projects!$G$46="Yes",Projects!$M$46="Yes",20&gt;=Projects!$C$46,20&lt;Projects!$C$46+Projects!$D$46),Projects!$B$46*INDEX(Curves!$B$4:$AR$4,1,20-Projects!$C$46+1),0)</f>
        <v>3739270.578322</v>
      </c>
      <c r="Z101" s="317" t="n">
        <f aca="false">IF(AND(Projects!$G$17="Yes",Projects!$M$17="Yes",21&gt;=Projects!$C$17,21&lt;Projects!$C$17+Projects!$D$17),Projects!$B$17*INDEX(Curves!$B$4:$AR$4,1,21-Projects!$C$17+1),0)+IF(AND(Projects!$G$18="Yes",Projects!$M$18="Yes",21&gt;=Projects!$C$18,21&lt;Projects!$C$18+Projects!$D$18),Projects!$B$18*INDEX(Curves!$B$4:$AR$4,1,21-Projects!$C$18+1),0)+IF(AND(Projects!$G$19="Yes",Projects!$M$19="Yes",21&gt;=Projects!$C$19,21&lt;Projects!$C$19+Projects!$D$19),Projects!$B$19*INDEX(Curves!$B$4:$AR$4,1,21-Projects!$C$19+1),0)+IF(AND(Projects!$G$20="Yes",Projects!$M$20="Yes",21&gt;=Projects!$C$20,21&lt;Projects!$C$20+Projects!$D$20),Projects!$B$20*INDEX(Curves!$B$4:$AR$4,1,21-Projects!$C$20+1),0)+IF(AND(Projects!$G$21="Yes",Projects!$M$21="Yes",21&gt;=Projects!$C$21,21&lt;Projects!$C$21+Projects!$D$21),Projects!$B$21*INDEX(Curves!$B$4:$AR$4,1,21-Projects!$C$21+1),0)+IF(AND(Projects!$G$22="Yes",Projects!$M$22="Yes",21&gt;=Projects!$C$22,21&lt;Projects!$C$22+Projects!$D$22),Projects!$B$22*INDEX(Curves!$B$4:$AR$4,1,21-Projects!$C$22+1),0)+IF(AND(Projects!$G$23="Yes",Projects!$M$23="Yes",21&gt;=Projects!$C$23,21&lt;Projects!$C$23+Projects!$D$23),Projects!$B$23*INDEX(Curves!$B$4:$AR$4,1,21-Projects!$C$23+1),0)+IF(AND(Projects!$G$24="Yes",Projects!$M$24="Yes",21&gt;=Projects!$C$24,21&lt;Projects!$C$24+Projects!$D$24),Projects!$B$24*INDEX(Curves!$B$4:$AR$4,1,21-Projects!$C$24+1),0)+IF(AND(Projects!$G$25="Yes",Projects!$M$25="Yes",21&gt;=Projects!$C$25,21&lt;Projects!$C$25+Projects!$D$25),Projects!$B$25*INDEX(Curves!$B$4:$AR$4,1,21-Projects!$C$25+1),0)+IF(AND(Projects!$G$26="Yes",Projects!$M$26="Yes",21&gt;=Projects!$C$26,21&lt;Projects!$C$26+Projects!$D$26),Projects!$B$26*INDEX(Curves!$B$4:$AR$4,1,21-Projects!$C$26+1),0)+IF(AND(Projects!$G$27="Yes",Projects!$M$27="Yes",21&gt;=Projects!$C$27,21&lt;Projects!$C$27+Projects!$D$27),Projects!$B$27*INDEX(Curves!$B$4:$AR$4,1,21-Projects!$C$27+1),0)+IF(AND(Projects!$G$28="Yes",Projects!$M$28="Yes",21&gt;=Projects!$C$28,21&lt;Projects!$C$28+Projects!$D$28),Projects!$B$28*INDEX(Curves!$B$4:$AR$4,1,21-Projects!$C$28+1),0)+IF(AND(Projects!$G$29="Yes",Projects!$M$29="Yes",21&gt;=Projects!$C$29,21&lt;Projects!$C$29+Projects!$D$29),Projects!$B$29*INDEX(Curves!$B$4:$AR$4,1,21-Projects!$C$29+1),0)+IF(AND(Projects!$G$30="Yes",Projects!$M$30="Yes",21&gt;=Projects!$C$30,21&lt;Projects!$C$30+Projects!$D$30),Projects!$B$30*INDEX(Curves!$B$4:$AR$4,1,21-Projects!$C$30+1),0)+IF(AND(Projects!$G$31="Yes",Projects!$M$31="Yes",21&gt;=Projects!$C$31,21&lt;Projects!$C$31+Projects!$D$31),Projects!$B$31*INDEX(Curves!$B$4:$AR$4,1,21-Projects!$C$31+1),0)+IF(AND(Projects!$G$32="Yes",Projects!$M$32="Yes",21&gt;=Projects!$C$32,21&lt;Projects!$C$32+Projects!$D$32),Projects!$B$32*INDEX(Curves!$B$4:$AR$4,1,21-Projects!$C$32+1),0)+IF(AND(Projects!$G$33="Yes",Projects!$M$33="Yes",21&gt;=Projects!$C$33,21&lt;Projects!$C$33+Projects!$D$33),Projects!$B$33*INDEX(Curves!$B$4:$AR$4,1,21-Projects!$C$33+1),0)+IF(AND(Projects!$G$34="Yes",Projects!$M$34="Yes",21&gt;=Projects!$C$34,21&lt;Projects!$C$34+Projects!$D$34),Projects!$B$34*INDEX(Curves!$B$4:$AR$4,1,21-Projects!$C$34+1),0)+IF(AND(Projects!$G$35="Yes",Projects!$M$35="Yes",21&gt;=Projects!$C$35,21&lt;Projects!$C$35+Projects!$D$35),Projects!$B$35*INDEX(Curves!$B$4:$AR$4,1,21-Projects!$C$35+1),0)+IF(AND(Projects!$G$36="Yes",Projects!$M$36="Yes",21&gt;=Projects!$C$36,21&lt;Projects!$C$36+Projects!$D$36),Projects!$B$36*INDEX(Curves!$B$4:$AR$4,1,21-Projects!$C$36+1),0)+IF(AND(Projects!$G$37="Yes",Projects!$M$37="Yes",21&gt;=Projects!$C$37,21&lt;Projects!$C$37+Projects!$D$37),Projects!$B$37*INDEX(Curves!$B$4:$AR$4,1,21-Projects!$C$37+1),0)+IF(AND(Projects!$G$38="Yes",Projects!$M$38="Yes",21&gt;=Projects!$C$38,21&lt;Projects!$C$38+Projects!$D$38),Projects!$B$38*INDEX(Curves!$B$4:$AR$4,1,21-Projects!$C$38+1),0)+IF(AND(Projects!$G$39="Yes",Projects!$M$39="Yes",21&gt;=Projects!$C$39,21&lt;Projects!$C$39+Projects!$D$39),Projects!$B$39*INDEX(Curves!$B$4:$AR$4,1,21-Projects!$C$39+1),0)+IF(AND(Projects!$G$40="Yes",Projects!$M$40="Yes",21&gt;=Projects!$C$40,21&lt;Projects!$C$40+Projects!$D$40),Projects!$B$40*INDEX(Curves!$B$4:$AR$4,1,21-Projects!$C$40+1),0)+IF(AND(Projects!$G$41="Yes",Projects!$M$41="Yes",21&gt;=Projects!$C$41,21&lt;Projects!$C$41+Projects!$D$41),Projects!$B$41*INDEX(Curves!$B$4:$AR$4,1,21-Projects!$C$41+1),0)+IF(AND(Projects!$G$42="Yes",Projects!$M$42="Yes",21&gt;=Projects!$C$42,21&lt;Projects!$C$42+Projects!$D$42),Projects!$B$42*INDEX(Curves!$B$4:$AR$4,1,21-Projects!$C$42+1),0)+IF(AND(Projects!$G$43="Yes",Projects!$M$43="Yes",21&gt;=Projects!$C$43,21&lt;Projects!$C$43+Projects!$D$43),Projects!$B$43*INDEX(Curves!$B$4:$AR$4,1,21-Projects!$C$43+1),0)+IF(AND(Projects!$G$44="Yes",Projects!$M$44="Yes",21&gt;=Projects!$C$44,21&lt;Projects!$C$44+Projects!$D$44),Projects!$B$44*INDEX(Curves!$B$4:$AR$4,1,21-Projects!$C$44+1),0)+IF(AND(Projects!$G$45="Yes",Projects!$M$45="Yes",21&gt;=Projects!$C$45,21&lt;Projects!$C$45+Projects!$D$45),Projects!$B$45*INDEX(Curves!$B$4:$AR$4,1,21-Projects!$C$45+1),0)+IF(AND(Projects!$G$46="Yes",Projects!$M$46="Yes",21&gt;=Projects!$C$46,21&lt;Projects!$C$46+Projects!$D$46),Projects!$B$46*INDEX(Curves!$B$4:$AR$4,1,21-Projects!$C$46+1),0)</f>
        <v>3940721.239383</v>
      </c>
      <c r="AA101" s="317" t="n">
        <f aca="false">IF(AND(Projects!$G$17="Yes",Projects!$M$17="Yes",22&gt;=Projects!$C$17,22&lt;Projects!$C$17+Projects!$D$17),Projects!$B$17*INDEX(Curves!$B$4:$AR$4,1,22-Projects!$C$17+1),0)+IF(AND(Projects!$G$18="Yes",Projects!$M$18="Yes",22&gt;=Projects!$C$18,22&lt;Projects!$C$18+Projects!$D$18),Projects!$B$18*INDEX(Curves!$B$4:$AR$4,1,22-Projects!$C$18+1),0)+IF(AND(Projects!$G$19="Yes",Projects!$M$19="Yes",22&gt;=Projects!$C$19,22&lt;Projects!$C$19+Projects!$D$19),Projects!$B$19*INDEX(Curves!$B$4:$AR$4,1,22-Projects!$C$19+1),0)+IF(AND(Projects!$G$20="Yes",Projects!$M$20="Yes",22&gt;=Projects!$C$20,22&lt;Projects!$C$20+Projects!$D$20),Projects!$B$20*INDEX(Curves!$B$4:$AR$4,1,22-Projects!$C$20+1),0)+IF(AND(Projects!$G$21="Yes",Projects!$M$21="Yes",22&gt;=Projects!$C$21,22&lt;Projects!$C$21+Projects!$D$21),Projects!$B$21*INDEX(Curves!$B$4:$AR$4,1,22-Projects!$C$21+1),0)+IF(AND(Projects!$G$22="Yes",Projects!$M$22="Yes",22&gt;=Projects!$C$22,22&lt;Projects!$C$22+Projects!$D$22),Projects!$B$22*INDEX(Curves!$B$4:$AR$4,1,22-Projects!$C$22+1),0)+IF(AND(Projects!$G$23="Yes",Projects!$M$23="Yes",22&gt;=Projects!$C$23,22&lt;Projects!$C$23+Projects!$D$23),Projects!$B$23*INDEX(Curves!$B$4:$AR$4,1,22-Projects!$C$23+1),0)+IF(AND(Projects!$G$24="Yes",Projects!$M$24="Yes",22&gt;=Projects!$C$24,22&lt;Projects!$C$24+Projects!$D$24),Projects!$B$24*INDEX(Curves!$B$4:$AR$4,1,22-Projects!$C$24+1),0)+IF(AND(Projects!$G$25="Yes",Projects!$M$25="Yes",22&gt;=Projects!$C$25,22&lt;Projects!$C$25+Projects!$D$25),Projects!$B$25*INDEX(Curves!$B$4:$AR$4,1,22-Projects!$C$25+1),0)+IF(AND(Projects!$G$26="Yes",Projects!$M$26="Yes",22&gt;=Projects!$C$26,22&lt;Projects!$C$26+Projects!$D$26),Projects!$B$26*INDEX(Curves!$B$4:$AR$4,1,22-Projects!$C$26+1),0)+IF(AND(Projects!$G$27="Yes",Projects!$M$27="Yes",22&gt;=Projects!$C$27,22&lt;Projects!$C$27+Projects!$D$27),Projects!$B$27*INDEX(Curves!$B$4:$AR$4,1,22-Projects!$C$27+1),0)+IF(AND(Projects!$G$28="Yes",Projects!$M$28="Yes",22&gt;=Projects!$C$28,22&lt;Projects!$C$28+Projects!$D$28),Projects!$B$28*INDEX(Curves!$B$4:$AR$4,1,22-Projects!$C$28+1),0)+IF(AND(Projects!$G$29="Yes",Projects!$M$29="Yes",22&gt;=Projects!$C$29,22&lt;Projects!$C$29+Projects!$D$29),Projects!$B$29*INDEX(Curves!$B$4:$AR$4,1,22-Projects!$C$29+1),0)+IF(AND(Projects!$G$30="Yes",Projects!$M$30="Yes",22&gt;=Projects!$C$30,22&lt;Projects!$C$30+Projects!$D$30),Projects!$B$30*INDEX(Curves!$B$4:$AR$4,1,22-Projects!$C$30+1),0)+IF(AND(Projects!$G$31="Yes",Projects!$M$31="Yes",22&gt;=Projects!$C$31,22&lt;Projects!$C$31+Projects!$D$31),Projects!$B$31*INDEX(Curves!$B$4:$AR$4,1,22-Projects!$C$31+1),0)+IF(AND(Projects!$G$32="Yes",Projects!$M$32="Yes",22&gt;=Projects!$C$32,22&lt;Projects!$C$32+Projects!$D$32),Projects!$B$32*INDEX(Curves!$B$4:$AR$4,1,22-Projects!$C$32+1),0)+IF(AND(Projects!$G$33="Yes",Projects!$M$33="Yes",22&gt;=Projects!$C$33,22&lt;Projects!$C$33+Projects!$D$33),Projects!$B$33*INDEX(Curves!$B$4:$AR$4,1,22-Projects!$C$33+1),0)+IF(AND(Projects!$G$34="Yes",Projects!$M$34="Yes",22&gt;=Projects!$C$34,22&lt;Projects!$C$34+Projects!$D$34),Projects!$B$34*INDEX(Curves!$B$4:$AR$4,1,22-Projects!$C$34+1),0)+IF(AND(Projects!$G$35="Yes",Projects!$M$35="Yes",22&gt;=Projects!$C$35,22&lt;Projects!$C$35+Projects!$D$35),Projects!$B$35*INDEX(Curves!$B$4:$AR$4,1,22-Projects!$C$35+1),0)+IF(AND(Projects!$G$36="Yes",Projects!$M$36="Yes",22&gt;=Projects!$C$36,22&lt;Projects!$C$36+Projects!$D$36),Projects!$B$36*INDEX(Curves!$B$4:$AR$4,1,22-Projects!$C$36+1),0)+IF(AND(Projects!$G$37="Yes",Projects!$M$37="Yes",22&gt;=Projects!$C$37,22&lt;Projects!$C$37+Projects!$D$37),Projects!$B$37*INDEX(Curves!$B$4:$AR$4,1,22-Projects!$C$37+1),0)+IF(AND(Projects!$G$38="Yes",Projects!$M$38="Yes",22&gt;=Projects!$C$38,22&lt;Projects!$C$38+Projects!$D$38),Projects!$B$38*INDEX(Curves!$B$4:$AR$4,1,22-Projects!$C$38+1),0)+IF(AND(Projects!$G$39="Yes",Projects!$M$39="Yes",22&gt;=Projects!$C$39,22&lt;Projects!$C$39+Projects!$D$39),Projects!$B$39*INDEX(Curves!$B$4:$AR$4,1,22-Projects!$C$39+1),0)+IF(AND(Projects!$G$40="Yes",Projects!$M$40="Yes",22&gt;=Projects!$C$40,22&lt;Projects!$C$40+Projects!$D$40),Projects!$B$40*INDEX(Curves!$B$4:$AR$4,1,22-Projects!$C$40+1),0)+IF(AND(Projects!$G$41="Yes",Projects!$M$41="Yes",22&gt;=Projects!$C$41,22&lt;Projects!$C$41+Projects!$D$41),Projects!$B$41*INDEX(Curves!$B$4:$AR$4,1,22-Projects!$C$41+1),0)+IF(AND(Projects!$G$42="Yes",Projects!$M$42="Yes",22&gt;=Projects!$C$42,22&lt;Projects!$C$42+Projects!$D$42),Projects!$B$42*INDEX(Curves!$B$4:$AR$4,1,22-Projects!$C$42+1),0)+IF(AND(Projects!$G$43="Yes",Projects!$M$43="Yes",22&gt;=Projects!$C$43,22&lt;Projects!$C$43+Projects!$D$43),Projects!$B$43*INDEX(Curves!$B$4:$AR$4,1,22-Projects!$C$43+1),0)+IF(AND(Projects!$G$44="Yes",Projects!$M$44="Yes",22&gt;=Projects!$C$44,22&lt;Projects!$C$44+Projects!$D$44),Projects!$B$44*INDEX(Curves!$B$4:$AR$4,1,22-Projects!$C$44+1),0)+IF(AND(Projects!$G$45="Yes",Projects!$M$45="Yes",22&gt;=Projects!$C$45,22&lt;Projects!$C$45+Projects!$D$45),Projects!$B$45*INDEX(Curves!$B$4:$AR$4,1,22-Projects!$C$45+1),0)+IF(AND(Projects!$G$46="Yes",Projects!$M$46="Yes",22&gt;=Projects!$C$46,22&lt;Projects!$C$46+Projects!$D$46),Projects!$B$46*INDEX(Curves!$B$4:$AR$4,1,22-Projects!$C$46+1),0)</f>
        <v>4064704.18127175</v>
      </c>
      <c r="AB101" s="317" t="n">
        <f aca="false">IF(AND(Projects!$G$17="Yes",Projects!$M$17="Yes",23&gt;=Projects!$C$17,23&lt;Projects!$C$17+Projects!$D$17),Projects!$B$17*INDEX(Curves!$B$4:$AR$4,1,23-Projects!$C$17+1),0)+IF(AND(Projects!$G$18="Yes",Projects!$M$18="Yes",23&gt;=Projects!$C$18,23&lt;Projects!$C$18+Projects!$D$18),Projects!$B$18*INDEX(Curves!$B$4:$AR$4,1,23-Projects!$C$18+1),0)+IF(AND(Projects!$G$19="Yes",Projects!$M$19="Yes",23&gt;=Projects!$C$19,23&lt;Projects!$C$19+Projects!$D$19),Projects!$B$19*INDEX(Curves!$B$4:$AR$4,1,23-Projects!$C$19+1),0)+IF(AND(Projects!$G$20="Yes",Projects!$M$20="Yes",23&gt;=Projects!$C$20,23&lt;Projects!$C$20+Projects!$D$20),Projects!$B$20*INDEX(Curves!$B$4:$AR$4,1,23-Projects!$C$20+1),0)+IF(AND(Projects!$G$21="Yes",Projects!$M$21="Yes",23&gt;=Projects!$C$21,23&lt;Projects!$C$21+Projects!$D$21),Projects!$B$21*INDEX(Curves!$B$4:$AR$4,1,23-Projects!$C$21+1),0)+IF(AND(Projects!$G$22="Yes",Projects!$M$22="Yes",23&gt;=Projects!$C$22,23&lt;Projects!$C$22+Projects!$D$22),Projects!$B$22*INDEX(Curves!$B$4:$AR$4,1,23-Projects!$C$22+1),0)+IF(AND(Projects!$G$23="Yes",Projects!$M$23="Yes",23&gt;=Projects!$C$23,23&lt;Projects!$C$23+Projects!$D$23),Projects!$B$23*INDEX(Curves!$B$4:$AR$4,1,23-Projects!$C$23+1),0)+IF(AND(Projects!$G$24="Yes",Projects!$M$24="Yes",23&gt;=Projects!$C$24,23&lt;Projects!$C$24+Projects!$D$24),Projects!$B$24*INDEX(Curves!$B$4:$AR$4,1,23-Projects!$C$24+1),0)+IF(AND(Projects!$G$25="Yes",Projects!$M$25="Yes",23&gt;=Projects!$C$25,23&lt;Projects!$C$25+Projects!$D$25),Projects!$B$25*INDEX(Curves!$B$4:$AR$4,1,23-Projects!$C$25+1),0)+IF(AND(Projects!$G$26="Yes",Projects!$M$26="Yes",23&gt;=Projects!$C$26,23&lt;Projects!$C$26+Projects!$D$26),Projects!$B$26*INDEX(Curves!$B$4:$AR$4,1,23-Projects!$C$26+1),0)+IF(AND(Projects!$G$27="Yes",Projects!$M$27="Yes",23&gt;=Projects!$C$27,23&lt;Projects!$C$27+Projects!$D$27),Projects!$B$27*INDEX(Curves!$B$4:$AR$4,1,23-Projects!$C$27+1),0)+IF(AND(Projects!$G$28="Yes",Projects!$M$28="Yes",23&gt;=Projects!$C$28,23&lt;Projects!$C$28+Projects!$D$28),Projects!$B$28*INDEX(Curves!$B$4:$AR$4,1,23-Projects!$C$28+1),0)+IF(AND(Projects!$G$29="Yes",Projects!$M$29="Yes",23&gt;=Projects!$C$29,23&lt;Projects!$C$29+Projects!$D$29),Projects!$B$29*INDEX(Curves!$B$4:$AR$4,1,23-Projects!$C$29+1),0)+IF(AND(Projects!$G$30="Yes",Projects!$M$30="Yes",23&gt;=Projects!$C$30,23&lt;Projects!$C$30+Projects!$D$30),Projects!$B$30*INDEX(Curves!$B$4:$AR$4,1,23-Projects!$C$30+1),0)+IF(AND(Projects!$G$31="Yes",Projects!$M$31="Yes",23&gt;=Projects!$C$31,23&lt;Projects!$C$31+Projects!$D$31),Projects!$B$31*INDEX(Curves!$B$4:$AR$4,1,23-Projects!$C$31+1),0)+IF(AND(Projects!$G$32="Yes",Projects!$M$32="Yes",23&gt;=Projects!$C$32,23&lt;Projects!$C$32+Projects!$D$32),Projects!$B$32*INDEX(Curves!$B$4:$AR$4,1,23-Projects!$C$32+1),0)+IF(AND(Projects!$G$33="Yes",Projects!$M$33="Yes",23&gt;=Projects!$C$33,23&lt;Projects!$C$33+Projects!$D$33),Projects!$B$33*INDEX(Curves!$B$4:$AR$4,1,23-Projects!$C$33+1),0)+IF(AND(Projects!$G$34="Yes",Projects!$M$34="Yes",23&gt;=Projects!$C$34,23&lt;Projects!$C$34+Projects!$D$34),Projects!$B$34*INDEX(Curves!$B$4:$AR$4,1,23-Projects!$C$34+1),0)+IF(AND(Projects!$G$35="Yes",Projects!$M$35="Yes",23&gt;=Projects!$C$35,23&lt;Projects!$C$35+Projects!$D$35),Projects!$B$35*INDEX(Curves!$B$4:$AR$4,1,23-Projects!$C$35+1),0)+IF(AND(Projects!$G$36="Yes",Projects!$M$36="Yes",23&gt;=Projects!$C$36,23&lt;Projects!$C$36+Projects!$D$36),Projects!$B$36*INDEX(Curves!$B$4:$AR$4,1,23-Projects!$C$36+1),0)+IF(AND(Projects!$G$37="Yes",Projects!$M$37="Yes",23&gt;=Projects!$C$37,23&lt;Projects!$C$37+Projects!$D$37),Projects!$B$37*INDEX(Curves!$B$4:$AR$4,1,23-Projects!$C$37+1),0)+IF(AND(Projects!$G$38="Yes",Projects!$M$38="Yes",23&gt;=Projects!$C$38,23&lt;Projects!$C$38+Projects!$D$38),Projects!$B$38*INDEX(Curves!$B$4:$AR$4,1,23-Projects!$C$38+1),0)+IF(AND(Projects!$G$39="Yes",Projects!$M$39="Yes",23&gt;=Projects!$C$39,23&lt;Projects!$C$39+Projects!$D$39),Projects!$B$39*INDEX(Curves!$B$4:$AR$4,1,23-Projects!$C$39+1),0)+IF(AND(Projects!$G$40="Yes",Projects!$M$40="Yes",23&gt;=Projects!$C$40,23&lt;Projects!$C$40+Projects!$D$40),Projects!$B$40*INDEX(Curves!$B$4:$AR$4,1,23-Projects!$C$40+1),0)+IF(AND(Projects!$G$41="Yes",Projects!$M$41="Yes",23&gt;=Projects!$C$41,23&lt;Projects!$C$41+Projects!$D$41),Projects!$B$41*INDEX(Curves!$B$4:$AR$4,1,23-Projects!$C$41+1),0)+IF(AND(Projects!$G$42="Yes",Projects!$M$42="Yes",23&gt;=Projects!$C$42,23&lt;Projects!$C$42+Projects!$D$42),Projects!$B$42*INDEX(Curves!$B$4:$AR$4,1,23-Projects!$C$42+1),0)+IF(AND(Projects!$G$43="Yes",Projects!$M$43="Yes",23&gt;=Projects!$C$43,23&lt;Projects!$C$43+Projects!$D$43),Projects!$B$43*INDEX(Curves!$B$4:$AR$4,1,23-Projects!$C$43+1),0)+IF(AND(Projects!$G$44="Yes",Projects!$M$44="Yes",23&gt;=Projects!$C$44,23&lt;Projects!$C$44+Projects!$D$44),Projects!$B$44*INDEX(Curves!$B$4:$AR$4,1,23-Projects!$C$44+1),0)+IF(AND(Projects!$G$45="Yes",Projects!$M$45="Yes",23&gt;=Projects!$C$45,23&lt;Projects!$C$45+Projects!$D$45),Projects!$B$45*INDEX(Curves!$B$4:$AR$4,1,23-Projects!$C$45+1),0)+IF(AND(Projects!$G$46="Yes",Projects!$M$46="Yes",23&gt;=Projects!$C$46,23&lt;Projects!$C$46+Projects!$D$46),Projects!$B$46*INDEX(Curves!$B$4:$AR$4,1,23-Projects!$C$46+1),0)</f>
        <v>4102799.8790635</v>
      </c>
      <c r="AC101" s="317" t="n">
        <f aca="false">IF(AND(Projects!$G$17="Yes",Projects!$M$17="Yes",24&gt;=Projects!$C$17,24&lt;Projects!$C$17+Projects!$D$17),Projects!$B$17*INDEX(Curves!$B$4:$AR$4,1,24-Projects!$C$17+1),0)+IF(AND(Projects!$G$18="Yes",Projects!$M$18="Yes",24&gt;=Projects!$C$18,24&lt;Projects!$C$18+Projects!$D$18),Projects!$B$18*INDEX(Curves!$B$4:$AR$4,1,24-Projects!$C$18+1),0)+IF(AND(Projects!$G$19="Yes",Projects!$M$19="Yes",24&gt;=Projects!$C$19,24&lt;Projects!$C$19+Projects!$D$19),Projects!$B$19*INDEX(Curves!$B$4:$AR$4,1,24-Projects!$C$19+1),0)+IF(AND(Projects!$G$20="Yes",Projects!$M$20="Yes",24&gt;=Projects!$C$20,24&lt;Projects!$C$20+Projects!$D$20),Projects!$B$20*INDEX(Curves!$B$4:$AR$4,1,24-Projects!$C$20+1),0)+IF(AND(Projects!$G$21="Yes",Projects!$M$21="Yes",24&gt;=Projects!$C$21,24&lt;Projects!$C$21+Projects!$D$21),Projects!$B$21*INDEX(Curves!$B$4:$AR$4,1,24-Projects!$C$21+1),0)+IF(AND(Projects!$G$22="Yes",Projects!$M$22="Yes",24&gt;=Projects!$C$22,24&lt;Projects!$C$22+Projects!$D$22),Projects!$B$22*INDEX(Curves!$B$4:$AR$4,1,24-Projects!$C$22+1),0)+IF(AND(Projects!$G$23="Yes",Projects!$M$23="Yes",24&gt;=Projects!$C$23,24&lt;Projects!$C$23+Projects!$D$23),Projects!$B$23*INDEX(Curves!$B$4:$AR$4,1,24-Projects!$C$23+1),0)+IF(AND(Projects!$G$24="Yes",Projects!$M$24="Yes",24&gt;=Projects!$C$24,24&lt;Projects!$C$24+Projects!$D$24),Projects!$B$24*INDEX(Curves!$B$4:$AR$4,1,24-Projects!$C$24+1),0)+IF(AND(Projects!$G$25="Yes",Projects!$M$25="Yes",24&gt;=Projects!$C$25,24&lt;Projects!$C$25+Projects!$D$25),Projects!$B$25*INDEX(Curves!$B$4:$AR$4,1,24-Projects!$C$25+1),0)+IF(AND(Projects!$G$26="Yes",Projects!$M$26="Yes",24&gt;=Projects!$C$26,24&lt;Projects!$C$26+Projects!$D$26),Projects!$B$26*INDEX(Curves!$B$4:$AR$4,1,24-Projects!$C$26+1),0)+IF(AND(Projects!$G$27="Yes",Projects!$M$27="Yes",24&gt;=Projects!$C$27,24&lt;Projects!$C$27+Projects!$D$27),Projects!$B$27*INDEX(Curves!$B$4:$AR$4,1,24-Projects!$C$27+1),0)+IF(AND(Projects!$G$28="Yes",Projects!$M$28="Yes",24&gt;=Projects!$C$28,24&lt;Projects!$C$28+Projects!$D$28),Projects!$B$28*INDEX(Curves!$B$4:$AR$4,1,24-Projects!$C$28+1),0)+IF(AND(Projects!$G$29="Yes",Projects!$M$29="Yes",24&gt;=Projects!$C$29,24&lt;Projects!$C$29+Projects!$D$29),Projects!$B$29*INDEX(Curves!$B$4:$AR$4,1,24-Projects!$C$29+1),0)+IF(AND(Projects!$G$30="Yes",Projects!$M$30="Yes",24&gt;=Projects!$C$30,24&lt;Projects!$C$30+Projects!$D$30),Projects!$B$30*INDEX(Curves!$B$4:$AR$4,1,24-Projects!$C$30+1),0)+IF(AND(Projects!$G$31="Yes",Projects!$M$31="Yes",24&gt;=Projects!$C$31,24&lt;Projects!$C$31+Projects!$D$31),Projects!$B$31*INDEX(Curves!$B$4:$AR$4,1,24-Projects!$C$31+1),0)+IF(AND(Projects!$G$32="Yes",Projects!$M$32="Yes",24&gt;=Projects!$C$32,24&lt;Projects!$C$32+Projects!$D$32),Projects!$B$32*INDEX(Curves!$B$4:$AR$4,1,24-Projects!$C$32+1),0)+IF(AND(Projects!$G$33="Yes",Projects!$M$33="Yes",24&gt;=Projects!$C$33,24&lt;Projects!$C$33+Projects!$D$33),Projects!$B$33*INDEX(Curves!$B$4:$AR$4,1,24-Projects!$C$33+1),0)+IF(AND(Projects!$G$34="Yes",Projects!$M$34="Yes",24&gt;=Projects!$C$34,24&lt;Projects!$C$34+Projects!$D$34),Projects!$B$34*INDEX(Curves!$B$4:$AR$4,1,24-Projects!$C$34+1),0)+IF(AND(Projects!$G$35="Yes",Projects!$M$35="Yes",24&gt;=Projects!$C$35,24&lt;Projects!$C$35+Projects!$D$35),Projects!$B$35*INDEX(Curves!$B$4:$AR$4,1,24-Projects!$C$35+1),0)+IF(AND(Projects!$G$36="Yes",Projects!$M$36="Yes",24&gt;=Projects!$C$36,24&lt;Projects!$C$36+Projects!$D$36),Projects!$B$36*INDEX(Curves!$B$4:$AR$4,1,24-Projects!$C$36+1),0)+IF(AND(Projects!$G$37="Yes",Projects!$M$37="Yes",24&gt;=Projects!$C$37,24&lt;Projects!$C$37+Projects!$D$37),Projects!$B$37*INDEX(Curves!$B$4:$AR$4,1,24-Projects!$C$37+1),0)+IF(AND(Projects!$G$38="Yes",Projects!$M$38="Yes",24&gt;=Projects!$C$38,24&lt;Projects!$C$38+Projects!$D$38),Projects!$B$38*INDEX(Curves!$B$4:$AR$4,1,24-Projects!$C$38+1),0)+IF(AND(Projects!$G$39="Yes",Projects!$M$39="Yes",24&gt;=Projects!$C$39,24&lt;Projects!$C$39+Projects!$D$39),Projects!$B$39*INDEX(Curves!$B$4:$AR$4,1,24-Projects!$C$39+1),0)+IF(AND(Projects!$G$40="Yes",Projects!$M$40="Yes",24&gt;=Projects!$C$40,24&lt;Projects!$C$40+Projects!$D$40),Projects!$B$40*INDEX(Curves!$B$4:$AR$4,1,24-Projects!$C$40+1),0)+IF(AND(Projects!$G$41="Yes",Projects!$M$41="Yes",24&gt;=Projects!$C$41,24&lt;Projects!$C$41+Projects!$D$41),Projects!$B$41*INDEX(Curves!$B$4:$AR$4,1,24-Projects!$C$41+1),0)+IF(AND(Projects!$G$42="Yes",Projects!$M$42="Yes",24&gt;=Projects!$C$42,24&lt;Projects!$C$42+Projects!$D$42),Projects!$B$42*INDEX(Curves!$B$4:$AR$4,1,24-Projects!$C$42+1),0)+IF(AND(Projects!$G$43="Yes",Projects!$M$43="Yes",24&gt;=Projects!$C$43,24&lt;Projects!$C$43+Projects!$D$43),Projects!$B$43*INDEX(Curves!$B$4:$AR$4,1,24-Projects!$C$43+1),0)+IF(AND(Projects!$G$44="Yes",Projects!$M$44="Yes",24&gt;=Projects!$C$44,24&lt;Projects!$C$44+Projects!$D$44),Projects!$B$44*INDEX(Curves!$B$4:$AR$4,1,24-Projects!$C$44+1),0)+IF(AND(Projects!$G$45="Yes",Projects!$M$45="Yes",24&gt;=Projects!$C$45,24&lt;Projects!$C$45+Projects!$D$45),Projects!$B$45*INDEX(Curves!$B$4:$AR$4,1,24-Projects!$C$45+1),0)+IF(AND(Projects!$G$46="Yes",Projects!$M$46="Yes",24&gt;=Projects!$C$46,24&lt;Projects!$C$46+Projects!$D$46),Projects!$B$46*INDEX(Curves!$B$4:$AR$4,1,24-Projects!$C$46+1),0)</f>
        <v>4051922.0430955</v>
      </c>
      <c r="AD101" s="317" t="n">
        <f aca="false">IF(AND(Projects!$G$17="Yes",Projects!$M$17="Yes",25&gt;=Projects!$C$17,25&lt;Projects!$C$17+Projects!$D$17),Projects!$B$17*INDEX(Curves!$B$4:$AR$4,1,25-Projects!$C$17+1),0)+IF(AND(Projects!$G$18="Yes",Projects!$M$18="Yes",25&gt;=Projects!$C$18,25&lt;Projects!$C$18+Projects!$D$18),Projects!$B$18*INDEX(Curves!$B$4:$AR$4,1,25-Projects!$C$18+1),0)+IF(AND(Projects!$G$19="Yes",Projects!$M$19="Yes",25&gt;=Projects!$C$19,25&lt;Projects!$C$19+Projects!$D$19),Projects!$B$19*INDEX(Curves!$B$4:$AR$4,1,25-Projects!$C$19+1),0)+IF(AND(Projects!$G$20="Yes",Projects!$M$20="Yes",25&gt;=Projects!$C$20,25&lt;Projects!$C$20+Projects!$D$20),Projects!$B$20*INDEX(Curves!$B$4:$AR$4,1,25-Projects!$C$20+1),0)+IF(AND(Projects!$G$21="Yes",Projects!$M$21="Yes",25&gt;=Projects!$C$21,25&lt;Projects!$C$21+Projects!$D$21),Projects!$B$21*INDEX(Curves!$B$4:$AR$4,1,25-Projects!$C$21+1),0)+IF(AND(Projects!$G$22="Yes",Projects!$M$22="Yes",25&gt;=Projects!$C$22,25&lt;Projects!$C$22+Projects!$D$22),Projects!$B$22*INDEX(Curves!$B$4:$AR$4,1,25-Projects!$C$22+1),0)+IF(AND(Projects!$G$23="Yes",Projects!$M$23="Yes",25&gt;=Projects!$C$23,25&lt;Projects!$C$23+Projects!$D$23),Projects!$B$23*INDEX(Curves!$B$4:$AR$4,1,25-Projects!$C$23+1),0)+IF(AND(Projects!$G$24="Yes",Projects!$M$24="Yes",25&gt;=Projects!$C$24,25&lt;Projects!$C$24+Projects!$D$24),Projects!$B$24*INDEX(Curves!$B$4:$AR$4,1,25-Projects!$C$24+1),0)+IF(AND(Projects!$G$25="Yes",Projects!$M$25="Yes",25&gt;=Projects!$C$25,25&lt;Projects!$C$25+Projects!$D$25),Projects!$B$25*INDEX(Curves!$B$4:$AR$4,1,25-Projects!$C$25+1),0)+IF(AND(Projects!$G$26="Yes",Projects!$M$26="Yes",25&gt;=Projects!$C$26,25&lt;Projects!$C$26+Projects!$D$26),Projects!$B$26*INDEX(Curves!$B$4:$AR$4,1,25-Projects!$C$26+1),0)+IF(AND(Projects!$G$27="Yes",Projects!$M$27="Yes",25&gt;=Projects!$C$27,25&lt;Projects!$C$27+Projects!$D$27),Projects!$B$27*INDEX(Curves!$B$4:$AR$4,1,25-Projects!$C$27+1),0)+IF(AND(Projects!$G$28="Yes",Projects!$M$28="Yes",25&gt;=Projects!$C$28,25&lt;Projects!$C$28+Projects!$D$28),Projects!$B$28*INDEX(Curves!$B$4:$AR$4,1,25-Projects!$C$28+1),0)+IF(AND(Projects!$G$29="Yes",Projects!$M$29="Yes",25&gt;=Projects!$C$29,25&lt;Projects!$C$29+Projects!$D$29),Projects!$B$29*INDEX(Curves!$B$4:$AR$4,1,25-Projects!$C$29+1),0)+IF(AND(Projects!$G$30="Yes",Projects!$M$30="Yes",25&gt;=Projects!$C$30,25&lt;Projects!$C$30+Projects!$D$30),Projects!$B$30*INDEX(Curves!$B$4:$AR$4,1,25-Projects!$C$30+1),0)+IF(AND(Projects!$G$31="Yes",Projects!$M$31="Yes",25&gt;=Projects!$C$31,25&lt;Projects!$C$31+Projects!$D$31),Projects!$B$31*INDEX(Curves!$B$4:$AR$4,1,25-Projects!$C$31+1),0)+IF(AND(Projects!$G$32="Yes",Projects!$M$32="Yes",25&gt;=Projects!$C$32,25&lt;Projects!$C$32+Projects!$D$32),Projects!$B$32*INDEX(Curves!$B$4:$AR$4,1,25-Projects!$C$32+1),0)+IF(AND(Projects!$G$33="Yes",Projects!$M$33="Yes",25&gt;=Projects!$C$33,25&lt;Projects!$C$33+Projects!$D$33),Projects!$B$33*INDEX(Curves!$B$4:$AR$4,1,25-Projects!$C$33+1),0)+IF(AND(Projects!$G$34="Yes",Projects!$M$34="Yes",25&gt;=Projects!$C$34,25&lt;Projects!$C$34+Projects!$D$34),Projects!$B$34*INDEX(Curves!$B$4:$AR$4,1,25-Projects!$C$34+1),0)+IF(AND(Projects!$G$35="Yes",Projects!$M$35="Yes",25&gt;=Projects!$C$35,25&lt;Projects!$C$35+Projects!$D$35),Projects!$B$35*INDEX(Curves!$B$4:$AR$4,1,25-Projects!$C$35+1),0)+IF(AND(Projects!$G$36="Yes",Projects!$M$36="Yes",25&gt;=Projects!$C$36,25&lt;Projects!$C$36+Projects!$D$36),Projects!$B$36*INDEX(Curves!$B$4:$AR$4,1,25-Projects!$C$36+1),0)+IF(AND(Projects!$G$37="Yes",Projects!$M$37="Yes",25&gt;=Projects!$C$37,25&lt;Projects!$C$37+Projects!$D$37),Projects!$B$37*INDEX(Curves!$B$4:$AR$4,1,25-Projects!$C$37+1),0)+IF(AND(Projects!$G$38="Yes",Projects!$M$38="Yes",25&gt;=Projects!$C$38,25&lt;Projects!$C$38+Projects!$D$38),Projects!$B$38*INDEX(Curves!$B$4:$AR$4,1,25-Projects!$C$38+1),0)+IF(AND(Projects!$G$39="Yes",Projects!$M$39="Yes",25&gt;=Projects!$C$39,25&lt;Projects!$C$39+Projects!$D$39),Projects!$B$39*INDEX(Curves!$B$4:$AR$4,1,25-Projects!$C$39+1),0)+IF(AND(Projects!$G$40="Yes",Projects!$M$40="Yes",25&gt;=Projects!$C$40,25&lt;Projects!$C$40+Projects!$D$40),Projects!$B$40*INDEX(Curves!$B$4:$AR$4,1,25-Projects!$C$40+1),0)+IF(AND(Projects!$G$41="Yes",Projects!$M$41="Yes",25&gt;=Projects!$C$41,25&lt;Projects!$C$41+Projects!$D$41),Projects!$B$41*INDEX(Curves!$B$4:$AR$4,1,25-Projects!$C$41+1),0)+IF(AND(Projects!$G$42="Yes",Projects!$M$42="Yes",25&gt;=Projects!$C$42,25&lt;Projects!$C$42+Projects!$D$42),Projects!$B$42*INDEX(Curves!$B$4:$AR$4,1,25-Projects!$C$42+1),0)+IF(AND(Projects!$G$43="Yes",Projects!$M$43="Yes",25&gt;=Projects!$C$43,25&lt;Projects!$C$43+Projects!$D$43),Projects!$B$43*INDEX(Curves!$B$4:$AR$4,1,25-Projects!$C$43+1),0)+IF(AND(Projects!$G$44="Yes",Projects!$M$44="Yes",25&gt;=Projects!$C$44,25&lt;Projects!$C$44+Projects!$D$44),Projects!$B$44*INDEX(Curves!$B$4:$AR$4,1,25-Projects!$C$44+1),0)+IF(AND(Projects!$G$45="Yes",Projects!$M$45="Yes",25&gt;=Projects!$C$45,25&lt;Projects!$C$45+Projects!$D$45),Projects!$B$45*INDEX(Curves!$B$4:$AR$4,1,25-Projects!$C$45+1),0)+IF(AND(Projects!$G$46="Yes",Projects!$M$46="Yes",25&gt;=Projects!$C$46,25&lt;Projects!$C$46+Projects!$D$46),Projects!$B$46*INDEX(Curves!$B$4:$AR$4,1,25-Projects!$C$46+1),0)</f>
        <v>3914690.353955</v>
      </c>
      <c r="AE101" s="317" t="n">
        <f aca="false">IF(AND(Projects!$G$17="Yes",Projects!$M$17="Yes",26&gt;=Projects!$C$17,26&lt;Projects!$C$17+Projects!$D$17),Projects!$B$17*INDEX(Curves!$B$4:$AR$4,1,26-Projects!$C$17+1),0)+IF(AND(Projects!$G$18="Yes",Projects!$M$18="Yes",26&gt;=Projects!$C$18,26&lt;Projects!$C$18+Projects!$D$18),Projects!$B$18*INDEX(Curves!$B$4:$AR$4,1,26-Projects!$C$18+1),0)+IF(AND(Projects!$G$19="Yes",Projects!$M$19="Yes",26&gt;=Projects!$C$19,26&lt;Projects!$C$19+Projects!$D$19),Projects!$B$19*INDEX(Curves!$B$4:$AR$4,1,26-Projects!$C$19+1),0)+IF(AND(Projects!$G$20="Yes",Projects!$M$20="Yes",26&gt;=Projects!$C$20,26&lt;Projects!$C$20+Projects!$D$20),Projects!$B$20*INDEX(Curves!$B$4:$AR$4,1,26-Projects!$C$20+1),0)+IF(AND(Projects!$G$21="Yes",Projects!$M$21="Yes",26&gt;=Projects!$C$21,26&lt;Projects!$C$21+Projects!$D$21),Projects!$B$21*INDEX(Curves!$B$4:$AR$4,1,26-Projects!$C$21+1),0)+IF(AND(Projects!$G$22="Yes",Projects!$M$22="Yes",26&gt;=Projects!$C$22,26&lt;Projects!$C$22+Projects!$D$22),Projects!$B$22*INDEX(Curves!$B$4:$AR$4,1,26-Projects!$C$22+1),0)+IF(AND(Projects!$G$23="Yes",Projects!$M$23="Yes",26&gt;=Projects!$C$23,26&lt;Projects!$C$23+Projects!$D$23),Projects!$B$23*INDEX(Curves!$B$4:$AR$4,1,26-Projects!$C$23+1),0)+IF(AND(Projects!$G$24="Yes",Projects!$M$24="Yes",26&gt;=Projects!$C$24,26&lt;Projects!$C$24+Projects!$D$24),Projects!$B$24*INDEX(Curves!$B$4:$AR$4,1,26-Projects!$C$24+1),0)+IF(AND(Projects!$G$25="Yes",Projects!$M$25="Yes",26&gt;=Projects!$C$25,26&lt;Projects!$C$25+Projects!$D$25),Projects!$B$25*INDEX(Curves!$B$4:$AR$4,1,26-Projects!$C$25+1),0)+IF(AND(Projects!$G$26="Yes",Projects!$M$26="Yes",26&gt;=Projects!$C$26,26&lt;Projects!$C$26+Projects!$D$26),Projects!$B$26*INDEX(Curves!$B$4:$AR$4,1,26-Projects!$C$26+1),0)+IF(AND(Projects!$G$27="Yes",Projects!$M$27="Yes",26&gt;=Projects!$C$27,26&lt;Projects!$C$27+Projects!$D$27),Projects!$B$27*INDEX(Curves!$B$4:$AR$4,1,26-Projects!$C$27+1),0)+IF(AND(Projects!$G$28="Yes",Projects!$M$28="Yes",26&gt;=Projects!$C$28,26&lt;Projects!$C$28+Projects!$D$28),Projects!$B$28*INDEX(Curves!$B$4:$AR$4,1,26-Projects!$C$28+1),0)+IF(AND(Projects!$G$29="Yes",Projects!$M$29="Yes",26&gt;=Projects!$C$29,26&lt;Projects!$C$29+Projects!$D$29),Projects!$B$29*INDEX(Curves!$B$4:$AR$4,1,26-Projects!$C$29+1),0)+IF(AND(Projects!$G$30="Yes",Projects!$M$30="Yes",26&gt;=Projects!$C$30,26&lt;Projects!$C$30+Projects!$D$30),Projects!$B$30*INDEX(Curves!$B$4:$AR$4,1,26-Projects!$C$30+1),0)+IF(AND(Projects!$G$31="Yes",Projects!$M$31="Yes",26&gt;=Projects!$C$31,26&lt;Projects!$C$31+Projects!$D$31),Projects!$B$31*INDEX(Curves!$B$4:$AR$4,1,26-Projects!$C$31+1),0)+IF(AND(Projects!$G$32="Yes",Projects!$M$32="Yes",26&gt;=Projects!$C$32,26&lt;Projects!$C$32+Projects!$D$32),Projects!$B$32*INDEX(Curves!$B$4:$AR$4,1,26-Projects!$C$32+1),0)+IF(AND(Projects!$G$33="Yes",Projects!$M$33="Yes",26&gt;=Projects!$C$33,26&lt;Projects!$C$33+Projects!$D$33),Projects!$B$33*INDEX(Curves!$B$4:$AR$4,1,26-Projects!$C$33+1),0)+IF(AND(Projects!$G$34="Yes",Projects!$M$34="Yes",26&gt;=Projects!$C$34,26&lt;Projects!$C$34+Projects!$D$34),Projects!$B$34*INDEX(Curves!$B$4:$AR$4,1,26-Projects!$C$34+1),0)+IF(AND(Projects!$G$35="Yes",Projects!$M$35="Yes",26&gt;=Projects!$C$35,26&lt;Projects!$C$35+Projects!$D$35),Projects!$B$35*INDEX(Curves!$B$4:$AR$4,1,26-Projects!$C$35+1),0)+IF(AND(Projects!$G$36="Yes",Projects!$M$36="Yes",26&gt;=Projects!$C$36,26&lt;Projects!$C$36+Projects!$D$36),Projects!$B$36*INDEX(Curves!$B$4:$AR$4,1,26-Projects!$C$36+1),0)+IF(AND(Projects!$G$37="Yes",Projects!$M$37="Yes",26&gt;=Projects!$C$37,26&lt;Projects!$C$37+Projects!$D$37),Projects!$B$37*INDEX(Curves!$B$4:$AR$4,1,26-Projects!$C$37+1),0)+IF(AND(Projects!$G$38="Yes",Projects!$M$38="Yes",26&gt;=Projects!$C$38,26&lt;Projects!$C$38+Projects!$D$38),Projects!$B$38*INDEX(Curves!$B$4:$AR$4,1,26-Projects!$C$38+1),0)+IF(AND(Projects!$G$39="Yes",Projects!$M$39="Yes",26&gt;=Projects!$C$39,26&lt;Projects!$C$39+Projects!$D$39),Projects!$B$39*INDEX(Curves!$B$4:$AR$4,1,26-Projects!$C$39+1),0)+IF(AND(Projects!$G$40="Yes",Projects!$M$40="Yes",26&gt;=Projects!$C$40,26&lt;Projects!$C$40+Projects!$D$40),Projects!$B$40*INDEX(Curves!$B$4:$AR$4,1,26-Projects!$C$40+1),0)+IF(AND(Projects!$G$41="Yes",Projects!$M$41="Yes",26&gt;=Projects!$C$41,26&lt;Projects!$C$41+Projects!$D$41),Projects!$B$41*INDEX(Curves!$B$4:$AR$4,1,26-Projects!$C$41+1),0)+IF(AND(Projects!$G$42="Yes",Projects!$M$42="Yes",26&gt;=Projects!$C$42,26&lt;Projects!$C$42+Projects!$D$42),Projects!$B$42*INDEX(Curves!$B$4:$AR$4,1,26-Projects!$C$42+1),0)+IF(AND(Projects!$G$43="Yes",Projects!$M$43="Yes",26&gt;=Projects!$C$43,26&lt;Projects!$C$43+Projects!$D$43),Projects!$B$43*INDEX(Curves!$B$4:$AR$4,1,26-Projects!$C$43+1),0)+IF(AND(Projects!$G$44="Yes",Projects!$M$44="Yes",26&gt;=Projects!$C$44,26&lt;Projects!$C$44+Projects!$D$44),Projects!$B$44*INDEX(Curves!$B$4:$AR$4,1,26-Projects!$C$44+1),0)+IF(AND(Projects!$G$45="Yes",Projects!$M$45="Yes",26&gt;=Projects!$C$45,26&lt;Projects!$C$45+Projects!$D$45),Projects!$B$45*INDEX(Curves!$B$4:$AR$4,1,26-Projects!$C$45+1),0)+IF(AND(Projects!$G$46="Yes",Projects!$M$46="Yes",26&gt;=Projects!$C$46,26&lt;Projects!$C$46+Projects!$D$46),Projects!$B$46*INDEX(Curves!$B$4:$AR$4,1,26-Projects!$C$46+1),0)</f>
        <v>3699301.5294705</v>
      </c>
      <c r="AF101" s="317" t="n">
        <f aca="false">IF(AND(Projects!$G$17="Yes",Projects!$M$17="Yes",27&gt;=Projects!$C$17,27&lt;Projects!$C$17+Projects!$D$17),Projects!$B$17*INDEX(Curves!$B$4:$AR$4,1,27-Projects!$C$17+1),0)+IF(AND(Projects!$G$18="Yes",Projects!$M$18="Yes",27&gt;=Projects!$C$18,27&lt;Projects!$C$18+Projects!$D$18),Projects!$B$18*INDEX(Curves!$B$4:$AR$4,1,27-Projects!$C$18+1),0)+IF(AND(Projects!$G$19="Yes",Projects!$M$19="Yes",27&gt;=Projects!$C$19,27&lt;Projects!$C$19+Projects!$D$19),Projects!$B$19*INDEX(Curves!$B$4:$AR$4,1,27-Projects!$C$19+1),0)+IF(AND(Projects!$G$20="Yes",Projects!$M$20="Yes",27&gt;=Projects!$C$20,27&lt;Projects!$C$20+Projects!$D$20),Projects!$B$20*INDEX(Curves!$B$4:$AR$4,1,27-Projects!$C$20+1),0)+IF(AND(Projects!$G$21="Yes",Projects!$M$21="Yes",27&gt;=Projects!$C$21,27&lt;Projects!$C$21+Projects!$D$21),Projects!$B$21*INDEX(Curves!$B$4:$AR$4,1,27-Projects!$C$21+1),0)+IF(AND(Projects!$G$22="Yes",Projects!$M$22="Yes",27&gt;=Projects!$C$22,27&lt;Projects!$C$22+Projects!$D$22),Projects!$B$22*INDEX(Curves!$B$4:$AR$4,1,27-Projects!$C$22+1),0)+IF(AND(Projects!$G$23="Yes",Projects!$M$23="Yes",27&gt;=Projects!$C$23,27&lt;Projects!$C$23+Projects!$D$23),Projects!$B$23*INDEX(Curves!$B$4:$AR$4,1,27-Projects!$C$23+1),0)+IF(AND(Projects!$G$24="Yes",Projects!$M$24="Yes",27&gt;=Projects!$C$24,27&lt;Projects!$C$24+Projects!$D$24),Projects!$B$24*INDEX(Curves!$B$4:$AR$4,1,27-Projects!$C$24+1),0)+IF(AND(Projects!$G$25="Yes",Projects!$M$25="Yes",27&gt;=Projects!$C$25,27&lt;Projects!$C$25+Projects!$D$25),Projects!$B$25*INDEX(Curves!$B$4:$AR$4,1,27-Projects!$C$25+1),0)+IF(AND(Projects!$G$26="Yes",Projects!$M$26="Yes",27&gt;=Projects!$C$26,27&lt;Projects!$C$26+Projects!$D$26),Projects!$B$26*INDEX(Curves!$B$4:$AR$4,1,27-Projects!$C$26+1),0)+IF(AND(Projects!$G$27="Yes",Projects!$M$27="Yes",27&gt;=Projects!$C$27,27&lt;Projects!$C$27+Projects!$D$27),Projects!$B$27*INDEX(Curves!$B$4:$AR$4,1,27-Projects!$C$27+1),0)+IF(AND(Projects!$G$28="Yes",Projects!$M$28="Yes",27&gt;=Projects!$C$28,27&lt;Projects!$C$28+Projects!$D$28),Projects!$B$28*INDEX(Curves!$B$4:$AR$4,1,27-Projects!$C$28+1),0)+IF(AND(Projects!$G$29="Yes",Projects!$M$29="Yes",27&gt;=Projects!$C$29,27&lt;Projects!$C$29+Projects!$D$29),Projects!$B$29*INDEX(Curves!$B$4:$AR$4,1,27-Projects!$C$29+1),0)+IF(AND(Projects!$G$30="Yes",Projects!$M$30="Yes",27&gt;=Projects!$C$30,27&lt;Projects!$C$30+Projects!$D$30),Projects!$B$30*INDEX(Curves!$B$4:$AR$4,1,27-Projects!$C$30+1),0)+IF(AND(Projects!$G$31="Yes",Projects!$M$31="Yes",27&gt;=Projects!$C$31,27&lt;Projects!$C$31+Projects!$D$31),Projects!$B$31*INDEX(Curves!$B$4:$AR$4,1,27-Projects!$C$31+1),0)+IF(AND(Projects!$G$32="Yes",Projects!$M$32="Yes",27&gt;=Projects!$C$32,27&lt;Projects!$C$32+Projects!$D$32),Projects!$B$32*INDEX(Curves!$B$4:$AR$4,1,27-Projects!$C$32+1),0)+IF(AND(Projects!$G$33="Yes",Projects!$M$33="Yes",27&gt;=Projects!$C$33,27&lt;Projects!$C$33+Projects!$D$33),Projects!$B$33*INDEX(Curves!$B$4:$AR$4,1,27-Projects!$C$33+1),0)+IF(AND(Projects!$G$34="Yes",Projects!$M$34="Yes",27&gt;=Projects!$C$34,27&lt;Projects!$C$34+Projects!$D$34),Projects!$B$34*INDEX(Curves!$B$4:$AR$4,1,27-Projects!$C$34+1),0)+IF(AND(Projects!$G$35="Yes",Projects!$M$35="Yes",27&gt;=Projects!$C$35,27&lt;Projects!$C$35+Projects!$D$35),Projects!$B$35*INDEX(Curves!$B$4:$AR$4,1,27-Projects!$C$35+1),0)+IF(AND(Projects!$G$36="Yes",Projects!$M$36="Yes",27&gt;=Projects!$C$36,27&lt;Projects!$C$36+Projects!$D$36),Projects!$B$36*INDEX(Curves!$B$4:$AR$4,1,27-Projects!$C$36+1),0)+IF(AND(Projects!$G$37="Yes",Projects!$M$37="Yes",27&gt;=Projects!$C$37,27&lt;Projects!$C$37+Projects!$D$37),Projects!$B$37*INDEX(Curves!$B$4:$AR$4,1,27-Projects!$C$37+1),0)+IF(AND(Projects!$G$38="Yes",Projects!$M$38="Yes",27&gt;=Projects!$C$38,27&lt;Projects!$C$38+Projects!$D$38),Projects!$B$38*INDEX(Curves!$B$4:$AR$4,1,27-Projects!$C$38+1),0)+IF(AND(Projects!$G$39="Yes",Projects!$M$39="Yes",27&gt;=Projects!$C$39,27&lt;Projects!$C$39+Projects!$D$39),Projects!$B$39*INDEX(Curves!$B$4:$AR$4,1,27-Projects!$C$39+1),0)+IF(AND(Projects!$G$40="Yes",Projects!$M$40="Yes",27&gt;=Projects!$C$40,27&lt;Projects!$C$40+Projects!$D$40),Projects!$B$40*INDEX(Curves!$B$4:$AR$4,1,27-Projects!$C$40+1),0)+IF(AND(Projects!$G$41="Yes",Projects!$M$41="Yes",27&gt;=Projects!$C$41,27&lt;Projects!$C$41+Projects!$D$41),Projects!$B$41*INDEX(Curves!$B$4:$AR$4,1,27-Projects!$C$41+1),0)+IF(AND(Projects!$G$42="Yes",Projects!$M$42="Yes",27&gt;=Projects!$C$42,27&lt;Projects!$C$42+Projects!$D$42),Projects!$B$42*INDEX(Curves!$B$4:$AR$4,1,27-Projects!$C$42+1),0)+IF(AND(Projects!$G$43="Yes",Projects!$M$43="Yes",27&gt;=Projects!$C$43,27&lt;Projects!$C$43+Projects!$D$43),Projects!$B$43*INDEX(Curves!$B$4:$AR$4,1,27-Projects!$C$43+1),0)+IF(AND(Projects!$G$44="Yes",Projects!$M$44="Yes",27&gt;=Projects!$C$44,27&lt;Projects!$C$44+Projects!$D$44),Projects!$B$44*INDEX(Curves!$B$4:$AR$4,1,27-Projects!$C$44+1),0)+IF(AND(Projects!$G$45="Yes",Projects!$M$45="Yes",27&gt;=Projects!$C$45,27&lt;Projects!$C$45+Projects!$D$45),Projects!$B$45*INDEX(Curves!$B$4:$AR$4,1,27-Projects!$C$45+1),0)+IF(AND(Projects!$G$46="Yes",Projects!$M$46="Yes",27&gt;=Projects!$C$46,27&lt;Projects!$C$46+Projects!$D$46),Projects!$B$46*INDEX(Curves!$B$4:$AR$4,1,27-Projects!$C$46+1),0)</f>
        <v>3418649.47970975</v>
      </c>
      <c r="AG101" s="317" t="n">
        <f aca="false">IF(AND(Projects!$G$17="Yes",Projects!$M$17="Yes",28&gt;=Projects!$C$17,28&lt;Projects!$C$17+Projects!$D$17),Projects!$B$17*INDEX(Curves!$B$4:$AR$4,1,28-Projects!$C$17+1),0)+IF(AND(Projects!$G$18="Yes",Projects!$M$18="Yes",28&gt;=Projects!$C$18,28&lt;Projects!$C$18+Projects!$D$18),Projects!$B$18*INDEX(Curves!$B$4:$AR$4,1,28-Projects!$C$18+1),0)+IF(AND(Projects!$G$19="Yes",Projects!$M$19="Yes",28&gt;=Projects!$C$19,28&lt;Projects!$C$19+Projects!$D$19),Projects!$B$19*INDEX(Curves!$B$4:$AR$4,1,28-Projects!$C$19+1),0)+IF(AND(Projects!$G$20="Yes",Projects!$M$20="Yes",28&gt;=Projects!$C$20,28&lt;Projects!$C$20+Projects!$D$20),Projects!$B$20*INDEX(Curves!$B$4:$AR$4,1,28-Projects!$C$20+1),0)+IF(AND(Projects!$G$21="Yes",Projects!$M$21="Yes",28&gt;=Projects!$C$21,28&lt;Projects!$C$21+Projects!$D$21),Projects!$B$21*INDEX(Curves!$B$4:$AR$4,1,28-Projects!$C$21+1),0)+IF(AND(Projects!$G$22="Yes",Projects!$M$22="Yes",28&gt;=Projects!$C$22,28&lt;Projects!$C$22+Projects!$D$22),Projects!$B$22*INDEX(Curves!$B$4:$AR$4,1,28-Projects!$C$22+1),0)+IF(AND(Projects!$G$23="Yes",Projects!$M$23="Yes",28&gt;=Projects!$C$23,28&lt;Projects!$C$23+Projects!$D$23),Projects!$B$23*INDEX(Curves!$B$4:$AR$4,1,28-Projects!$C$23+1),0)+IF(AND(Projects!$G$24="Yes",Projects!$M$24="Yes",28&gt;=Projects!$C$24,28&lt;Projects!$C$24+Projects!$D$24),Projects!$B$24*INDEX(Curves!$B$4:$AR$4,1,28-Projects!$C$24+1),0)+IF(AND(Projects!$G$25="Yes",Projects!$M$25="Yes",28&gt;=Projects!$C$25,28&lt;Projects!$C$25+Projects!$D$25),Projects!$B$25*INDEX(Curves!$B$4:$AR$4,1,28-Projects!$C$25+1),0)+IF(AND(Projects!$G$26="Yes",Projects!$M$26="Yes",28&gt;=Projects!$C$26,28&lt;Projects!$C$26+Projects!$D$26),Projects!$B$26*INDEX(Curves!$B$4:$AR$4,1,28-Projects!$C$26+1),0)+IF(AND(Projects!$G$27="Yes",Projects!$M$27="Yes",28&gt;=Projects!$C$27,28&lt;Projects!$C$27+Projects!$D$27),Projects!$B$27*INDEX(Curves!$B$4:$AR$4,1,28-Projects!$C$27+1),0)+IF(AND(Projects!$G$28="Yes",Projects!$M$28="Yes",28&gt;=Projects!$C$28,28&lt;Projects!$C$28+Projects!$D$28),Projects!$B$28*INDEX(Curves!$B$4:$AR$4,1,28-Projects!$C$28+1),0)+IF(AND(Projects!$G$29="Yes",Projects!$M$29="Yes",28&gt;=Projects!$C$29,28&lt;Projects!$C$29+Projects!$D$29),Projects!$B$29*INDEX(Curves!$B$4:$AR$4,1,28-Projects!$C$29+1),0)+IF(AND(Projects!$G$30="Yes",Projects!$M$30="Yes",28&gt;=Projects!$C$30,28&lt;Projects!$C$30+Projects!$D$30),Projects!$B$30*INDEX(Curves!$B$4:$AR$4,1,28-Projects!$C$30+1),0)+IF(AND(Projects!$G$31="Yes",Projects!$M$31="Yes",28&gt;=Projects!$C$31,28&lt;Projects!$C$31+Projects!$D$31),Projects!$B$31*INDEX(Curves!$B$4:$AR$4,1,28-Projects!$C$31+1),0)+IF(AND(Projects!$G$32="Yes",Projects!$M$32="Yes",28&gt;=Projects!$C$32,28&lt;Projects!$C$32+Projects!$D$32),Projects!$B$32*INDEX(Curves!$B$4:$AR$4,1,28-Projects!$C$32+1),0)+IF(AND(Projects!$G$33="Yes",Projects!$M$33="Yes",28&gt;=Projects!$C$33,28&lt;Projects!$C$33+Projects!$D$33),Projects!$B$33*INDEX(Curves!$B$4:$AR$4,1,28-Projects!$C$33+1),0)+IF(AND(Projects!$G$34="Yes",Projects!$M$34="Yes",28&gt;=Projects!$C$34,28&lt;Projects!$C$34+Projects!$D$34),Projects!$B$34*INDEX(Curves!$B$4:$AR$4,1,28-Projects!$C$34+1),0)+IF(AND(Projects!$G$35="Yes",Projects!$M$35="Yes",28&gt;=Projects!$C$35,28&lt;Projects!$C$35+Projects!$D$35),Projects!$B$35*INDEX(Curves!$B$4:$AR$4,1,28-Projects!$C$35+1),0)+IF(AND(Projects!$G$36="Yes",Projects!$M$36="Yes",28&gt;=Projects!$C$36,28&lt;Projects!$C$36+Projects!$D$36),Projects!$B$36*INDEX(Curves!$B$4:$AR$4,1,28-Projects!$C$36+1),0)+IF(AND(Projects!$G$37="Yes",Projects!$M$37="Yes",28&gt;=Projects!$C$37,28&lt;Projects!$C$37+Projects!$D$37),Projects!$B$37*INDEX(Curves!$B$4:$AR$4,1,28-Projects!$C$37+1),0)+IF(AND(Projects!$G$38="Yes",Projects!$M$38="Yes",28&gt;=Projects!$C$38,28&lt;Projects!$C$38+Projects!$D$38),Projects!$B$38*INDEX(Curves!$B$4:$AR$4,1,28-Projects!$C$38+1),0)+IF(AND(Projects!$G$39="Yes",Projects!$M$39="Yes",28&gt;=Projects!$C$39,28&lt;Projects!$C$39+Projects!$D$39),Projects!$B$39*INDEX(Curves!$B$4:$AR$4,1,28-Projects!$C$39+1),0)+IF(AND(Projects!$G$40="Yes",Projects!$M$40="Yes",28&gt;=Projects!$C$40,28&lt;Projects!$C$40+Projects!$D$40),Projects!$B$40*INDEX(Curves!$B$4:$AR$4,1,28-Projects!$C$40+1),0)+IF(AND(Projects!$G$41="Yes",Projects!$M$41="Yes",28&gt;=Projects!$C$41,28&lt;Projects!$C$41+Projects!$D$41),Projects!$B$41*INDEX(Curves!$B$4:$AR$4,1,28-Projects!$C$41+1),0)+IF(AND(Projects!$G$42="Yes",Projects!$M$42="Yes",28&gt;=Projects!$C$42,28&lt;Projects!$C$42+Projects!$D$42),Projects!$B$42*INDEX(Curves!$B$4:$AR$4,1,28-Projects!$C$42+1),0)+IF(AND(Projects!$G$43="Yes",Projects!$M$43="Yes",28&gt;=Projects!$C$43,28&lt;Projects!$C$43+Projects!$D$43),Projects!$B$43*INDEX(Curves!$B$4:$AR$4,1,28-Projects!$C$43+1),0)+IF(AND(Projects!$G$44="Yes",Projects!$M$44="Yes",28&gt;=Projects!$C$44,28&lt;Projects!$C$44+Projects!$D$44),Projects!$B$44*INDEX(Curves!$B$4:$AR$4,1,28-Projects!$C$44+1),0)+IF(AND(Projects!$G$45="Yes",Projects!$M$45="Yes",28&gt;=Projects!$C$45,28&lt;Projects!$C$45+Projects!$D$45),Projects!$B$45*INDEX(Curves!$B$4:$AR$4,1,28-Projects!$C$45+1),0)+IF(AND(Projects!$G$46="Yes",Projects!$M$46="Yes",28&gt;=Projects!$C$46,28&lt;Projects!$C$46+Projects!$D$46),Projects!$B$46*INDEX(Curves!$B$4:$AR$4,1,28-Projects!$C$46+1),0)</f>
        <v>3089119.37031675</v>
      </c>
      <c r="AH101" s="317" t="n">
        <f aca="false">IF(AND(Projects!$G$17="Yes",Projects!$M$17="Yes",29&gt;=Projects!$C$17,29&lt;Projects!$C$17+Projects!$D$17),Projects!$B$17*INDEX(Curves!$B$4:$AR$4,1,29-Projects!$C$17+1),0)+IF(AND(Projects!$G$18="Yes",Projects!$M$18="Yes",29&gt;=Projects!$C$18,29&lt;Projects!$C$18+Projects!$D$18),Projects!$B$18*INDEX(Curves!$B$4:$AR$4,1,29-Projects!$C$18+1),0)+IF(AND(Projects!$G$19="Yes",Projects!$M$19="Yes",29&gt;=Projects!$C$19,29&lt;Projects!$C$19+Projects!$D$19),Projects!$B$19*INDEX(Curves!$B$4:$AR$4,1,29-Projects!$C$19+1),0)+IF(AND(Projects!$G$20="Yes",Projects!$M$20="Yes",29&gt;=Projects!$C$20,29&lt;Projects!$C$20+Projects!$D$20),Projects!$B$20*INDEX(Curves!$B$4:$AR$4,1,29-Projects!$C$20+1),0)+IF(AND(Projects!$G$21="Yes",Projects!$M$21="Yes",29&gt;=Projects!$C$21,29&lt;Projects!$C$21+Projects!$D$21),Projects!$B$21*INDEX(Curves!$B$4:$AR$4,1,29-Projects!$C$21+1),0)+IF(AND(Projects!$G$22="Yes",Projects!$M$22="Yes",29&gt;=Projects!$C$22,29&lt;Projects!$C$22+Projects!$D$22),Projects!$B$22*INDEX(Curves!$B$4:$AR$4,1,29-Projects!$C$22+1),0)+IF(AND(Projects!$G$23="Yes",Projects!$M$23="Yes",29&gt;=Projects!$C$23,29&lt;Projects!$C$23+Projects!$D$23),Projects!$B$23*INDEX(Curves!$B$4:$AR$4,1,29-Projects!$C$23+1),0)+IF(AND(Projects!$G$24="Yes",Projects!$M$24="Yes",29&gt;=Projects!$C$24,29&lt;Projects!$C$24+Projects!$D$24),Projects!$B$24*INDEX(Curves!$B$4:$AR$4,1,29-Projects!$C$24+1),0)+IF(AND(Projects!$G$25="Yes",Projects!$M$25="Yes",29&gt;=Projects!$C$25,29&lt;Projects!$C$25+Projects!$D$25),Projects!$B$25*INDEX(Curves!$B$4:$AR$4,1,29-Projects!$C$25+1),0)+IF(AND(Projects!$G$26="Yes",Projects!$M$26="Yes",29&gt;=Projects!$C$26,29&lt;Projects!$C$26+Projects!$D$26),Projects!$B$26*INDEX(Curves!$B$4:$AR$4,1,29-Projects!$C$26+1),0)+IF(AND(Projects!$G$27="Yes",Projects!$M$27="Yes",29&gt;=Projects!$C$27,29&lt;Projects!$C$27+Projects!$D$27),Projects!$B$27*INDEX(Curves!$B$4:$AR$4,1,29-Projects!$C$27+1),0)+IF(AND(Projects!$G$28="Yes",Projects!$M$28="Yes",29&gt;=Projects!$C$28,29&lt;Projects!$C$28+Projects!$D$28),Projects!$B$28*INDEX(Curves!$B$4:$AR$4,1,29-Projects!$C$28+1),0)+IF(AND(Projects!$G$29="Yes",Projects!$M$29="Yes",29&gt;=Projects!$C$29,29&lt;Projects!$C$29+Projects!$D$29),Projects!$B$29*INDEX(Curves!$B$4:$AR$4,1,29-Projects!$C$29+1),0)+IF(AND(Projects!$G$30="Yes",Projects!$M$30="Yes",29&gt;=Projects!$C$30,29&lt;Projects!$C$30+Projects!$D$30),Projects!$B$30*INDEX(Curves!$B$4:$AR$4,1,29-Projects!$C$30+1),0)+IF(AND(Projects!$G$31="Yes",Projects!$M$31="Yes",29&gt;=Projects!$C$31,29&lt;Projects!$C$31+Projects!$D$31),Projects!$B$31*INDEX(Curves!$B$4:$AR$4,1,29-Projects!$C$31+1),0)+IF(AND(Projects!$G$32="Yes",Projects!$M$32="Yes",29&gt;=Projects!$C$32,29&lt;Projects!$C$32+Projects!$D$32),Projects!$B$32*INDEX(Curves!$B$4:$AR$4,1,29-Projects!$C$32+1),0)+IF(AND(Projects!$G$33="Yes",Projects!$M$33="Yes",29&gt;=Projects!$C$33,29&lt;Projects!$C$33+Projects!$D$33),Projects!$B$33*INDEX(Curves!$B$4:$AR$4,1,29-Projects!$C$33+1),0)+IF(AND(Projects!$G$34="Yes",Projects!$M$34="Yes",29&gt;=Projects!$C$34,29&lt;Projects!$C$34+Projects!$D$34),Projects!$B$34*INDEX(Curves!$B$4:$AR$4,1,29-Projects!$C$34+1),0)+IF(AND(Projects!$G$35="Yes",Projects!$M$35="Yes",29&gt;=Projects!$C$35,29&lt;Projects!$C$35+Projects!$D$35),Projects!$B$35*INDEX(Curves!$B$4:$AR$4,1,29-Projects!$C$35+1),0)+IF(AND(Projects!$G$36="Yes",Projects!$M$36="Yes",29&gt;=Projects!$C$36,29&lt;Projects!$C$36+Projects!$D$36),Projects!$B$36*INDEX(Curves!$B$4:$AR$4,1,29-Projects!$C$36+1),0)+IF(AND(Projects!$G$37="Yes",Projects!$M$37="Yes",29&gt;=Projects!$C$37,29&lt;Projects!$C$37+Projects!$D$37),Projects!$B$37*INDEX(Curves!$B$4:$AR$4,1,29-Projects!$C$37+1),0)+IF(AND(Projects!$G$38="Yes",Projects!$M$38="Yes",29&gt;=Projects!$C$38,29&lt;Projects!$C$38+Projects!$D$38),Projects!$B$38*INDEX(Curves!$B$4:$AR$4,1,29-Projects!$C$38+1),0)+IF(AND(Projects!$G$39="Yes",Projects!$M$39="Yes",29&gt;=Projects!$C$39,29&lt;Projects!$C$39+Projects!$D$39),Projects!$B$39*INDEX(Curves!$B$4:$AR$4,1,29-Projects!$C$39+1),0)+IF(AND(Projects!$G$40="Yes",Projects!$M$40="Yes",29&gt;=Projects!$C$40,29&lt;Projects!$C$40+Projects!$D$40),Projects!$B$40*INDEX(Curves!$B$4:$AR$4,1,29-Projects!$C$40+1),0)+IF(AND(Projects!$G$41="Yes",Projects!$M$41="Yes",29&gt;=Projects!$C$41,29&lt;Projects!$C$41+Projects!$D$41),Projects!$B$41*INDEX(Curves!$B$4:$AR$4,1,29-Projects!$C$41+1),0)+IF(AND(Projects!$G$42="Yes",Projects!$M$42="Yes",29&gt;=Projects!$C$42,29&lt;Projects!$C$42+Projects!$D$42),Projects!$B$42*INDEX(Curves!$B$4:$AR$4,1,29-Projects!$C$42+1),0)+IF(AND(Projects!$G$43="Yes",Projects!$M$43="Yes",29&gt;=Projects!$C$43,29&lt;Projects!$C$43+Projects!$D$43),Projects!$B$43*INDEX(Curves!$B$4:$AR$4,1,29-Projects!$C$43+1),0)+IF(AND(Projects!$G$44="Yes",Projects!$M$44="Yes",29&gt;=Projects!$C$44,29&lt;Projects!$C$44+Projects!$D$44),Projects!$B$44*INDEX(Curves!$B$4:$AR$4,1,29-Projects!$C$44+1),0)+IF(AND(Projects!$G$45="Yes",Projects!$M$45="Yes",29&gt;=Projects!$C$45,29&lt;Projects!$C$45+Projects!$D$45),Projects!$B$45*INDEX(Curves!$B$4:$AR$4,1,29-Projects!$C$45+1),0)+IF(AND(Projects!$G$46="Yes",Projects!$M$46="Yes",29&gt;=Projects!$C$46,29&lt;Projects!$C$46+Projects!$D$46),Projects!$B$46*INDEX(Curves!$B$4:$AR$4,1,29-Projects!$C$46+1),0)</f>
        <v>2410885.979528</v>
      </c>
      <c r="AI101" s="317" t="n">
        <f aca="false">IF(AND(Projects!$G$17="Yes",Projects!$M$17="Yes",30&gt;=Projects!$C$17,30&lt;Projects!$C$17+Projects!$D$17),Projects!$B$17*INDEX(Curves!$B$4:$AR$4,1,30-Projects!$C$17+1),0)+IF(AND(Projects!$G$18="Yes",Projects!$M$18="Yes",30&gt;=Projects!$C$18,30&lt;Projects!$C$18+Projects!$D$18),Projects!$B$18*INDEX(Curves!$B$4:$AR$4,1,30-Projects!$C$18+1),0)+IF(AND(Projects!$G$19="Yes",Projects!$M$19="Yes",30&gt;=Projects!$C$19,30&lt;Projects!$C$19+Projects!$D$19),Projects!$B$19*INDEX(Curves!$B$4:$AR$4,1,30-Projects!$C$19+1),0)+IF(AND(Projects!$G$20="Yes",Projects!$M$20="Yes",30&gt;=Projects!$C$20,30&lt;Projects!$C$20+Projects!$D$20),Projects!$B$20*INDEX(Curves!$B$4:$AR$4,1,30-Projects!$C$20+1),0)+IF(AND(Projects!$G$21="Yes",Projects!$M$21="Yes",30&gt;=Projects!$C$21,30&lt;Projects!$C$21+Projects!$D$21),Projects!$B$21*INDEX(Curves!$B$4:$AR$4,1,30-Projects!$C$21+1),0)+IF(AND(Projects!$G$22="Yes",Projects!$M$22="Yes",30&gt;=Projects!$C$22,30&lt;Projects!$C$22+Projects!$D$22),Projects!$B$22*INDEX(Curves!$B$4:$AR$4,1,30-Projects!$C$22+1),0)+IF(AND(Projects!$G$23="Yes",Projects!$M$23="Yes",30&gt;=Projects!$C$23,30&lt;Projects!$C$23+Projects!$D$23),Projects!$B$23*INDEX(Curves!$B$4:$AR$4,1,30-Projects!$C$23+1),0)+IF(AND(Projects!$G$24="Yes",Projects!$M$24="Yes",30&gt;=Projects!$C$24,30&lt;Projects!$C$24+Projects!$D$24),Projects!$B$24*INDEX(Curves!$B$4:$AR$4,1,30-Projects!$C$24+1),0)+IF(AND(Projects!$G$25="Yes",Projects!$M$25="Yes",30&gt;=Projects!$C$25,30&lt;Projects!$C$25+Projects!$D$25),Projects!$B$25*INDEX(Curves!$B$4:$AR$4,1,30-Projects!$C$25+1),0)+IF(AND(Projects!$G$26="Yes",Projects!$M$26="Yes",30&gt;=Projects!$C$26,30&lt;Projects!$C$26+Projects!$D$26),Projects!$B$26*INDEX(Curves!$B$4:$AR$4,1,30-Projects!$C$26+1),0)+IF(AND(Projects!$G$27="Yes",Projects!$M$27="Yes",30&gt;=Projects!$C$27,30&lt;Projects!$C$27+Projects!$D$27),Projects!$B$27*INDEX(Curves!$B$4:$AR$4,1,30-Projects!$C$27+1),0)+IF(AND(Projects!$G$28="Yes",Projects!$M$28="Yes",30&gt;=Projects!$C$28,30&lt;Projects!$C$28+Projects!$D$28),Projects!$B$28*INDEX(Curves!$B$4:$AR$4,1,30-Projects!$C$28+1),0)+IF(AND(Projects!$G$29="Yes",Projects!$M$29="Yes",30&gt;=Projects!$C$29,30&lt;Projects!$C$29+Projects!$D$29),Projects!$B$29*INDEX(Curves!$B$4:$AR$4,1,30-Projects!$C$29+1),0)+IF(AND(Projects!$G$30="Yes",Projects!$M$30="Yes",30&gt;=Projects!$C$30,30&lt;Projects!$C$30+Projects!$D$30),Projects!$B$30*INDEX(Curves!$B$4:$AR$4,1,30-Projects!$C$30+1),0)+IF(AND(Projects!$G$31="Yes",Projects!$M$31="Yes",30&gt;=Projects!$C$31,30&lt;Projects!$C$31+Projects!$D$31),Projects!$B$31*INDEX(Curves!$B$4:$AR$4,1,30-Projects!$C$31+1),0)+IF(AND(Projects!$G$32="Yes",Projects!$M$32="Yes",30&gt;=Projects!$C$32,30&lt;Projects!$C$32+Projects!$D$32),Projects!$B$32*INDEX(Curves!$B$4:$AR$4,1,30-Projects!$C$32+1),0)+IF(AND(Projects!$G$33="Yes",Projects!$M$33="Yes",30&gt;=Projects!$C$33,30&lt;Projects!$C$33+Projects!$D$33),Projects!$B$33*INDEX(Curves!$B$4:$AR$4,1,30-Projects!$C$33+1),0)+IF(AND(Projects!$G$34="Yes",Projects!$M$34="Yes",30&gt;=Projects!$C$34,30&lt;Projects!$C$34+Projects!$D$34),Projects!$B$34*INDEX(Curves!$B$4:$AR$4,1,30-Projects!$C$34+1),0)+IF(AND(Projects!$G$35="Yes",Projects!$M$35="Yes",30&gt;=Projects!$C$35,30&lt;Projects!$C$35+Projects!$D$35),Projects!$B$35*INDEX(Curves!$B$4:$AR$4,1,30-Projects!$C$35+1),0)+IF(AND(Projects!$G$36="Yes",Projects!$M$36="Yes",30&gt;=Projects!$C$36,30&lt;Projects!$C$36+Projects!$D$36),Projects!$B$36*INDEX(Curves!$B$4:$AR$4,1,30-Projects!$C$36+1),0)+IF(AND(Projects!$G$37="Yes",Projects!$M$37="Yes",30&gt;=Projects!$C$37,30&lt;Projects!$C$37+Projects!$D$37),Projects!$B$37*INDEX(Curves!$B$4:$AR$4,1,30-Projects!$C$37+1),0)+IF(AND(Projects!$G$38="Yes",Projects!$M$38="Yes",30&gt;=Projects!$C$38,30&lt;Projects!$C$38+Projects!$D$38),Projects!$B$38*INDEX(Curves!$B$4:$AR$4,1,30-Projects!$C$38+1),0)+IF(AND(Projects!$G$39="Yes",Projects!$M$39="Yes",30&gt;=Projects!$C$39,30&lt;Projects!$C$39+Projects!$D$39),Projects!$B$39*INDEX(Curves!$B$4:$AR$4,1,30-Projects!$C$39+1),0)+IF(AND(Projects!$G$40="Yes",Projects!$M$40="Yes",30&gt;=Projects!$C$40,30&lt;Projects!$C$40+Projects!$D$40),Projects!$B$40*INDEX(Curves!$B$4:$AR$4,1,30-Projects!$C$40+1),0)+IF(AND(Projects!$G$41="Yes",Projects!$M$41="Yes",30&gt;=Projects!$C$41,30&lt;Projects!$C$41+Projects!$D$41),Projects!$B$41*INDEX(Curves!$B$4:$AR$4,1,30-Projects!$C$41+1),0)+IF(AND(Projects!$G$42="Yes",Projects!$M$42="Yes",30&gt;=Projects!$C$42,30&lt;Projects!$C$42+Projects!$D$42),Projects!$B$42*INDEX(Curves!$B$4:$AR$4,1,30-Projects!$C$42+1),0)+IF(AND(Projects!$G$43="Yes",Projects!$M$43="Yes",30&gt;=Projects!$C$43,30&lt;Projects!$C$43+Projects!$D$43),Projects!$B$43*INDEX(Curves!$B$4:$AR$4,1,30-Projects!$C$43+1),0)+IF(AND(Projects!$G$44="Yes",Projects!$M$44="Yes",30&gt;=Projects!$C$44,30&lt;Projects!$C$44+Projects!$D$44),Projects!$B$44*INDEX(Curves!$B$4:$AR$4,1,30-Projects!$C$44+1),0)+IF(AND(Projects!$G$45="Yes",Projects!$M$45="Yes",30&gt;=Projects!$C$45,30&lt;Projects!$C$45+Projects!$D$45),Projects!$B$45*INDEX(Curves!$B$4:$AR$4,1,30-Projects!$C$45+1),0)+IF(AND(Projects!$G$46="Yes",Projects!$M$46="Yes",30&gt;=Projects!$C$46,30&lt;Projects!$C$46+Projects!$D$46),Projects!$B$46*INDEX(Curves!$B$4:$AR$4,1,30-Projects!$C$46+1),0)</f>
        <v>2111456.657492</v>
      </c>
      <c r="AJ101" s="317" t="n">
        <f aca="false">IF(AND(Projects!$G$17="Yes",Projects!$M$17="Yes",31&gt;=Projects!$C$17,31&lt;Projects!$C$17+Projects!$D$17),Projects!$B$17*INDEX(Curves!$B$4:$AR$4,1,31-Projects!$C$17+1),0)+IF(AND(Projects!$G$18="Yes",Projects!$M$18="Yes",31&gt;=Projects!$C$18,31&lt;Projects!$C$18+Projects!$D$18),Projects!$B$18*INDEX(Curves!$B$4:$AR$4,1,31-Projects!$C$18+1),0)+IF(AND(Projects!$G$19="Yes",Projects!$M$19="Yes",31&gt;=Projects!$C$19,31&lt;Projects!$C$19+Projects!$D$19),Projects!$B$19*INDEX(Curves!$B$4:$AR$4,1,31-Projects!$C$19+1),0)+IF(AND(Projects!$G$20="Yes",Projects!$M$20="Yes",31&gt;=Projects!$C$20,31&lt;Projects!$C$20+Projects!$D$20),Projects!$B$20*INDEX(Curves!$B$4:$AR$4,1,31-Projects!$C$20+1),0)+IF(AND(Projects!$G$21="Yes",Projects!$M$21="Yes",31&gt;=Projects!$C$21,31&lt;Projects!$C$21+Projects!$D$21),Projects!$B$21*INDEX(Curves!$B$4:$AR$4,1,31-Projects!$C$21+1),0)+IF(AND(Projects!$G$22="Yes",Projects!$M$22="Yes",31&gt;=Projects!$C$22,31&lt;Projects!$C$22+Projects!$D$22),Projects!$B$22*INDEX(Curves!$B$4:$AR$4,1,31-Projects!$C$22+1),0)+IF(AND(Projects!$G$23="Yes",Projects!$M$23="Yes",31&gt;=Projects!$C$23,31&lt;Projects!$C$23+Projects!$D$23),Projects!$B$23*INDEX(Curves!$B$4:$AR$4,1,31-Projects!$C$23+1),0)+IF(AND(Projects!$G$24="Yes",Projects!$M$24="Yes",31&gt;=Projects!$C$24,31&lt;Projects!$C$24+Projects!$D$24),Projects!$B$24*INDEX(Curves!$B$4:$AR$4,1,31-Projects!$C$24+1),0)+IF(AND(Projects!$G$25="Yes",Projects!$M$25="Yes",31&gt;=Projects!$C$25,31&lt;Projects!$C$25+Projects!$D$25),Projects!$B$25*INDEX(Curves!$B$4:$AR$4,1,31-Projects!$C$25+1),0)+IF(AND(Projects!$G$26="Yes",Projects!$M$26="Yes",31&gt;=Projects!$C$26,31&lt;Projects!$C$26+Projects!$D$26),Projects!$B$26*INDEX(Curves!$B$4:$AR$4,1,31-Projects!$C$26+1),0)+IF(AND(Projects!$G$27="Yes",Projects!$M$27="Yes",31&gt;=Projects!$C$27,31&lt;Projects!$C$27+Projects!$D$27),Projects!$B$27*INDEX(Curves!$B$4:$AR$4,1,31-Projects!$C$27+1),0)+IF(AND(Projects!$G$28="Yes",Projects!$M$28="Yes",31&gt;=Projects!$C$28,31&lt;Projects!$C$28+Projects!$D$28),Projects!$B$28*INDEX(Curves!$B$4:$AR$4,1,31-Projects!$C$28+1),0)+IF(AND(Projects!$G$29="Yes",Projects!$M$29="Yes",31&gt;=Projects!$C$29,31&lt;Projects!$C$29+Projects!$D$29),Projects!$B$29*INDEX(Curves!$B$4:$AR$4,1,31-Projects!$C$29+1),0)+IF(AND(Projects!$G$30="Yes",Projects!$M$30="Yes",31&gt;=Projects!$C$30,31&lt;Projects!$C$30+Projects!$D$30),Projects!$B$30*INDEX(Curves!$B$4:$AR$4,1,31-Projects!$C$30+1),0)+IF(AND(Projects!$G$31="Yes",Projects!$M$31="Yes",31&gt;=Projects!$C$31,31&lt;Projects!$C$31+Projects!$D$31),Projects!$B$31*INDEX(Curves!$B$4:$AR$4,1,31-Projects!$C$31+1),0)+IF(AND(Projects!$G$32="Yes",Projects!$M$32="Yes",31&gt;=Projects!$C$32,31&lt;Projects!$C$32+Projects!$D$32),Projects!$B$32*INDEX(Curves!$B$4:$AR$4,1,31-Projects!$C$32+1),0)+IF(AND(Projects!$G$33="Yes",Projects!$M$33="Yes",31&gt;=Projects!$C$33,31&lt;Projects!$C$33+Projects!$D$33),Projects!$B$33*INDEX(Curves!$B$4:$AR$4,1,31-Projects!$C$33+1),0)+IF(AND(Projects!$G$34="Yes",Projects!$M$34="Yes",31&gt;=Projects!$C$34,31&lt;Projects!$C$34+Projects!$D$34),Projects!$B$34*INDEX(Curves!$B$4:$AR$4,1,31-Projects!$C$34+1),0)+IF(AND(Projects!$G$35="Yes",Projects!$M$35="Yes",31&gt;=Projects!$C$35,31&lt;Projects!$C$35+Projects!$D$35),Projects!$B$35*INDEX(Curves!$B$4:$AR$4,1,31-Projects!$C$35+1),0)+IF(AND(Projects!$G$36="Yes",Projects!$M$36="Yes",31&gt;=Projects!$C$36,31&lt;Projects!$C$36+Projects!$D$36),Projects!$B$36*INDEX(Curves!$B$4:$AR$4,1,31-Projects!$C$36+1),0)+IF(AND(Projects!$G$37="Yes",Projects!$M$37="Yes",31&gt;=Projects!$C$37,31&lt;Projects!$C$37+Projects!$D$37),Projects!$B$37*INDEX(Curves!$B$4:$AR$4,1,31-Projects!$C$37+1),0)+IF(AND(Projects!$G$38="Yes",Projects!$M$38="Yes",31&gt;=Projects!$C$38,31&lt;Projects!$C$38+Projects!$D$38),Projects!$B$38*INDEX(Curves!$B$4:$AR$4,1,31-Projects!$C$38+1),0)+IF(AND(Projects!$G$39="Yes",Projects!$M$39="Yes",31&gt;=Projects!$C$39,31&lt;Projects!$C$39+Projects!$D$39),Projects!$B$39*INDEX(Curves!$B$4:$AR$4,1,31-Projects!$C$39+1),0)+IF(AND(Projects!$G$40="Yes",Projects!$M$40="Yes",31&gt;=Projects!$C$40,31&lt;Projects!$C$40+Projects!$D$40),Projects!$B$40*INDEX(Curves!$B$4:$AR$4,1,31-Projects!$C$40+1),0)+IF(AND(Projects!$G$41="Yes",Projects!$M$41="Yes",31&gt;=Projects!$C$41,31&lt;Projects!$C$41+Projects!$D$41),Projects!$B$41*INDEX(Curves!$B$4:$AR$4,1,31-Projects!$C$41+1),0)+IF(AND(Projects!$G$42="Yes",Projects!$M$42="Yes",31&gt;=Projects!$C$42,31&lt;Projects!$C$42+Projects!$D$42),Projects!$B$42*INDEX(Curves!$B$4:$AR$4,1,31-Projects!$C$42+1),0)+IF(AND(Projects!$G$43="Yes",Projects!$M$43="Yes",31&gt;=Projects!$C$43,31&lt;Projects!$C$43+Projects!$D$43),Projects!$B$43*INDEX(Curves!$B$4:$AR$4,1,31-Projects!$C$43+1),0)+IF(AND(Projects!$G$44="Yes",Projects!$M$44="Yes",31&gt;=Projects!$C$44,31&lt;Projects!$C$44+Projects!$D$44),Projects!$B$44*INDEX(Curves!$B$4:$AR$4,1,31-Projects!$C$44+1),0)+IF(AND(Projects!$G$45="Yes",Projects!$M$45="Yes",31&gt;=Projects!$C$45,31&lt;Projects!$C$45+Projects!$D$45),Projects!$B$45*INDEX(Curves!$B$4:$AR$4,1,31-Projects!$C$45+1),0)+IF(AND(Projects!$G$46="Yes",Projects!$M$46="Yes",31&gt;=Projects!$C$46,31&lt;Projects!$C$46+Projects!$D$46),Projects!$B$46*INDEX(Curves!$B$4:$AR$4,1,31-Projects!$C$46+1),0)</f>
        <v>1804566.756813</v>
      </c>
      <c r="AK101" s="317" t="n">
        <f aca="false">IF(AND(Projects!$G$17="Yes",Projects!$M$17="Yes",32&gt;=Projects!$C$17,32&lt;Projects!$C$17+Projects!$D$17),Projects!$B$17*INDEX(Curves!$B$4:$AR$4,1,32-Projects!$C$17+1),0)+IF(AND(Projects!$G$18="Yes",Projects!$M$18="Yes",32&gt;=Projects!$C$18,32&lt;Projects!$C$18+Projects!$D$18),Projects!$B$18*INDEX(Curves!$B$4:$AR$4,1,32-Projects!$C$18+1),0)+IF(AND(Projects!$G$19="Yes",Projects!$M$19="Yes",32&gt;=Projects!$C$19,32&lt;Projects!$C$19+Projects!$D$19),Projects!$B$19*INDEX(Curves!$B$4:$AR$4,1,32-Projects!$C$19+1),0)+IF(AND(Projects!$G$20="Yes",Projects!$M$20="Yes",32&gt;=Projects!$C$20,32&lt;Projects!$C$20+Projects!$D$20),Projects!$B$20*INDEX(Curves!$B$4:$AR$4,1,32-Projects!$C$20+1),0)+IF(AND(Projects!$G$21="Yes",Projects!$M$21="Yes",32&gt;=Projects!$C$21,32&lt;Projects!$C$21+Projects!$D$21),Projects!$B$21*INDEX(Curves!$B$4:$AR$4,1,32-Projects!$C$21+1),0)+IF(AND(Projects!$G$22="Yes",Projects!$M$22="Yes",32&gt;=Projects!$C$22,32&lt;Projects!$C$22+Projects!$D$22),Projects!$B$22*INDEX(Curves!$B$4:$AR$4,1,32-Projects!$C$22+1),0)+IF(AND(Projects!$G$23="Yes",Projects!$M$23="Yes",32&gt;=Projects!$C$23,32&lt;Projects!$C$23+Projects!$D$23),Projects!$B$23*INDEX(Curves!$B$4:$AR$4,1,32-Projects!$C$23+1),0)+IF(AND(Projects!$G$24="Yes",Projects!$M$24="Yes",32&gt;=Projects!$C$24,32&lt;Projects!$C$24+Projects!$D$24),Projects!$B$24*INDEX(Curves!$B$4:$AR$4,1,32-Projects!$C$24+1),0)+IF(AND(Projects!$G$25="Yes",Projects!$M$25="Yes",32&gt;=Projects!$C$25,32&lt;Projects!$C$25+Projects!$D$25),Projects!$B$25*INDEX(Curves!$B$4:$AR$4,1,32-Projects!$C$25+1),0)+IF(AND(Projects!$G$26="Yes",Projects!$M$26="Yes",32&gt;=Projects!$C$26,32&lt;Projects!$C$26+Projects!$D$26),Projects!$B$26*INDEX(Curves!$B$4:$AR$4,1,32-Projects!$C$26+1),0)+IF(AND(Projects!$G$27="Yes",Projects!$M$27="Yes",32&gt;=Projects!$C$27,32&lt;Projects!$C$27+Projects!$D$27),Projects!$B$27*INDEX(Curves!$B$4:$AR$4,1,32-Projects!$C$27+1),0)+IF(AND(Projects!$G$28="Yes",Projects!$M$28="Yes",32&gt;=Projects!$C$28,32&lt;Projects!$C$28+Projects!$D$28),Projects!$B$28*INDEX(Curves!$B$4:$AR$4,1,32-Projects!$C$28+1),0)+IF(AND(Projects!$G$29="Yes",Projects!$M$29="Yes",32&gt;=Projects!$C$29,32&lt;Projects!$C$29+Projects!$D$29),Projects!$B$29*INDEX(Curves!$B$4:$AR$4,1,32-Projects!$C$29+1),0)+IF(AND(Projects!$G$30="Yes",Projects!$M$30="Yes",32&gt;=Projects!$C$30,32&lt;Projects!$C$30+Projects!$D$30),Projects!$B$30*INDEX(Curves!$B$4:$AR$4,1,32-Projects!$C$30+1),0)+IF(AND(Projects!$G$31="Yes",Projects!$M$31="Yes",32&gt;=Projects!$C$31,32&lt;Projects!$C$31+Projects!$D$31),Projects!$B$31*INDEX(Curves!$B$4:$AR$4,1,32-Projects!$C$31+1),0)+IF(AND(Projects!$G$32="Yes",Projects!$M$32="Yes",32&gt;=Projects!$C$32,32&lt;Projects!$C$32+Projects!$D$32),Projects!$B$32*INDEX(Curves!$B$4:$AR$4,1,32-Projects!$C$32+1),0)+IF(AND(Projects!$G$33="Yes",Projects!$M$33="Yes",32&gt;=Projects!$C$33,32&lt;Projects!$C$33+Projects!$D$33),Projects!$B$33*INDEX(Curves!$B$4:$AR$4,1,32-Projects!$C$33+1),0)+IF(AND(Projects!$G$34="Yes",Projects!$M$34="Yes",32&gt;=Projects!$C$34,32&lt;Projects!$C$34+Projects!$D$34),Projects!$B$34*INDEX(Curves!$B$4:$AR$4,1,32-Projects!$C$34+1),0)+IF(AND(Projects!$G$35="Yes",Projects!$M$35="Yes",32&gt;=Projects!$C$35,32&lt;Projects!$C$35+Projects!$D$35),Projects!$B$35*INDEX(Curves!$B$4:$AR$4,1,32-Projects!$C$35+1),0)+IF(AND(Projects!$G$36="Yes",Projects!$M$36="Yes",32&gt;=Projects!$C$36,32&lt;Projects!$C$36+Projects!$D$36),Projects!$B$36*INDEX(Curves!$B$4:$AR$4,1,32-Projects!$C$36+1),0)+IF(AND(Projects!$G$37="Yes",Projects!$M$37="Yes",32&gt;=Projects!$C$37,32&lt;Projects!$C$37+Projects!$D$37),Projects!$B$37*INDEX(Curves!$B$4:$AR$4,1,32-Projects!$C$37+1),0)+IF(AND(Projects!$G$38="Yes",Projects!$M$38="Yes",32&gt;=Projects!$C$38,32&lt;Projects!$C$38+Projects!$D$38),Projects!$B$38*INDEX(Curves!$B$4:$AR$4,1,32-Projects!$C$38+1),0)+IF(AND(Projects!$G$39="Yes",Projects!$M$39="Yes",32&gt;=Projects!$C$39,32&lt;Projects!$C$39+Projects!$D$39),Projects!$B$39*INDEX(Curves!$B$4:$AR$4,1,32-Projects!$C$39+1),0)+IF(AND(Projects!$G$40="Yes",Projects!$M$40="Yes",32&gt;=Projects!$C$40,32&lt;Projects!$C$40+Projects!$D$40),Projects!$B$40*INDEX(Curves!$B$4:$AR$4,1,32-Projects!$C$40+1),0)+IF(AND(Projects!$G$41="Yes",Projects!$M$41="Yes",32&gt;=Projects!$C$41,32&lt;Projects!$C$41+Projects!$D$41),Projects!$B$41*INDEX(Curves!$B$4:$AR$4,1,32-Projects!$C$41+1),0)+IF(AND(Projects!$G$42="Yes",Projects!$M$42="Yes",32&gt;=Projects!$C$42,32&lt;Projects!$C$42+Projects!$D$42),Projects!$B$42*INDEX(Curves!$B$4:$AR$4,1,32-Projects!$C$42+1),0)+IF(AND(Projects!$G$43="Yes",Projects!$M$43="Yes",32&gt;=Projects!$C$43,32&lt;Projects!$C$43+Projects!$D$43),Projects!$B$43*INDEX(Curves!$B$4:$AR$4,1,32-Projects!$C$43+1),0)+IF(AND(Projects!$G$44="Yes",Projects!$M$44="Yes",32&gt;=Projects!$C$44,32&lt;Projects!$C$44+Projects!$D$44),Projects!$B$44*INDEX(Curves!$B$4:$AR$4,1,32-Projects!$C$44+1),0)+IF(AND(Projects!$G$45="Yes",Projects!$M$45="Yes",32&gt;=Projects!$C$45,32&lt;Projects!$C$45+Projects!$D$45),Projects!$B$45*INDEX(Curves!$B$4:$AR$4,1,32-Projects!$C$45+1),0)+IF(AND(Projects!$G$46="Yes",Projects!$M$46="Yes",32&gt;=Projects!$C$46,32&lt;Projects!$C$46+Projects!$D$46),Projects!$B$46*INDEX(Curves!$B$4:$AR$4,1,32-Projects!$C$46+1),0)</f>
        <v>1505061.025398</v>
      </c>
      <c r="AL101" s="317" t="n">
        <f aca="false">IF(AND(Projects!$G$17="Yes",Projects!$M$17="Yes",33&gt;=Projects!$C$17,33&lt;Projects!$C$17+Projects!$D$17),Projects!$B$17*INDEX(Curves!$B$4:$AR$4,1,33-Projects!$C$17+1),0)+IF(AND(Projects!$G$18="Yes",Projects!$M$18="Yes",33&gt;=Projects!$C$18,33&lt;Projects!$C$18+Projects!$D$18),Projects!$B$18*INDEX(Curves!$B$4:$AR$4,1,33-Projects!$C$18+1),0)+IF(AND(Projects!$G$19="Yes",Projects!$M$19="Yes",33&gt;=Projects!$C$19,33&lt;Projects!$C$19+Projects!$D$19),Projects!$B$19*INDEX(Curves!$B$4:$AR$4,1,33-Projects!$C$19+1),0)+IF(AND(Projects!$G$20="Yes",Projects!$M$20="Yes",33&gt;=Projects!$C$20,33&lt;Projects!$C$20+Projects!$D$20),Projects!$B$20*INDEX(Curves!$B$4:$AR$4,1,33-Projects!$C$20+1),0)+IF(AND(Projects!$G$21="Yes",Projects!$M$21="Yes",33&gt;=Projects!$C$21,33&lt;Projects!$C$21+Projects!$D$21),Projects!$B$21*INDEX(Curves!$B$4:$AR$4,1,33-Projects!$C$21+1),0)+IF(AND(Projects!$G$22="Yes",Projects!$M$22="Yes",33&gt;=Projects!$C$22,33&lt;Projects!$C$22+Projects!$D$22),Projects!$B$22*INDEX(Curves!$B$4:$AR$4,1,33-Projects!$C$22+1),0)+IF(AND(Projects!$G$23="Yes",Projects!$M$23="Yes",33&gt;=Projects!$C$23,33&lt;Projects!$C$23+Projects!$D$23),Projects!$B$23*INDEX(Curves!$B$4:$AR$4,1,33-Projects!$C$23+1),0)+IF(AND(Projects!$G$24="Yes",Projects!$M$24="Yes",33&gt;=Projects!$C$24,33&lt;Projects!$C$24+Projects!$D$24),Projects!$B$24*INDEX(Curves!$B$4:$AR$4,1,33-Projects!$C$24+1),0)+IF(AND(Projects!$G$25="Yes",Projects!$M$25="Yes",33&gt;=Projects!$C$25,33&lt;Projects!$C$25+Projects!$D$25),Projects!$B$25*INDEX(Curves!$B$4:$AR$4,1,33-Projects!$C$25+1),0)+IF(AND(Projects!$G$26="Yes",Projects!$M$26="Yes",33&gt;=Projects!$C$26,33&lt;Projects!$C$26+Projects!$D$26),Projects!$B$26*INDEX(Curves!$B$4:$AR$4,1,33-Projects!$C$26+1),0)+IF(AND(Projects!$G$27="Yes",Projects!$M$27="Yes",33&gt;=Projects!$C$27,33&lt;Projects!$C$27+Projects!$D$27),Projects!$B$27*INDEX(Curves!$B$4:$AR$4,1,33-Projects!$C$27+1),0)+IF(AND(Projects!$G$28="Yes",Projects!$M$28="Yes",33&gt;=Projects!$C$28,33&lt;Projects!$C$28+Projects!$D$28),Projects!$B$28*INDEX(Curves!$B$4:$AR$4,1,33-Projects!$C$28+1),0)+IF(AND(Projects!$G$29="Yes",Projects!$M$29="Yes",33&gt;=Projects!$C$29,33&lt;Projects!$C$29+Projects!$D$29),Projects!$B$29*INDEX(Curves!$B$4:$AR$4,1,33-Projects!$C$29+1),0)+IF(AND(Projects!$G$30="Yes",Projects!$M$30="Yes",33&gt;=Projects!$C$30,33&lt;Projects!$C$30+Projects!$D$30),Projects!$B$30*INDEX(Curves!$B$4:$AR$4,1,33-Projects!$C$30+1),0)+IF(AND(Projects!$G$31="Yes",Projects!$M$31="Yes",33&gt;=Projects!$C$31,33&lt;Projects!$C$31+Projects!$D$31),Projects!$B$31*INDEX(Curves!$B$4:$AR$4,1,33-Projects!$C$31+1),0)+IF(AND(Projects!$G$32="Yes",Projects!$M$32="Yes",33&gt;=Projects!$C$32,33&lt;Projects!$C$32+Projects!$D$32),Projects!$B$32*INDEX(Curves!$B$4:$AR$4,1,33-Projects!$C$32+1),0)+IF(AND(Projects!$G$33="Yes",Projects!$M$33="Yes",33&gt;=Projects!$C$33,33&lt;Projects!$C$33+Projects!$D$33),Projects!$B$33*INDEX(Curves!$B$4:$AR$4,1,33-Projects!$C$33+1),0)+IF(AND(Projects!$G$34="Yes",Projects!$M$34="Yes",33&gt;=Projects!$C$34,33&lt;Projects!$C$34+Projects!$D$34),Projects!$B$34*INDEX(Curves!$B$4:$AR$4,1,33-Projects!$C$34+1),0)+IF(AND(Projects!$G$35="Yes",Projects!$M$35="Yes",33&gt;=Projects!$C$35,33&lt;Projects!$C$35+Projects!$D$35),Projects!$B$35*INDEX(Curves!$B$4:$AR$4,1,33-Projects!$C$35+1),0)+IF(AND(Projects!$G$36="Yes",Projects!$M$36="Yes",33&gt;=Projects!$C$36,33&lt;Projects!$C$36+Projects!$D$36),Projects!$B$36*INDEX(Curves!$B$4:$AR$4,1,33-Projects!$C$36+1),0)+IF(AND(Projects!$G$37="Yes",Projects!$M$37="Yes",33&gt;=Projects!$C$37,33&lt;Projects!$C$37+Projects!$D$37),Projects!$B$37*INDEX(Curves!$B$4:$AR$4,1,33-Projects!$C$37+1),0)+IF(AND(Projects!$G$38="Yes",Projects!$M$38="Yes",33&gt;=Projects!$C$38,33&lt;Projects!$C$38+Projects!$D$38),Projects!$B$38*INDEX(Curves!$B$4:$AR$4,1,33-Projects!$C$38+1),0)+IF(AND(Projects!$G$39="Yes",Projects!$M$39="Yes",33&gt;=Projects!$C$39,33&lt;Projects!$C$39+Projects!$D$39),Projects!$B$39*INDEX(Curves!$B$4:$AR$4,1,33-Projects!$C$39+1),0)+IF(AND(Projects!$G$40="Yes",Projects!$M$40="Yes",33&gt;=Projects!$C$40,33&lt;Projects!$C$40+Projects!$D$40),Projects!$B$40*INDEX(Curves!$B$4:$AR$4,1,33-Projects!$C$40+1),0)+IF(AND(Projects!$G$41="Yes",Projects!$M$41="Yes",33&gt;=Projects!$C$41,33&lt;Projects!$C$41+Projects!$D$41),Projects!$B$41*INDEX(Curves!$B$4:$AR$4,1,33-Projects!$C$41+1),0)+IF(AND(Projects!$G$42="Yes",Projects!$M$42="Yes",33&gt;=Projects!$C$42,33&lt;Projects!$C$42+Projects!$D$42),Projects!$B$42*INDEX(Curves!$B$4:$AR$4,1,33-Projects!$C$42+1),0)+IF(AND(Projects!$G$43="Yes",Projects!$M$43="Yes",33&gt;=Projects!$C$43,33&lt;Projects!$C$43+Projects!$D$43),Projects!$B$43*INDEX(Curves!$B$4:$AR$4,1,33-Projects!$C$43+1),0)+IF(AND(Projects!$G$44="Yes",Projects!$M$44="Yes",33&gt;=Projects!$C$44,33&lt;Projects!$C$44+Projects!$D$44),Projects!$B$44*INDEX(Curves!$B$4:$AR$4,1,33-Projects!$C$44+1),0)+IF(AND(Projects!$G$45="Yes",Projects!$M$45="Yes",33&gt;=Projects!$C$45,33&lt;Projects!$C$45+Projects!$D$45),Projects!$B$45*INDEX(Curves!$B$4:$AR$4,1,33-Projects!$C$45+1),0)+IF(AND(Projects!$G$46="Yes",Projects!$M$46="Yes",33&gt;=Projects!$C$46,33&lt;Projects!$C$46+Projects!$D$46),Projects!$B$46*INDEX(Curves!$B$4:$AR$4,1,33-Projects!$C$46+1),0)</f>
        <v>904306.653254</v>
      </c>
      <c r="AM101" s="317" t="n">
        <f aca="false">IF(AND(Projects!$G$17="Yes",Projects!$M$17="Yes",34&gt;=Projects!$C$17,34&lt;Projects!$C$17+Projects!$D$17),Projects!$B$17*INDEX(Curves!$B$4:$AR$4,1,34-Projects!$C$17+1),0)+IF(AND(Projects!$G$18="Yes",Projects!$M$18="Yes",34&gt;=Projects!$C$18,34&lt;Projects!$C$18+Projects!$D$18),Projects!$B$18*INDEX(Curves!$B$4:$AR$4,1,34-Projects!$C$18+1),0)+IF(AND(Projects!$G$19="Yes",Projects!$M$19="Yes",34&gt;=Projects!$C$19,34&lt;Projects!$C$19+Projects!$D$19),Projects!$B$19*INDEX(Curves!$B$4:$AR$4,1,34-Projects!$C$19+1),0)+IF(AND(Projects!$G$20="Yes",Projects!$M$20="Yes",34&gt;=Projects!$C$20,34&lt;Projects!$C$20+Projects!$D$20),Projects!$B$20*INDEX(Curves!$B$4:$AR$4,1,34-Projects!$C$20+1),0)+IF(AND(Projects!$G$21="Yes",Projects!$M$21="Yes",34&gt;=Projects!$C$21,34&lt;Projects!$C$21+Projects!$D$21),Projects!$B$21*INDEX(Curves!$B$4:$AR$4,1,34-Projects!$C$21+1),0)+IF(AND(Projects!$G$22="Yes",Projects!$M$22="Yes",34&gt;=Projects!$C$22,34&lt;Projects!$C$22+Projects!$D$22),Projects!$B$22*INDEX(Curves!$B$4:$AR$4,1,34-Projects!$C$22+1),0)+IF(AND(Projects!$G$23="Yes",Projects!$M$23="Yes",34&gt;=Projects!$C$23,34&lt;Projects!$C$23+Projects!$D$23),Projects!$B$23*INDEX(Curves!$B$4:$AR$4,1,34-Projects!$C$23+1),0)+IF(AND(Projects!$G$24="Yes",Projects!$M$24="Yes",34&gt;=Projects!$C$24,34&lt;Projects!$C$24+Projects!$D$24),Projects!$B$24*INDEX(Curves!$B$4:$AR$4,1,34-Projects!$C$24+1),0)+IF(AND(Projects!$G$25="Yes",Projects!$M$25="Yes",34&gt;=Projects!$C$25,34&lt;Projects!$C$25+Projects!$D$25),Projects!$B$25*INDEX(Curves!$B$4:$AR$4,1,34-Projects!$C$25+1),0)+IF(AND(Projects!$G$26="Yes",Projects!$M$26="Yes",34&gt;=Projects!$C$26,34&lt;Projects!$C$26+Projects!$D$26),Projects!$B$26*INDEX(Curves!$B$4:$AR$4,1,34-Projects!$C$26+1),0)+IF(AND(Projects!$G$27="Yes",Projects!$M$27="Yes",34&gt;=Projects!$C$27,34&lt;Projects!$C$27+Projects!$D$27),Projects!$B$27*INDEX(Curves!$B$4:$AR$4,1,34-Projects!$C$27+1),0)+IF(AND(Projects!$G$28="Yes",Projects!$M$28="Yes",34&gt;=Projects!$C$28,34&lt;Projects!$C$28+Projects!$D$28),Projects!$B$28*INDEX(Curves!$B$4:$AR$4,1,34-Projects!$C$28+1),0)+IF(AND(Projects!$G$29="Yes",Projects!$M$29="Yes",34&gt;=Projects!$C$29,34&lt;Projects!$C$29+Projects!$D$29),Projects!$B$29*INDEX(Curves!$B$4:$AR$4,1,34-Projects!$C$29+1),0)+IF(AND(Projects!$G$30="Yes",Projects!$M$30="Yes",34&gt;=Projects!$C$30,34&lt;Projects!$C$30+Projects!$D$30),Projects!$B$30*INDEX(Curves!$B$4:$AR$4,1,34-Projects!$C$30+1),0)+IF(AND(Projects!$G$31="Yes",Projects!$M$31="Yes",34&gt;=Projects!$C$31,34&lt;Projects!$C$31+Projects!$D$31),Projects!$B$31*INDEX(Curves!$B$4:$AR$4,1,34-Projects!$C$31+1),0)+IF(AND(Projects!$G$32="Yes",Projects!$M$32="Yes",34&gt;=Projects!$C$32,34&lt;Projects!$C$32+Projects!$D$32),Projects!$B$32*INDEX(Curves!$B$4:$AR$4,1,34-Projects!$C$32+1),0)+IF(AND(Projects!$G$33="Yes",Projects!$M$33="Yes",34&gt;=Projects!$C$33,34&lt;Projects!$C$33+Projects!$D$33),Projects!$B$33*INDEX(Curves!$B$4:$AR$4,1,34-Projects!$C$33+1),0)+IF(AND(Projects!$G$34="Yes",Projects!$M$34="Yes",34&gt;=Projects!$C$34,34&lt;Projects!$C$34+Projects!$D$34),Projects!$B$34*INDEX(Curves!$B$4:$AR$4,1,34-Projects!$C$34+1),0)+IF(AND(Projects!$G$35="Yes",Projects!$M$35="Yes",34&gt;=Projects!$C$35,34&lt;Projects!$C$35+Projects!$D$35),Projects!$B$35*INDEX(Curves!$B$4:$AR$4,1,34-Projects!$C$35+1),0)+IF(AND(Projects!$G$36="Yes",Projects!$M$36="Yes",34&gt;=Projects!$C$36,34&lt;Projects!$C$36+Projects!$D$36),Projects!$B$36*INDEX(Curves!$B$4:$AR$4,1,34-Projects!$C$36+1),0)+IF(AND(Projects!$G$37="Yes",Projects!$M$37="Yes",34&gt;=Projects!$C$37,34&lt;Projects!$C$37+Projects!$D$37),Projects!$B$37*INDEX(Curves!$B$4:$AR$4,1,34-Projects!$C$37+1),0)+IF(AND(Projects!$G$38="Yes",Projects!$M$38="Yes",34&gt;=Projects!$C$38,34&lt;Projects!$C$38+Projects!$D$38),Projects!$B$38*INDEX(Curves!$B$4:$AR$4,1,34-Projects!$C$38+1),0)+IF(AND(Projects!$G$39="Yes",Projects!$M$39="Yes",34&gt;=Projects!$C$39,34&lt;Projects!$C$39+Projects!$D$39),Projects!$B$39*INDEX(Curves!$B$4:$AR$4,1,34-Projects!$C$39+1),0)+IF(AND(Projects!$G$40="Yes",Projects!$M$40="Yes",34&gt;=Projects!$C$40,34&lt;Projects!$C$40+Projects!$D$40),Projects!$B$40*INDEX(Curves!$B$4:$AR$4,1,34-Projects!$C$40+1),0)+IF(AND(Projects!$G$41="Yes",Projects!$M$41="Yes",34&gt;=Projects!$C$41,34&lt;Projects!$C$41+Projects!$D$41),Projects!$B$41*INDEX(Curves!$B$4:$AR$4,1,34-Projects!$C$41+1),0)+IF(AND(Projects!$G$42="Yes",Projects!$M$42="Yes",34&gt;=Projects!$C$42,34&lt;Projects!$C$42+Projects!$D$42),Projects!$B$42*INDEX(Curves!$B$4:$AR$4,1,34-Projects!$C$42+1),0)+IF(AND(Projects!$G$43="Yes",Projects!$M$43="Yes",34&gt;=Projects!$C$43,34&lt;Projects!$C$43+Projects!$D$43),Projects!$B$43*INDEX(Curves!$B$4:$AR$4,1,34-Projects!$C$43+1),0)+IF(AND(Projects!$G$44="Yes",Projects!$M$44="Yes",34&gt;=Projects!$C$44,34&lt;Projects!$C$44+Projects!$D$44),Projects!$B$44*INDEX(Curves!$B$4:$AR$4,1,34-Projects!$C$44+1),0)+IF(AND(Projects!$G$45="Yes",Projects!$M$45="Yes",34&gt;=Projects!$C$45,34&lt;Projects!$C$45+Projects!$D$45),Projects!$B$45*INDEX(Curves!$B$4:$AR$4,1,34-Projects!$C$45+1),0)+IF(AND(Projects!$G$46="Yes",Projects!$M$46="Yes",34&gt;=Projects!$C$46,34&lt;Projects!$C$46+Projects!$D$46),Projects!$B$46*INDEX(Curves!$B$4:$AR$4,1,34-Projects!$C$46+1),0)</f>
        <v>489046.905573</v>
      </c>
      <c r="AN101" s="317" t="n">
        <f aca="false">IF(AND(Projects!$G$17="Yes",Projects!$M$17="Yes",35&gt;=Projects!$C$17,35&lt;Projects!$C$17+Projects!$D$17),Projects!$B$17*INDEX(Curves!$B$4:$AR$4,1,35-Projects!$C$17+1),0)+IF(AND(Projects!$G$18="Yes",Projects!$M$18="Yes",35&gt;=Projects!$C$18,35&lt;Projects!$C$18+Projects!$D$18),Projects!$B$18*INDEX(Curves!$B$4:$AR$4,1,35-Projects!$C$18+1),0)+IF(AND(Projects!$G$19="Yes",Projects!$M$19="Yes",35&gt;=Projects!$C$19,35&lt;Projects!$C$19+Projects!$D$19),Projects!$B$19*INDEX(Curves!$B$4:$AR$4,1,35-Projects!$C$19+1),0)+IF(AND(Projects!$G$20="Yes",Projects!$M$20="Yes",35&gt;=Projects!$C$20,35&lt;Projects!$C$20+Projects!$D$20),Projects!$B$20*INDEX(Curves!$B$4:$AR$4,1,35-Projects!$C$20+1),0)+IF(AND(Projects!$G$21="Yes",Projects!$M$21="Yes",35&gt;=Projects!$C$21,35&lt;Projects!$C$21+Projects!$D$21),Projects!$B$21*INDEX(Curves!$B$4:$AR$4,1,35-Projects!$C$21+1),0)+IF(AND(Projects!$G$22="Yes",Projects!$M$22="Yes",35&gt;=Projects!$C$22,35&lt;Projects!$C$22+Projects!$D$22),Projects!$B$22*INDEX(Curves!$B$4:$AR$4,1,35-Projects!$C$22+1),0)+IF(AND(Projects!$G$23="Yes",Projects!$M$23="Yes",35&gt;=Projects!$C$23,35&lt;Projects!$C$23+Projects!$D$23),Projects!$B$23*INDEX(Curves!$B$4:$AR$4,1,35-Projects!$C$23+1),0)+IF(AND(Projects!$G$24="Yes",Projects!$M$24="Yes",35&gt;=Projects!$C$24,35&lt;Projects!$C$24+Projects!$D$24),Projects!$B$24*INDEX(Curves!$B$4:$AR$4,1,35-Projects!$C$24+1),0)+IF(AND(Projects!$G$25="Yes",Projects!$M$25="Yes",35&gt;=Projects!$C$25,35&lt;Projects!$C$25+Projects!$D$25),Projects!$B$25*INDEX(Curves!$B$4:$AR$4,1,35-Projects!$C$25+1),0)+IF(AND(Projects!$G$26="Yes",Projects!$M$26="Yes",35&gt;=Projects!$C$26,35&lt;Projects!$C$26+Projects!$D$26),Projects!$B$26*INDEX(Curves!$B$4:$AR$4,1,35-Projects!$C$26+1),0)+IF(AND(Projects!$G$27="Yes",Projects!$M$27="Yes",35&gt;=Projects!$C$27,35&lt;Projects!$C$27+Projects!$D$27),Projects!$B$27*INDEX(Curves!$B$4:$AR$4,1,35-Projects!$C$27+1),0)+IF(AND(Projects!$G$28="Yes",Projects!$M$28="Yes",35&gt;=Projects!$C$28,35&lt;Projects!$C$28+Projects!$D$28),Projects!$B$28*INDEX(Curves!$B$4:$AR$4,1,35-Projects!$C$28+1),0)+IF(AND(Projects!$G$29="Yes",Projects!$M$29="Yes",35&gt;=Projects!$C$29,35&lt;Projects!$C$29+Projects!$D$29),Projects!$B$29*INDEX(Curves!$B$4:$AR$4,1,35-Projects!$C$29+1),0)+IF(AND(Projects!$G$30="Yes",Projects!$M$30="Yes",35&gt;=Projects!$C$30,35&lt;Projects!$C$30+Projects!$D$30),Projects!$B$30*INDEX(Curves!$B$4:$AR$4,1,35-Projects!$C$30+1),0)+IF(AND(Projects!$G$31="Yes",Projects!$M$31="Yes",35&gt;=Projects!$C$31,35&lt;Projects!$C$31+Projects!$D$31),Projects!$B$31*INDEX(Curves!$B$4:$AR$4,1,35-Projects!$C$31+1),0)+IF(AND(Projects!$G$32="Yes",Projects!$M$32="Yes",35&gt;=Projects!$C$32,35&lt;Projects!$C$32+Projects!$D$32),Projects!$B$32*INDEX(Curves!$B$4:$AR$4,1,35-Projects!$C$32+1),0)+IF(AND(Projects!$G$33="Yes",Projects!$M$33="Yes",35&gt;=Projects!$C$33,35&lt;Projects!$C$33+Projects!$D$33),Projects!$B$33*INDEX(Curves!$B$4:$AR$4,1,35-Projects!$C$33+1),0)+IF(AND(Projects!$G$34="Yes",Projects!$M$34="Yes",35&gt;=Projects!$C$34,35&lt;Projects!$C$34+Projects!$D$34),Projects!$B$34*INDEX(Curves!$B$4:$AR$4,1,35-Projects!$C$34+1),0)+IF(AND(Projects!$G$35="Yes",Projects!$M$35="Yes",35&gt;=Projects!$C$35,35&lt;Projects!$C$35+Projects!$D$35),Projects!$B$35*INDEX(Curves!$B$4:$AR$4,1,35-Projects!$C$35+1),0)+IF(AND(Projects!$G$36="Yes",Projects!$M$36="Yes",35&gt;=Projects!$C$36,35&lt;Projects!$C$36+Projects!$D$36),Projects!$B$36*INDEX(Curves!$B$4:$AR$4,1,35-Projects!$C$36+1),0)+IF(AND(Projects!$G$37="Yes",Projects!$M$37="Yes",35&gt;=Projects!$C$37,35&lt;Projects!$C$37+Projects!$D$37),Projects!$B$37*INDEX(Curves!$B$4:$AR$4,1,35-Projects!$C$37+1),0)+IF(AND(Projects!$G$38="Yes",Projects!$M$38="Yes",35&gt;=Projects!$C$38,35&lt;Projects!$C$38+Projects!$D$38),Projects!$B$38*INDEX(Curves!$B$4:$AR$4,1,35-Projects!$C$38+1),0)+IF(AND(Projects!$G$39="Yes",Projects!$M$39="Yes",35&gt;=Projects!$C$39,35&lt;Projects!$C$39+Projects!$D$39),Projects!$B$39*INDEX(Curves!$B$4:$AR$4,1,35-Projects!$C$39+1),0)+IF(AND(Projects!$G$40="Yes",Projects!$M$40="Yes",35&gt;=Projects!$C$40,35&lt;Projects!$C$40+Projects!$D$40),Projects!$B$40*INDEX(Curves!$B$4:$AR$4,1,35-Projects!$C$40+1),0)+IF(AND(Projects!$G$41="Yes",Projects!$M$41="Yes",35&gt;=Projects!$C$41,35&lt;Projects!$C$41+Projects!$D$41),Projects!$B$41*INDEX(Curves!$B$4:$AR$4,1,35-Projects!$C$41+1),0)+IF(AND(Projects!$G$42="Yes",Projects!$M$42="Yes",35&gt;=Projects!$C$42,35&lt;Projects!$C$42+Projects!$D$42),Projects!$B$42*INDEX(Curves!$B$4:$AR$4,1,35-Projects!$C$42+1),0)+IF(AND(Projects!$G$43="Yes",Projects!$M$43="Yes",35&gt;=Projects!$C$43,35&lt;Projects!$C$43+Projects!$D$43),Projects!$B$43*INDEX(Curves!$B$4:$AR$4,1,35-Projects!$C$43+1),0)+IF(AND(Projects!$G$44="Yes",Projects!$M$44="Yes",35&gt;=Projects!$C$44,35&lt;Projects!$C$44+Projects!$D$44),Projects!$B$44*INDEX(Curves!$B$4:$AR$4,1,35-Projects!$C$44+1),0)+IF(AND(Projects!$G$45="Yes",Projects!$M$45="Yes",35&gt;=Projects!$C$45,35&lt;Projects!$C$45+Projects!$D$45),Projects!$B$45*INDEX(Curves!$B$4:$AR$4,1,35-Projects!$C$45+1),0)+IF(AND(Projects!$G$46="Yes",Projects!$M$46="Yes",35&gt;=Projects!$C$46,35&lt;Projects!$C$46+Projects!$D$46),Projects!$B$46*INDEX(Curves!$B$4:$AR$4,1,35-Projects!$C$46+1),0)</f>
        <v>0</v>
      </c>
      <c r="AO101" s="317" t="n">
        <f aca="false">IF(AND(Projects!$G$17="Yes",Projects!$M$17="Yes",36&gt;=Projects!$C$17,36&lt;Projects!$C$17+Projects!$D$17),Projects!$B$17*INDEX(Curves!$B$4:$AR$4,1,36-Projects!$C$17+1),0)+IF(AND(Projects!$G$18="Yes",Projects!$M$18="Yes",36&gt;=Projects!$C$18,36&lt;Projects!$C$18+Projects!$D$18),Projects!$B$18*INDEX(Curves!$B$4:$AR$4,1,36-Projects!$C$18+1),0)+IF(AND(Projects!$G$19="Yes",Projects!$M$19="Yes",36&gt;=Projects!$C$19,36&lt;Projects!$C$19+Projects!$D$19),Projects!$B$19*INDEX(Curves!$B$4:$AR$4,1,36-Projects!$C$19+1),0)+IF(AND(Projects!$G$20="Yes",Projects!$M$20="Yes",36&gt;=Projects!$C$20,36&lt;Projects!$C$20+Projects!$D$20),Projects!$B$20*INDEX(Curves!$B$4:$AR$4,1,36-Projects!$C$20+1),0)+IF(AND(Projects!$G$21="Yes",Projects!$M$21="Yes",36&gt;=Projects!$C$21,36&lt;Projects!$C$21+Projects!$D$21),Projects!$B$21*INDEX(Curves!$B$4:$AR$4,1,36-Projects!$C$21+1),0)+IF(AND(Projects!$G$22="Yes",Projects!$M$22="Yes",36&gt;=Projects!$C$22,36&lt;Projects!$C$22+Projects!$D$22),Projects!$B$22*INDEX(Curves!$B$4:$AR$4,1,36-Projects!$C$22+1),0)+IF(AND(Projects!$G$23="Yes",Projects!$M$23="Yes",36&gt;=Projects!$C$23,36&lt;Projects!$C$23+Projects!$D$23),Projects!$B$23*INDEX(Curves!$B$4:$AR$4,1,36-Projects!$C$23+1),0)+IF(AND(Projects!$G$24="Yes",Projects!$M$24="Yes",36&gt;=Projects!$C$24,36&lt;Projects!$C$24+Projects!$D$24),Projects!$B$24*INDEX(Curves!$B$4:$AR$4,1,36-Projects!$C$24+1),0)+IF(AND(Projects!$G$25="Yes",Projects!$M$25="Yes",36&gt;=Projects!$C$25,36&lt;Projects!$C$25+Projects!$D$25),Projects!$B$25*INDEX(Curves!$B$4:$AR$4,1,36-Projects!$C$25+1),0)+IF(AND(Projects!$G$26="Yes",Projects!$M$26="Yes",36&gt;=Projects!$C$26,36&lt;Projects!$C$26+Projects!$D$26),Projects!$B$26*INDEX(Curves!$B$4:$AR$4,1,36-Projects!$C$26+1),0)+IF(AND(Projects!$G$27="Yes",Projects!$M$27="Yes",36&gt;=Projects!$C$27,36&lt;Projects!$C$27+Projects!$D$27),Projects!$B$27*INDEX(Curves!$B$4:$AR$4,1,36-Projects!$C$27+1),0)+IF(AND(Projects!$G$28="Yes",Projects!$M$28="Yes",36&gt;=Projects!$C$28,36&lt;Projects!$C$28+Projects!$D$28),Projects!$B$28*INDEX(Curves!$B$4:$AR$4,1,36-Projects!$C$28+1),0)+IF(AND(Projects!$G$29="Yes",Projects!$M$29="Yes",36&gt;=Projects!$C$29,36&lt;Projects!$C$29+Projects!$D$29),Projects!$B$29*INDEX(Curves!$B$4:$AR$4,1,36-Projects!$C$29+1),0)+IF(AND(Projects!$G$30="Yes",Projects!$M$30="Yes",36&gt;=Projects!$C$30,36&lt;Projects!$C$30+Projects!$D$30),Projects!$B$30*INDEX(Curves!$B$4:$AR$4,1,36-Projects!$C$30+1),0)+IF(AND(Projects!$G$31="Yes",Projects!$M$31="Yes",36&gt;=Projects!$C$31,36&lt;Projects!$C$31+Projects!$D$31),Projects!$B$31*INDEX(Curves!$B$4:$AR$4,1,36-Projects!$C$31+1),0)+IF(AND(Projects!$G$32="Yes",Projects!$M$32="Yes",36&gt;=Projects!$C$32,36&lt;Projects!$C$32+Projects!$D$32),Projects!$B$32*INDEX(Curves!$B$4:$AR$4,1,36-Projects!$C$32+1),0)+IF(AND(Projects!$G$33="Yes",Projects!$M$33="Yes",36&gt;=Projects!$C$33,36&lt;Projects!$C$33+Projects!$D$33),Projects!$B$33*INDEX(Curves!$B$4:$AR$4,1,36-Projects!$C$33+1),0)+IF(AND(Projects!$G$34="Yes",Projects!$M$34="Yes",36&gt;=Projects!$C$34,36&lt;Projects!$C$34+Projects!$D$34),Projects!$B$34*INDEX(Curves!$B$4:$AR$4,1,36-Projects!$C$34+1),0)+IF(AND(Projects!$G$35="Yes",Projects!$M$35="Yes",36&gt;=Projects!$C$35,36&lt;Projects!$C$35+Projects!$D$35),Projects!$B$35*INDEX(Curves!$B$4:$AR$4,1,36-Projects!$C$35+1),0)+IF(AND(Projects!$G$36="Yes",Projects!$M$36="Yes",36&gt;=Projects!$C$36,36&lt;Projects!$C$36+Projects!$D$36),Projects!$B$36*INDEX(Curves!$B$4:$AR$4,1,36-Projects!$C$36+1),0)+IF(AND(Projects!$G$37="Yes",Projects!$M$37="Yes",36&gt;=Projects!$C$37,36&lt;Projects!$C$37+Projects!$D$37),Projects!$B$37*INDEX(Curves!$B$4:$AR$4,1,36-Projects!$C$37+1),0)+IF(AND(Projects!$G$38="Yes",Projects!$M$38="Yes",36&gt;=Projects!$C$38,36&lt;Projects!$C$38+Projects!$D$38),Projects!$B$38*INDEX(Curves!$B$4:$AR$4,1,36-Projects!$C$38+1),0)+IF(AND(Projects!$G$39="Yes",Projects!$M$39="Yes",36&gt;=Projects!$C$39,36&lt;Projects!$C$39+Projects!$D$39),Projects!$B$39*INDEX(Curves!$B$4:$AR$4,1,36-Projects!$C$39+1),0)+IF(AND(Projects!$G$40="Yes",Projects!$M$40="Yes",36&gt;=Projects!$C$40,36&lt;Projects!$C$40+Projects!$D$40),Projects!$B$40*INDEX(Curves!$B$4:$AR$4,1,36-Projects!$C$40+1),0)+IF(AND(Projects!$G$41="Yes",Projects!$M$41="Yes",36&gt;=Projects!$C$41,36&lt;Projects!$C$41+Projects!$D$41),Projects!$B$41*INDEX(Curves!$B$4:$AR$4,1,36-Projects!$C$41+1),0)+IF(AND(Projects!$G$42="Yes",Projects!$M$42="Yes",36&gt;=Projects!$C$42,36&lt;Projects!$C$42+Projects!$D$42),Projects!$B$42*INDEX(Curves!$B$4:$AR$4,1,36-Projects!$C$42+1),0)+IF(AND(Projects!$G$43="Yes",Projects!$M$43="Yes",36&gt;=Projects!$C$43,36&lt;Projects!$C$43+Projects!$D$43),Projects!$B$43*INDEX(Curves!$B$4:$AR$4,1,36-Projects!$C$43+1),0)+IF(AND(Projects!$G$44="Yes",Projects!$M$44="Yes",36&gt;=Projects!$C$44,36&lt;Projects!$C$44+Projects!$D$44),Projects!$B$44*INDEX(Curves!$B$4:$AR$4,1,36-Projects!$C$44+1),0)+IF(AND(Projects!$G$45="Yes",Projects!$M$45="Yes",36&gt;=Projects!$C$45,36&lt;Projects!$C$45+Projects!$D$45),Projects!$B$45*INDEX(Curves!$B$4:$AR$4,1,36-Projects!$C$45+1),0)+IF(AND(Projects!$G$46="Yes",Projects!$M$46="Yes",36&gt;=Projects!$C$46,36&lt;Projects!$C$46+Projects!$D$46),Projects!$B$46*INDEX(Curves!$B$4:$AR$4,1,36-Projects!$C$46+1),0)</f>
        <v>0</v>
      </c>
      <c r="AP101" s="317" t="n">
        <f aca="false">IF(AND(Projects!$G$17="Yes",Projects!$M$17="Yes",37&gt;=Projects!$C$17,37&lt;Projects!$C$17+Projects!$D$17),Projects!$B$17*INDEX(Curves!$B$4:$AR$4,1,37-Projects!$C$17+1),0)+IF(AND(Projects!$G$18="Yes",Projects!$M$18="Yes",37&gt;=Projects!$C$18,37&lt;Projects!$C$18+Projects!$D$18),Projects!$B$18*INDEX(Curves!$B$4:$AR$4,1,37-Projects!$C$18+1),0)+IF(AND(Projects!$G$19="Yes",Projects!$M$19="Yes",37&gt;=Projects!$C$19,37&lt;Projects!$C$19+Projects!$D$19),Projects!$B$19*INDEX(Curves!$B$4:$AR$4,1,37-Projects!$C$19+1),0)+IF(AND(Projects!$G$20="Yes",Projects!$M$20="Yes",37&gt;=Projects!$C$20,37&lt;Projects!$C$20+Projects!$D$20),Projects!$B$20*INDEX(Curves!$B$4:$AR$4,1,37-Projects!$C$20+1),0)+IF(AND(Projects!$G$21="Yes",Projects!$M$21="Yes",37&gt;=Projects!$C$21,37&lt;Projects!$C$21+Projects!$D$21),Projects!$B$21*INDEX(Curves!$B$4:$AR$4,1,37-Projects!$C$21+1),0)+IF(AND(Projects!$G$22="Yes",Projects!$M$22="Yes",37&gt;=Projects!$C$22,37&lt;Projects!$C$22+Projects!$D$22),Projects!$B$22*INDEX(Curves!$B$4:$AR$4,1,37-Projects!$C$22+1),0)+IF(AND(Projects!$G$23="Yes",Projects!$M$23="Yes",37&gt;=Projects!$C$23,37&lt;Projects!$C$23+Projects!$D$23),Projects!$B$23*INDEX(Curves!$B$4:$AR$4,1,37-Projects!$C$23+1),0)+IF(AND(Projects!$G$24="Yes",Projects!$M$24="Yes",37&gt;=Projects!$C$24,37&lt;Projects!$C$24+Projects!$D$24),Projects!$B$24*INDEX(Curves!$B$4:$AR$4,1,37-Projects!$C$24+1),0)+IF(AND(Projects!$G$25="Yes",Projects!$M$25="Yes",37&gt;=Projects!$C$25,37&lt;Projects!$C$25+Projects!$D$25),Projects!$B$25*INDEX(Curves!$B$4:$AR$4,1,37-Projects!$C$25+1),0)+IF(AND(Projects!$G$26="Yes",Projects!$M$26="Yes",37&gt;=Projects!$C$26,37&lt;Projects!$C$26+Projects!$D$26),Projects!$B$26*INDEX(Curves!$B$4:$AR$4,1,37-Projects!$C$26+1),0)+IF(AND(Projects!$G$27="Yes",Projects!$M$27="Yes",37&gt;=Projects!$C$27,37&lt;Projects!$C$27+Projects!$D$27),Projects!$B$27*INDEX(Curves!$B$4:$AR$4,1,37-Projects!$C$27+1),0)+IF(AND(Projects!$G$28="Yes",Projects!$M$28="Yes",37&gt;=Projects!$C$28,37&lt;Projects!$C$28+Projects!$D$28),Projects!$B$28*INDEX(Curves!$B$4:$AR$4,1,37-Projects!$C$28+1),0)+IF(AND(Projects!$G$29="Yes",Projects!$M$29="Yes",37&gt;=Projects!$C$29,37&lt;Projects!$C$29+Projects!$D$29),Projects!$B$29*INDEX(Curves!$B$4:$AR$4,1,37-Projects!$C$29+1),0)+IF(AND(Projects!$G$30="Yes",Projects!$M$30="Yes",37&gt;=Projects!$C$30,37&lt;Projects!$C$30+Projects!$D$30),Projects!$B$30*INDEX(Curves!$B$4:$AR$4,1,37-Projects!$C$30+1),0)+IF(AND(Projects!$G$31="Yes",Projects!$M$31="Yes",37&gt;=Projects!$C$31,37&lt;Projects!$C$31+Projects!$D$31),Projects!$B$31*INDEX(Curves!$B$4:$AR$4,1,37-Projects!$C$31+1),0)+IF(AND(Projects!$G$32="Yes",Projects!$M$32="Yes",37&gt;=Projects!$C$32,37&lt;Projects!$C$32+Projects!$D$32),Projects!$B$32*INDEX(Curves!$B$4:$AR$4,1,37-Projects!$C$32+1),0)+IF(AND(Projects!$G$33="Yes",Projects!$M$33="Yes",37&gt;=Projects!$C$33,37&lt;Projects!$C$33+Projects!$D$33),Projects!$B$33*INDEX(Curves!$B$4:$AR$4,1,37-Projects!$C$33+1),0)+IF(AND(Projects!$G$34="Yes",Projects!$M$34="Yes",37&gt;=Projects!$C$34,37&lt;Projects!$C$34+Projects!$D$34),Projects!$B$34*INDEX(Curves!$B$4:$AR$4,1,37-Projects!$C$34+1),0)+IF(AND(Projects!$G$35="Yes",Projects!$M$35="Yes",37&gt;=Projects!$C$35,37&lt;Projects!$C$35+Projects!$D$35),Projects!$B$35*INDEX(Curves!$B$4:$AR$4,1,37-Projects!$C$35+1),0)+IF(AND(Projects!$G$36="Yes",Projects!$M$36="Yes",37&gt;=Projects!$C$36,37&lt;Projects!$C$36+Projects!$D$36),Projects!$B$36*INDEX(Curves!$B$4:$AR$4,1,37-Projects!$C$36+1),0)+IF(AND(Projects!$G$37="Yes",Projects!$M$37="Yes",37&gt;=Projects!$C$37,37&lt;Projects!$C$37+Projects!$D$37),Projects!$B$37*INDEX(Curves!$B$4:$AR$4,1,37-Projects!$C$37+1),0)+IF(AND(Projects!$G$38="Yes",Projects!$M$38="Yes",37&gt;=Projects!$C$38,37&lt;Projects!$C$38+Projects!$D$38),Projects!$B$38*INDEX(Curves!$B$4:$AR$4,1,37-Projects!$C$38+1),0)+IF(AND(Projects!$G$39="Yes",Projects!$M$39="Yes",37&gt;=Projects!$C$39,37&lt;Projects!$C$39+Projects!$D$39),Projects!$B$39*INDEX(Curves!$B$4:$AR$4,1,37-Projects!$C$39+1),0)+IF(AND(Projects!$G$40="Yes",Projects!$M$40="Yes",37&gt;=Projects!$C$40,37&lt;Projects!$C$40+Projects!$D$40),Projects!$B$40*INDEX(Curves!$B$4:$AR$4,1,37-Projects!$C$40+1),0)+IF(AND(Projects!$G$41="Yes",Projects!$M$41="Yes",37&gt;=Projects!$C$41,37&lt;Projects!$C$41+Projects!$D$41),Projects!$B$41*INDEX(Curves!$B$4:$AR$4,1,37-Projects!$C$41+1),0)+IF(AND(Projects!$G$42="Yes",Projects!$M$42="Yes",37&gt;=Projects!$C$42,37&lt;Projects!$C$42+Projects!$D$42),Projects!$B$42*INDEX(Curves!$B$4:$AR$4,1,37-Projects!$C$42+1),0)+IF(AND(Projects!$G$43="Yes",Projects!$M$43="Yes",37&gt;=Projects!$C$43,37&lt;Projects!$C$43+Projects!$D$43),Projects!$B$43*INDEX(Curves!$B$4:$AR$4,1,37-Projects!$C$43+1),0)+IF(AND(Projects!$G$44="Yes",Projects!$M$44="Yes",37&gt;=Projects!$C$44,37&lt;Projects!$C$44+Projects!$D$44),Projects!$B$44*INDEX(Curves!$B$4:$AR$4,1,37-Projects!$C$44+1),0)+IF(AND(Projects!$G$45="Yes",Projects!$M$45="Yes",37&gt;=Projects!$C$45,37&lt;Projects!$C$45+Projects!$D$45),Projects!$B$45*INDEX(Curves!$B$4:$AR$4,1,37-Projects!$C$45+1),0)+IF(AND(Projects!$G$46="Yes",Projects!$M$46="Yes",37&gt;=Projects!$C$46,37&lt;Projects!$C$46+Projects!$D$46),Projects!$B$46*INDEX(Curves!$B$4:$AR$4,1,37-Projects!$C$46+1),0)</f>
        <v>0</v>
      </c>
      <c r="AQ101" s="317" t="n">
        <f aca="false">IF(AND(Projects!$G$17="Yes",Projects!$M$17="Yes",38&gt;=Projects!$C$17,38&lt;Projects!$C$17+Projects!$D$17),Projects!$B$17*INDEX(Curves!$B$4:$AR$4,1,38-Projects!$C$17+1),0)+IF(AND(Projects!$G$18="Yes",Projects!$M$18="Yes",38&gt;=Projects!$C$18,38&lt;Projects!$C$18+Projects!$D$18),Projects!$B$18*INDEX(Curves!$B$4:$AR$4,1,38-Projects!$C$18+1),0)+IF(AND(Projects!$G$19="Yes",Projects!$M$19="Yes",38&gt;=Projects!$C$19,38&lt;Projects!$C$19+Projects!$D$19),Projects!$B$19*INDEX(Curves!$B$4:$AR$4,1,38-Projects!$C$19+1),0)+IF(AND(Projects!$G$20="Yes",Projects!$M$20="Yes",38&gt;=Projects!$C$20,38&lt;Projects!$C$20+Projects!$D$20),Projects!$B$20*INDEX(Curves!$B$4:$AR$4,1,38-Projects!$C$20+1),0)+IF(AND(Projects!$G$21="Yes",Projects!$M$21="Yes",38&gt;=Projects!$C$21,38&lt;Projects!$C$21+Projects!$D$21),Projects!$B$21*INDEX(Curves!$B$4:$AR$4,1,38-Projects!$C$21+1),0)+IF(AND(Projects!$G$22="Yes",Projects!$M$22="Yes",38&gt;=Projects!$C$22,38&lt;Projects!$C$22+Projects!$D$22),Projects!$B$22*INDEX(Curves!$B$4:$AR$4,1,38-Projects!$C$22+1),0)+IF(AND(Projects!$G$23="Yes",Projects!$M$23="Yes",38&gt;=Projects!$C$23,38&lt;Projects!$C$23+Projects!$D$23),Projects!$B$23*INDEX(Curves!$B$4:$AR$4,1,38-Projects!$C$23+1),0)+IF(AND(Projects!$G$24="Yes",Projects!$M$24="Yes",38&gt;=Projects!$C$24,38&lt;Projects!$C$24+Projects!$D$24),Projects!$B$24*INDEX(Curves!$B$4:$AR$4,1,38-Projects!$C$24+1),0)+IF(AND(Projects!$G$25="Yes",Projects!$M$25="Yes",38&gt;=Projects!$C$25,38&lt;Projects!$C$25+Projects!$D$25),Projects!$B$25*INDEX(Curves!$B$4:$AR$4,1,38-Projects!$C$25+1),0)+IF(AND(Projects!$G$26="Yes",Projects!$M$26="Yes",38&gt;=Projects!$C$26,38&lt;Projects!$C$26+Projects!$D$26),Projects!$B$26*INDEX(Curves!$B$4:$AR$4,1,38-Projects!$C$26+1),0)+IF(AND(Projects!$G$27="Yes",Projects!$M$27="Yes",38&gt;=Projects!$C$27,38&lt;Projects!$C$27+Projects!$D$27),Projects!$B$27*INDEX(Curves!$B$4:$AR$4,1,38-Projects!$C$27+1),0)+IF(AND(Projects!$G$28="Yes",Projects!$M$28="Yes",38&gt;=Projects!$C$28,38&lt;Projects!$C$28+Projects!$D$28),Projects!$B$28*INDEX(Curves!$B$4:$AR$4,1,38-Projects!$C$28+1),0)+IF(AND(Projects!$G$29="Yes",Projects!$M$29="Yes",38&gt;=Projects!$C$29,38&lt;Projects!$C$29+Projects!$D$29),Projects!$B$29*INDEX(Curves!$B$4:$AR$4,1,38-Projects!$C$29+1),0)+IF(AND(Projects!$G$30="Yes",Projects!$M$30="Yes",38&gt;=Projects!$C$30,38&lt;Projects!$C$30+Projects!$D$30),Projects!$B$30*INDEX(Curves!$B$4:$AR$4,1,38-Projects!$C$30+1),0)+IF(AND(Projects!$G$31="Yes",Projects!$M$31="Yes",38&gt;=Projects!$C$31,38&lt;Projects!$C$31+Projects!$D$31),Projects!$B$31*INDEX(Curves!$B$4:$AR$4,1,38-Projects!$C$31+1),0)+IF(AND(Projects!$G$32="Yes",Projects!$M$32="Yes",38&gt;=Projects!$C$32,38&lt;Projects!$C$32+Projects!$D$32),Projects!$B$32*INDEX(Curves!$B$4:$AR$4,1,38-Projects!$C$32+1),0)+IF(AND(Projects!$G$33="Yes",Projects!$M$33="Yes",38&gt;=Projects!$C$33,38&lt;Projects!$C$33+Projects!$D$33),Projects!$B$33*INDEX(Curves!$B$4:$AR$4,1,38-Projects!$C$33+1),0)+IF(AND(Projects!$G$34="Yes",Projects!$M$34="Yes",38&gt;=Projects!$C$34,38&lt;Projects!$C$34+Projects!$D$34),Projects!$B$34*INDEX(Curves!$B$4:$AR$4,1,38-Projects!$C$34+1),0)+IF(AND(Projects!$G$35="Yes",Projects!$M$35="Yes",38&gt;=Projects!$C$35,38&lt;Projects!$C$35+Projects!$D$35),Projects!$B$35*INDEX(Curves!$B$4:$AR$4,1,38-Projects!$C$35+1),0)+IF(AND(Projects!$G$36="Yes",Projects!$M$36="Yes",38&gt;=Projects!$C$36,38&lt;Projects!$C$36+Projects!$D$36),Projects!$B$36*INDEX(Curves!$B$4:$AR$4,1,38-Projects!$C$36+1),0)+IF(AND(Projects!$G$37="Yes",Projects!$M$37="Yes",38&gt;=Projects!$C$37,38&lt;Projects!$C$37+Projects!$D$37),Projects!$B$37*INDEX(Curves!$B$4:$AR$4,1,38-Projects!$C$37+1),0)+IF(AND(Projects!$G$38="Yes",Projects!$M$38="Yes",38&gt;=Projects!$C$38,38&lt;Projects!$C$38+Projects!$D$38),Projects!$B$38*INDEX(Curves!$B$4:$AR$4,1,38-Projects!$C$38+1),0)+IF(AND(Projects!$G$39="Yes",Projects!$M$39="Yes",38&gt;=Projects!$C$39,38&lt;Projects!$C$39+Projects!$D$39),Projects!$B$39*INDEX(Curves!$B$4:$AR$4,1,38-Projects!$C$39+1),0)+IF(AND(Projects!$G$40="Yes",Projects!$M$40="Yes",38&gt;=Projects!$C$40,38&lt;Projects!$C$40+Projects!$D$40),Projects!$B$40*INDEX(Curves!$B$4:$AR$4,1,38-Projects!$C$40+1),0)+IF(AND(Projects!$G$41="Yes",Projects!$M$41="Yes",38&gt;=Projects!$C$41,38&lt;Projects!$C$41+Projects!$D$41),Projects!$B$41*INDEX(Curves!$B$4:$AR$4,1,38-Projects!$C$41+1),0)+IF(AND(Projects!$G$42="Yes",Projects!$M$42="Yes",38&gt;=Projects!$C$42,38&lt;Projects!$C$42+Projects!$D$42),Projects!$B$42*INDEX(Curves!$B$4:$AR$4,1,38-Projects!$C$42+1),0)+IF(AND(Projects!$G$43="Yes",Projects!$M$43="Yes",38&gt;=Projects!$C$43,38&lt;Projects!$C$43+Projects!$D$43),Projects!$B$43*INDEX(Curves!$B$4:$AR$4,1,38-Projects!$C$43+1),0)+IF(AND(Projects!$G$44="Yes",Projects!$M$44="Yes",38&gt;=Projects!$C$44,38&lt;Projects!$C$44+Projects!$D$44),Projects!$B$44*INDEX(Curves!$B$4:$AR$4,1,38-Projects!$C$44+1),0)+IF(AND(Projects!$G$45="Yes",Projects!$M$45="Yes",38&gt;=Projects!$C$45,38&lt;Projects!$C$45+Projects!$D$45),Projects!$B$45*INDEX(Curves!$B$4:$AR$4,1,38-Projects!$C$45+1),0)+IF(AND(Projects!$G$46="Yes",Projects!$M$46="Yes",38&gt;=Projects!$C$46,38&lt;Projects!$C$46+Projects!$D$46),Projects!$B$46*INDEX(Curves!$B$4:$AR$4,1,38-Projects!$C$46+1),0)</f>
        <v>0</v>
      </c>
      <c r="AR101" s="317" t="n">
        <f aca="false">IF(AND(Projects!$G$17="Yes",Projects!$M$17="Yes",39&gt;=Projects!$C$17,39&lt;Projects!$C$17+Projects!$D$17),Projects!$B$17*INDEX(Curves!$B$4:$AR$4,1,39-Projects!$C$17+1),0)+IF(AND(Projects!$G$18="Yes",Projects!$M$18="Yes",39&gt;=Projects!$C$18,39&lt;Projects!$C$18+Projects!$D$18),Projects!$B$18*INDEX(Curves!$B$4:$AR$4,1,39-Projects!$C$18+1),0)+IF(AND(Projects!$G$19="Yes",Projects!$M$19="Yes",39&gt;=Projects!$C$19,39&lt;Projects!$C$19+Projects!$D$19),Projects!$B$19*INDEX(Curves!$B$4:$AR$4,1,39-Projects!$C$19+1),0)+IF(AND(Projects!$G$20="Yes",Projects!$M$20="Yes",39&gt;=Projects!$C$20,39&lt;Projects!$C$20+Projects!$D$20),Projects!$B$20*INDEX(Curves!$B$4:$AR$4,1,39-Projects!$C$20+1),0)+IF(AND(Projects!$G$21="Yes",Projects!$M$21="Yes",39&gt;=Projects!$C$21,39&lt;Projects!$C$21+Projects!$D$21),Projects!$B$21*INDEX(Curves!$B$4:$AR$4,1,39-Projects!$C$21+1),0)+IF(AND(Projects!$G$22="Yes",Projects!$M$22="Yes",39&gt;=Projects!$C$22,39&lt;Projects!$C$22+Projects!$D$22),Projects!$B$22*INDEX(Curves!$B$4:$AR$4,1,39-Projects!$C$22+1),0)+IF(AND(Projects!$G$23="Yes",Projects!$M$23="Yes",39&gt;=Projects!$C$23,39&lt;Projects!$C$23+Projects!$D$23),Projects!$B$23*INDEX(Curves!$B$4:$AR$4,1,39-Projects!$C$23+1),0)+IF(AND(Projects!$G$24="Yes",Projects!$M$24="Yes",39&gt;=Projects!$C$24,39&lt;Projects!$C$24+Projects!$D$24),Projects!$B$24*INDEX(Curves!$B$4:$AR$4,1,39-Projects!$C$24+1),0)+IF(AND(Projects!$G$25="Yes",Projects!$M$25="Yes",39&gt;=Projects!$C$25,39&lt;Projects!$C$25+Projects!$D$25),Projects!$B$25*INDEX(Curves!$B$4:$AR$4,1,39-Projects!$C$25+1),0)+IF(AND(Projects!$G$26="Yes",Projects!$M$26="Yes",39&gt;=Projects!$C$26,39&lt;Projects!$C$26+Projects!$D$26),Projects!$B$26*INDEX(Curves!$B$4:$AR$4,1,39-Projects!$C$26+1),0)+IF(AND(Projects!$G$27="Yes",Projects!$M$27="Yes",39&gt;=Projects!$C$27,39&lt;Projects!$C$27+Projects!$D$27),Projects!$B$27*INDEX(Curves!$B$4:$AR$4,1,39-Projects!$C$27+1),0)+IF(AND(Projects!$G$28="Yes",Projects!$M$28="Yes",39&gt;=Projects!$C$28,39&lt;Projects!$C$28+Projects!$D$28),Projects!$B$28*INDEX(Curves!$B$4:$AR$4,1,39-Projects!$C$28+1),0)+IF(AND(Projects!$G$29="Yes",Projects!$M$29="Yes",39&gt;=Projects!$C$29,39&lt;Projects!$C$29+Projects!$D$29),Projects!$B$29*INDEX(Curves!$B$4:$AR$4,1,39-Projects!$C$29+1),0)+IF(AND(Projects!$G$30="Yes",Projects!$M$30="Yes",39&gt;=Projects!$C$30,39&lt;Projects!$C$30+Projects!$D$30),Projects!$B$30*INDEX(Curves!$B$4:$AR$4,1,39-Projects!$C$30+1),0)+IF(AND(Projects!$G$31="Yes",Projects!$M$31="Yes",39&gt;=Projects!$C$31,39&lt;Projects!$C$31+Projects!$D$31),Projects!$B$31*INDEX(Curves!$B$4:$AR$4,1,39-Projects!$C$31+1),0)+IF(AND(Projects!$G$32="Yes",Projects!$M$32="Yes",39&gt;=Projects!$C$32,39&lt;Projects!$C$32+Projects!$D$32),Projects!$B$32*INDEX(Curves!$B$4:$AR$4,1,39-Projects!$C$32+1),0)+IF(AND(Projects!$G$33="Yes",Projects!$M$33="Yes",39&gt;=Projects!$C$33,39&lt;Projects!$C$33+Projects!$D$33),Projects!$B$33*INDEX(Curves!$B$4:$AR$4,1,39-Projects!$C$33+1),0)+IF(AND(Projects!$G$34="Yes",Projects!$M$34="Yes",39&gt;=Projects!$C$34,39&lt;Projects!$C$34+Projects!$D$34),Projects!$B$34*INDEX(Curves!$B$4:$AR$4,1,39-Projects!$C$34+1),0)+IF(AND(Projects!$G$35="Yes",Projects!$M$35="Yes",39&gt;=Projects!$C$35,39&lt;Projects!$C$35+Projects!$D$35),Projects!$B$35*INDEX(Curves!$B$4:$AR$4,1,39-Projects!$C$35+1),0)+IF(AND(Projects!$G$36="Yes",Projects!$M$36="Yes",39&gt;=Projects!$C$36,39&lt;Projects!$C$36+Projects!$D$36),Projects!$B$36*INDEX(Curves!$B$4:$AR$4,1,39-Projects!$C$36+1),0)+IF(AND(Projects!$G$37="Yes",Projects!$M$37="Yes",39&gt;=Projects!$C$37,39&lt;Projects!$C$37+Projects!$D$37),Projects!$B$37*INDEX(Curves!$B$4:$AR$4,1,39-Projects!$C$37+1),0)+IF(AND(Projects!$G$38="Yes",Projects!$M$38="Yes",39&gt;=Projects!$C$38,39&lt;Projects!$C$38+Projects!$D$38),Projects!$B$38*INDEX(Curves!$B$4:$AR$4,1,39-Projects!$C$38+1),0)+IF(AND(Projects!$G$39="Yes",Projects!$M$39="Yes",39&gt;=Projects!$C$39,39&lt;Projects!$C$39+Projects!$D$39),Projects!$B$39*INDEX(Curves!$B$4:$AR$4,1,39-Projects!$C$39+1),0)+IF(AND(Projects!$G$40="Yes",Projects!$M$40="Yes",39&gt;=Projects!$C$40,39&lt;Projects!$C$40+Projects!$D$40),Projects!$B$40*INDEX(Curves!$B$4:$AR$4,1,39-Projects!$C$40+1),0)+IF(AND(Projects!$G$41="Yes",Projects!$M$41="Yes",39&gt;=Projects!$C$41,39&lt;Projects!$C$41+Projects!$D$41),Projects!$B$41*INDEX(Curves!$B$4:$AR$4,1,39-Projects!$C$41+1),0)+IF(AND(Projects!$G$42="Yes",Projects!$M$42="Yes",39&gt;=Projects!$C$42,39&lt;Projects!$C$42+Projects!$D$42),Projects!$B$42*INDEX(Curves!$B$4:$AR$4,1,39-Projects!$C$42+1),0)+IF(AND(Projects!$G$43="Yes",Projects!$M$43="Yes",39&gt;=Projects!$C$43,39&lt;Projects!$C$43+Projects!$D$43),Projects!$B$43*INDEX(Curves!$B$4:$AR$4,1,39-Projects!$C$43+1),0)+IF(AND(Projects!$G$44="Yes",Projects!$M$44="Yes",39&gt;=Projects!$C$44,39&lt;Projects!$C$44+Projects!$D$44),Projects!$B$44*INDEX(Curves!$B$4:$AR$4,1,39-Projects!$C$44+1),0)+IF(AND(Projects!$G$45="Yes",Projects!$M$45="Yes",39&gt;=Projects!$C$45,39&lt;Projects!$C$45+Projects!$D$45),Projects!$B$45*INDEX(Curves!$B$4:$AR$4,1,39-Projects!$C$45+1),0)+IF(AND(Projects!$G$46="Yes",Projects!$M$46="Yes",39&gt;=Projects!$C$46,39&lt;Projects!$C$46+Projects!$D$46),Projects!$B$46*INDEX(Curves!$B$4:$AR$4,1,39-Projects!$C$46+1),0)</f>
        <v>0</v>
      </c>
      <c r="AS101" s="317" t="n">
        <f aca="false">IF(AND(Projects!$G$17="Yes",Projects!$M$17="Yes",40&gt;=Projects!$C$17,40&lt;Projects!$C$17+Projects!$D$17),Projects!$B$17*INDEX(Curves!$B$4:$AR$4,1,40-Projects!$C$17+1),0)+IF(AND(Projects!$G$18="Yes",Projects!$M$18="Yes",40&gt;=Projects!$C$18,40&lt;Projects!$C$18+Projects!$D$18),Projects!$B$18*INDEX(Curves!$B$4:$AR$4,1,40-Projects!$C$18+1),0)+IF(AND(Projects!$G$19="Yes",Projects!$M$19="Yes",40&gt;=Projects!$C$19,40&lt;Projects!$C$19+Projects!$D$19),Projects!$B$19*INDEX(Curves!$B$4:$AR$4,1,40-Projects!$C$19+1),0)+IF(AND(Projects!$G$20="Yes",Projects!$M$20="Yes",40&gt;=Projects!$C$20,40&lt;Projects!$C$20+Projects!$D$20),Projects!$B$20*INDEX(Curves!$B$4:$AR$4,1,40-Projects!$C$20+1),0)+IF(AND(Projects!$G$21="Yes",Projects!$M$21="Yes",40&gt;=Projects!$C$21,40&lt;Projects!$C$21+Projects!$D$21),Projects!$B$21*INDEX(Curves!$B$4:$AR$4,1,40-Projects!$C$21+1),0)+IF(AND(Projects!$G$22="Yes",Projects!$M$22="Yes",40&gt;=Projects!$C$22,40&lt;Projects!$C$22+Projects!$D$22),Projects!$B$22*INDEX(Curves!$B$4:$AR$4,1,40-Projects!$C$22+1),0)+IF(AND(Projects!$G$23="Yes",Projects!$M$23="Yes",40&gt;=Projects!$C$23,40&lt;Projects!$C$23+Projects!$D$23),Projects!$B$23*INDEX(Curves!$B$4:$AR$4,1,40-Projects!$C$23+1),0)+IF(AND(Projects!$G$24="Yes",Projects!$M$24="Yes",40&gt;=Projects!$C$24,40&lt;Projects!$C$24+Projects!$D$24),Projects!$B$24*INDEX(Curves!$B$4:$AR$4,1,40-Projects!$C$24+1),0)+IF(AND(Projects!$G$25="Yes",Projects!$M$25="Yes",40&gt;=Projects!$C$25,40&lt;Projects!$C$25+Projects!$D$25),Projects!$B$25*INDEX(Curves!$B$4:$AR$4,1,40-Projects!$C$25+1),0)+IF(AND(Projects!$G$26="Yes",Projects!$M$26="Yes",40&gt;=Projects!$C$26,40&lt;Projects!$C$26+Projects!$D$26),Projects!$B$26*INDEX(Curves!$B$4:$AR$4,1,40-Projects!$C$26+1),0)+IF(AND(Projects!$G$27="Yes",Projects!$M$27="Yes",40&gt;=Projects!$C$27,40&lt;Projects!$C$27+Projects!$D$27),Projects!$B$27*INDEX(Curves!$B$4:$AR$4,1,40-Projects!$C$27+1),0)+IF(AND(Projects!$G$28="Yes",Projects!$M$28="Yes",40&gt;=Projects!$C$28,40&lt;Projects!$C$28+Projects!$D$28),Projects!$B$28*INDEX(Curves!$B$4:$AR$4,1,40-Projects!$C$28+1),0)+IF(AND(Projects!$G$29="Yes",Projects!$M$29="Yes",40&gt;=Projects!$C$29,40&lt;Projects!$C$29+Projects!$D$29),Projects!$B$29*INDEX(Curves!$B$4:$AR$4,1,40-Projects!$C$29+1),0)+IF(AND(Projects!$G$30="Yes",Projects!$M$30="Yes",40&gt;=Projects!$C$30,40&lt;Projects!$C$30+Projects!$D$30),Projects!$B$30*INDEX(Curves!$B$4:$AR$4,1,40-Projects!$C$30+1),0)+IF(AND(Projects!$G$31="Yes",Projects!$M$31="Yes",40&gt;=Projects!$C$31,40&lt;Projects!$C$31+Projects!$D$31),Projects!$B$31*INDEX(Curves!$B$4:$AR$4,1,40-Projects!$C$31+1),0)+IF(AND(Projects!$G$32="Yes",Projects!$M$32="Yes",40&gt;=Projects!$C$32,40&lt;Projects!$C$32+Projects!$D$32),Projects!$B$32*INDEX(Curves!$B$4:$AR$4,1,40-Projects!$C$32+1),0)+IF(AND(Projects!$G$33="Yes",Projects!$M$33="Yes",40&gt;=Projects!$C$33,40&lt;Projects!$C$33+Projects!$D$33),Projects!$B$33*INDEX(Curves!$B$4:$AR$4,1,40-Projects!$C$33+1),0)+IF(AND(Projects!$G$34="Yes",Projects!$M$34="Yes",40&gt;=Projects!$C$34,40&lt;Projects!$C$34+Projects!$D$34),Projects!$B$34*INDEX(Curves!$B$4:$AR$4,1,40-Projects!$C$34+1),0)+IF(AND(Projects!$G$35="Yes",Projects!$M$35="Yes",40&gt;=Projects!$C$35,40&lt;Projects!$C$35+Projects!$D$35),Projects!$B$35*INDEX(Curves!$B$4:$AR$4,1,40-Projects!$C$35+1),0)+IF(AND(Projects!$G$36="Yes",Projects!$M$36="Yes",40&gt;=Projects!$C$36,40&lt;Projects!$C$36+Projects!$D$36),Projects!$B$36*INDEX(Curves!$B$4:$AR$4,1,40-Projects!$C$36+1),0)+IF(AND(Projects!$G$37="Yes",Projects!$M$37="Yes",40&gt;=Projects!$C$37,40&lt;Projects!$C$37+Projects!$D$37),Projects!$B$37*INDEX(Curves!$B$4:$AR$4,1,40-Projects!$C$37+1),0)+IF(AND(Projects!$G$38="Yes",Projects!$M$38="Yes",40&gt;=Projects!$C$38,40&lt;Projects!$C$38+Projects!$D$38),Projects!$B$38*INDEX(Curves!$B$4:$AR$4,1,40-Projects!$C$38+1),0)+IF(AND(Projects!$G$39="Yes",Projects!$M$39="Yes",40&gt;=Projects!$C$39,40&lt;Projects!$C$39+Projects!$D$39),Projects!$B$39*INDEX(Curves!$B$4:$AR$4,1,40-Projects!$C$39+1),0)+IF(AND(Projects!$G$40="Yes",Projects!$M$40="Yes",40&gt;=Projects!$C$40,40&lt;Projects!$C$40+Projects!$D$40),Projects!$B$40*INDEX(Curves!$B$4:$AR$4,1,40-Projects!$C$40+1),0)+IF(AND(Projects!$G$41="Yes",Projects!$M$41="Yes",40&gt;=Projects!$C$41,40&lt;Projects!$C$41+Projects!$D$41),Projects!$B$41*INDEX(Curves!$B$4:$AR$4,1,40-Projects!$C$41+1),0)+IF(AND(Projects!$G$42="Yes",Projects!$M$42="Yes",40&gt;=Projects!$C$42,40&lt;Projects!$C$42+Projects!$D$42),Projects!$B$42*INDEX(Curves!$B$4:$AR$4,1,40-Projects!$C$42+1),0)+IF(AND(Projects!$G$43="Yes",Projects!$M$43="Yes",40&gt;=Projects!$C$43,40&lt;Projects!$C$43+Projects!$D$43),Projects!$B$43*INDEX(Curves!$B$4:$AR$4,1,40-Projects!$C$43+1),0)+IF(AND(Projects!$G$44="Yes",Projects!$M$44="Yes",40&gt;=Projects!$C$44,40&lt;Projects!$C$44+Projects!$D$44),Projects!$B$44*INDEX(Curves!$B$4:$AR$4,1,40-Projects!$C$44+1),0)+IF(AND(Projects!$G$45="Yes",Projects!$M$45="Yes",40&gt;=Projects!$C$45,40&lt;Projects!$C$45+Projects!$D$45),Projects!$B$45*INDEX(Curves!$B$4:$AR$4,1,40-Projects!$C$45+1),0)+IF(AND(Projects!$G$46="Yes",Projects!$M$46="Yes",40&gt;=Projects!$C$46,40&lt;Projects!$C$46+Projects!$D$46),Projects!$B$46*INDEX(Curves!$B$4:$AR$4,1,40-Projects!$C$46+1),0)</f>
        <v>0</v>
      </c>
      <c r="AT101" s="317" t="n">
        <f aca="false">IF(AND(Projects!$G$17="Yes",Projects!$M$17="Yes",41&gt;=Projects!$C$17,41&lt;Projects!$C$17+Projects!$D$17),Projects!$B$17*INDEX(Curves!$B$4:$AR$4,1,41-Projects!$C$17+1),0)+IF(AND(Projects!$G$18="Yes",Projects!$M$18="Yes",41&gt;=Projects!$C$18,41&lt;Projects!$C$18+Projects!$D$18),Projects!$B$18*INDEX(Curves!$B$4:$AR$4,1,41-Projects!$C$18+1),0)+IF(AND(Projects!$G$19="Yes",Projects!$M$19="Yes",41&gt;=Projects!$C$19,41&lt;Projects!$C$19+Projects!$D$19),Projects!$B$19*INDEX(Curves!$B$4:$AR$4,1,41-Projects!$C$19+1),0)+IF(AND(Projects!$G$20="Yes",Projects!$M$20="Yes",41&gt;=Projects!$C$20,41&lt;Projects!$C$20+Projects!$D$20),Projects!$B$20*INDEX(Curves!$B$4:$AR$4,1,41-Projects!$C$20+1),0)+IF(AND(Projects!$G$21="Yes",Projects!$M$21="Yes",41&gt;=Projects!$C$21,41&lt;Projects!$C$21+Projects!$D$21),Projects!$B$21*INDEX(Curves!$B$4:$AR$4,1,41-Projects!$C$21+1),0)+IF(AND(Projects!$G$22="Yes",Projects!$M$22="Yes",41&gt;=Projects!$C$22,41&lt;Projects!$C$22+Projects!$D$22),Projects!$B$22*INDEX(Curves!$B$4:$AR$4,1,41-Projects!$C$22+1),0)+IF(AND(Projects!$G$23="Yes",Projects!$M$23="Yes",41&gt;=Projects!$C$23,41&lt;Projects!$C$23+Projects!$D$23),Projects!$B$23*INDEX(Curves!$B$4:$AR$4,1,41-Projects!$C$23+1),0)+IF(AND(Projects!$G$24="Yes",Projects!$M$24="Yes",41&gt;=Projects!$C$24,41&lt;Projects!$C$24+Projects!$D$24),Projects!$B$24*INDEX(Curves!$B$4:$AR$4,1,41-Projects!$C$24+1),0)+IF(AND(Projects!$G$25="Yes",Projects!$M$25="Yes",41&gt;=Projects!$C$25,41&lt;Projects!$C$25+Projects!$D$25),Projects!$B$25*INDEX(Curves!$B$4:$AR$4,1,41-Projects!$C$25+1),0)+IF(AND(Projects!$G$26="Yes",Projects!$M$26="Yes",41&gt;=Projects!$C$26,41&lt;Projects!$C$26+Projects!$D$26),Projects!$B$26*INDEX(Curves!$B$4:$AR$4,1,41-Projects!$C$26+1),0)+IF(AND(Projects!$G$27="Yes",Projects!$M$27="Yes",41&gt;=Projects!$C$27,41&lt;Projects!$C$27+Projects!$D$27),Projects!$B$27*INDEX(Curves!$B$4:$AR$4,1,41-Projects!$C$27+1),0)+IF(AND(Projects!$G$28="Yes",Projects!$M$28="Yes",41&gt;=Projects!$C$28,41&lt;Projects!$C$28+Projects!$D$28),Projects!$B$28*INDEX(Curves!$B$4:$AR$4,1,41-Projects!$C$28+1),0)+IF(AND(Projects!$G$29="Yes",Projects!$M$29="Yes",41&gt;=Projects!$C$29,41&lt;Projects!$C$29+Projects!$D$29),Projects!$B$29*INDEX(Curves!$B$4:$AR$4,1,41-Projects!$C$29+1),0)+IF(AND(Projects!$G$30="Yes",Projects!$M$30="Yes",41&gt;=Projects!$C$30,41&lt;Projects!$C$30+Projects!$D$30),Projects!$B$30*INDEX(Curves!$B$4:$AR$4,1,41-Projects!$C$30+1),0)+IF(AND(Projects!$G$31="Yes",Projects!$M$31="Yes",41&gt;=Projects!$C$31,41&lt;Projects!$C$31+Projects!$D$31),Projects!$B$31*INDEX(Curves!$B$4:$AR$4,1,41-Projects!$C$31+1),0)+IF(AND(Projects!$G$32="Yes",Projects!$M$32="Yes",41&gt;=Projects!$C$32,41&lt;Projects!$C$32+Projects!$D$32),Projects!$B$32*INDEX(Curves!$B$4:$AR$4,1,41-Projects!$C$32+1),0)+IF(AND(Projects!$G$33="Yes",Projects!$M$33="Yes",41&gt;=Projects!$C$33,41&lt;Projects!$C$33+Projects!$D$33),Projects!$B$33*INDEX(Curves!$B$4:$AR$4,1,41-Projects!$C$33+1),0)+IF(AND(Projects!$G$34="Yes",Projects!$M$34="Yes",41&gt;=Projects!$C$34,41&lt;Projects!$C$34+Projects!$D$34),Projects!$B$34*INDEX(Curves!$B$4:$AR$4,1,41-Projects!$C$34+1),0)+IF(AND(Projects!$G$35="Yes",Projects!$M$35="Yes",41&gt;=Projects!$C$35,41&lt;Projects!$C$35+Projects!$D$35),Projects!$B$35*INDEX(Curves!$B$4:$AR$4,1,41-Projects!$C$35+1),0)+IF(AND(Projects!$G$36="Yes",Projects!$M$36="Yes",41&gt;=Projects!$C$36,41&lt;Projects!$C$36+Projects!$D$36),Projects!$B$36*INDEX(Curves!$B$4:$AR$4,1,41-Projects!$C$36+1),0)+IF(AND(Projects!$G$37="Yes",Projects!$M$37="Yes",41&gt;=Projects!$C$37,41&lt;Projects!$C$37+Projects!$D$37),Projects!$B$37*INDEX(Curves!$B$4:$AR$4,1,41-Projects!$C$37+1),0)+IF(AND(Projects!$G$38="Yes",Projects!$M$38="Yes",41&gt;=Projects!$C$38,41&lt;Projects!$C$38+Projects!$D$38),Projects!$B$38*INDEX(Curves!$B$4:$AR$4,1,41-Projects!$C$38+1),0)+IF(AND(Projects!$G$39="Yes",Projects!$M$39="Yes",41&gt;=Projects!$C$39,41&lt;Projects!$C$39+Projects!$D$39),Projects!$B$39*INDEX(Curves!$B$4:$AR$4,1,41-Projects!$C$39+1),0)+IF(AND(Projects!$G$40="Yes",Projects!$M$40="Yes",41&gt;=Projects!$C$40,41&lt;Projects!$C$40+Projects!$D$40),Projects!$B$40*INDEX(Curves!$B$4:$AR$4,1,41-Projects!$C$40+1),0)+IF(AND(Projects!$G$41="Yes",Projects!$M$41="Yes",41&gt;=Projects!$C$41,41&lt;Projects!$C$41+Projects!$D$41),Projects!$B$41*INDEX(Curves!$B$4:$AR$4,1,41-Projects!$C$41+1),0)+IF(AND(Projects!$G$42="Yes",Projects!$M$42="Yes",41&gt;=Projects!$C$42,41&lt;Projects!$C$42+Projects!$D$42),Projects!$B$42*INDEX(Curves!$B$4:$AR$4,1,41-Projects!$C$42+1),0)+IF(AND(Projects!$G$43="Yes",Projects!$M$43="Yes",41&gt;=Projects!$C$43,41&lt;Projects!$C$43+Projects!$D$43),Projects!$B$43*INDEX(Curves!$B$4:$AR$4,1,41-Projects!$C$43+1),0)+IF(AND(Projects!$G$44="Yes",Projects!$M$44="Yes",41&gt;=Projects!$C$44,41&lt;Projects!$C$44+Projects!$D$44),Projects!$B$44*INDEX(Curves!$B$4:$AR$4,1,41-Projects!$C$44+1),0)+IF(AND(Projects!$G$45="Yes",Projects!$M$45="Yes",41&gt;=Projects!$C$45,41&lt;Projects!$C$45+Projects!$D$45),Projects!$B$45*INDEX(Curves!$B$4:$AR$4,1,41-Projects!$C$45+1),0)+IF(AND(Projects!$G$46="Yes",Projects!$M$46="Yes",41&gt;=Projects!$C$46,41&lt;Projects!$C$46+Projects!$D$46),Projects!$B$46*INDEX(Curves!$B$4:$AR$4,1,41-Projects!$C$46+1),0)</f>
        <v>0</v>
      </c>
      <c r="AU101" s="317" t="n">
        <f aca="false">IF(AND(Projects!$G$17="Yes",Projects!$M$17="Yes",42&gt;=Projects!$C$17,42&lt;Projects!$C$17+Projects!$D$17),Projects!$B$17*INDEX(Curves!$B$4:$AR$4,1,42-Projects!$C$17+1),0)+IF(AND(Projects!$G$18="Yes",Projects!$M$18="Yes",42&gt;=Projects!$C$18,42&lt;Projects!$C$18+Projects!$D$18),Projects!$B$18*INDEX(Curves!$B$4:$AR$4,1,42-Projects!$C$18+1),0)+IF(AND(Projects!$G$19="Yes",Projects!$M$19="Yes",42&gt;=Projects!$C$19,42&lt;Projects!$C$19+Projects!$D$19),Projects!$B$19*INDEX(Curves!$B$4:$AR$4,1,42-Projects!$C$19+1),0)+IF(AND(Projects!$G$20="Yes",Projects!$M$20="Yes",42&gt;=Projects!$C$20,42&lt;Projects!$C$20+Projects!$D$20),Projects!$B$20*INDEX(Curves!$B$4:$AR$4,1,42-Projects!$C$20+1),0)+IF(AND(Projects!$G$21="Yes",Projects!$M$21="Yes",42&gt;=Projects!$C$21,42&lt;Projects!$C$21+Projects!$D$21),Projects!$B$21*INDEX(Curves!$B$4:$AR$4,1,42-Projects!$C$21+1),0)+IF(AND(Projects!$G$22="Yes",Projects!$M$22="Yes",42&gt;=Projects!$C$22,42&lt;Projects!$C$22+Projects!$D$22),Projects!$B$22*INDEX(Curves!$B$4:$AR$4,1,42-Projects!$C$22+1),0)+IF(AND(Projects!$G$23="Yes",Projects!$M$23="Yes",42&gt;=Projects!$C$23,42&lt;Projects!$C$23+Projects!$D$23),Projects!$B$23*INDEX(Curves!$B$4:$AR$4,1,42-Projects!$C$23+1),0)+IF(AND(Projects!$G$24="Yes",Projects!$M$24="Yes",42&gt;=Projects!$C$24,42&lt;Projects!$C$24+Projects!$D$24),Projects!$B$24*INDEX(Curves!$B$4:$AR$4,1,42-Projects!$C$24+1),0)+IF(AND(Projects!$G$25="Yes",Projects!$M$25="Yes",42&gt;=Projects!$C$25,42&lt;Projects!$C$25+Projects!$D$25),Projects!$B$25*INDEX(Curves!$B$4:$AR$4,1,42-Projects!$C$25+1),0)+IF(AND(Projects!$G$26="Yes",Projects!$M$26="Yes",42&gt;=Projects!$C$26,42&lt;Projects!$C$26+Projects!$D$26),Projects!$B$26*INDEX(Curves!$B$4:$AR$4,1,42-Projects!$C$26+1),0)+IF(AND(Projects!$G$27="Yes",Projects!$M$27="Yes",42&gt;=Projects!$C$27,42&lt;Projects!$C$27+Projects!$D$27),Projects!$B$27*INDEX(Curves!$B$4:$AR$4,1,42-Projects!$C$27+1),0)+IF(AND(Projects!$G$28="Yes",Projects!$M$28="Yes",42&gt;=Projects!$C$28,42&lt;Projects!$C$28+Projects!$D$28),Projects!$B$28*INDEX(Curves!$B$4:$AR$4,1,42-Projects!$C$28+1),0)+IF(AND(Projects!$G$29="Yes",Projects!$M$29="Yes",42&gt;=Projects!$C$29,42&lt;Projects!$C$29+Projects!$D$29),Projects!$B$29*INDEX(Curves!$B$4:$AR$4,1,42-Projects!$C$29+1),0)+IF(AND(Projects!$G$30="Yes",Projects!$M$30="Yes",42&gt;=Projects!$C$30,42&lt;Projects!$C$30+Projects!$D$30),Projects!$B$30*INDEX(Curves!$B$4:$AR$4,1,42-Projects!$C$30+1),0)+IF(AND(Projects!$G$31="Yes",Projects!$M$31="Yes",42&gt;=Projects!$C$31,42&lt;Projects!$C$31+Projects!$D$31),Projects!$B$31*INDEX(Curves!$B$4:$AR$4,1,42-Projects!$C$31+1),0)+IF(AND(Projects!$G$32="Yes",Projects!$M$32="Yes",42&gt;=Projects!$C$32,42&lt;Projects!$C$32+Projects!$D$32),Projects!$B$32*INDEX(Curves!$B$4:$AR$4,1,42-Projects!$C$32+1),0)+IF(AND(Projects!$G$33="Yes",Projects!$M$33="Yes",42&gt;=Projects!$C$33,42&lt;Projects!$C$33+Projects!$D$33),Projects!$B$33*INDEX(Curves!$B$4:$AR$4,1,42-Projects!$C$33+1),0)+IF(AND(Projects!$G$34="Yes",Projects!$M$34="Yes",42&gt;=Projects!$C$34,42&lt;Projects!$C$34+Projects!$D$34),Projects!$B$34*INDEX(Curves!$B$4:$AR$4,1,42-Projects!$C$34+1),0)+IF(AND(Projects!$G$35="Yes",Projects!$M$35="Yes",42&gt;=Projects!$C$35,42&lt;Projects!$C$35+Projects!$D$35),Projects!$B$35*INDEX(Curves!$B$4:$AR$4,1,42-Projects!$C$35+1),0)+IF(AND(Projects!$G$36="Yes",Projects!$M$36="Yes",42&gt;=Projects!$C$36,42&lt;Projects!$C$36+Projects!$D$36),Projects!$B$36*INDEX(Curves!$B$4:$AR$4,1,42-Projects!$C$36+1),0)+IF(AND(Projects!$G$37="Yes",Projects!$M$37="Yes",42&gt;=Projects!$C$37,42&lt;Projects!$C$37+Projects!$D$37),Projects!$B$37*INDEX(Curves!$B$4:$AR$4,1,42-Projects!$C$37+1),0)+IF(AND(Projects!$G$38="Yes",Projects!$M$38="Yes",42&gt;=Projects!$C$38,42&lt;Projects!$C$38+Projects!$D$38),Projects!$B$38*INDEX(Curves!$B$4:$AR$4,1,42-Projects!$C$38+1),0)+IF(AND(Projects!$G$39="Yes",Projects!$M$39="Yes",42&gt;=Projects!$C$39,42&lt;Projects!$C$39+Projects!$D$39),Projects!$B$39*INDEX(Curves!$B$4:$AR$4,1,42-Projects!$C$39+1),0)+IF(AND(Projects!$G$40="Yes",Projects!$M$40="Yes",42&gt;=Projects!$C$40,42&lt;Projects!$C$40+Projects!$D$40),Projects!$B$40*INDEX(Curves!$B$4:$AR$4,1,42-Projects!$C$40+1),0)+IF(AND(Projects!$G$41="Yes",Projects!$M$41="Yes",42&gt;=Projects!$C$41,42&lt;Projects!$C$41+Projects!$D$41),Projects!$B$41*INDEX(Curves!$B$4:$AR$4,1,42-Projects!$C$41+1),0)+IF(AND(Projects!$G$42="Yes",Projects!$M$42="Yes",42&gt;=Projects!$C$42,42&lt;Projects!$C$42+Projects!$D$42),Projects!$B$42*INDEX(Curves!$B$4:$AR$4,1,42-Projects!$C$42+1),0)+IF(AND(Projects!$G$43="Yes",Projects!$M$43="Yes",42&gt;=Projects!$C$43,42&lt;Projects!$C$43+Projects!$D$43),Projects!$B$43*INDEX(Curves!$B$4:$AR$4,1,42-Projects!$C$43+1),0)+IF(AND(Projects!$G$44="Yes",Projects!$M$44="Yes",42&gt;=Projects!$C$44,42&lt;Projects!$C$44+Projects!$D$44),Projects!$B$44*INDEX(Curves!$B$4:$AR$4,1,42-Projects!$C$44+1),0)+IF(AND(Projects!$G$45="Yes",Projects!$M$45="Yes",42&gt;=Projects!$C$45,42&lt;Projects!$C$45+Projects!$D$45),Projects!$B$45*INDEX(Curves!$B$4:$AR$4,1,42-Projects!$C$45+1),0)+IF(AND(Projects!$G$46="Yes",Projects!$M$46="Yes",42&gt;=Projects!$C$46,42&lt;Projects!$C$46+Projects!$D$46),Projects!$B$46*INDEX(Curves!$B$4:$AR$4,1,42-Projects!$C$46+1),0)</f>
        <v>0</v>
      </c>
      <c r="AV101" s="317" t="n">
        <f aca="false">IF(AND(Projects!$G$17="Yes",Projects!$M$17="Yes",43&gt;=Projects!$C$17,43&lt;Projects!$C$17+Projects!$D$17),Projects!$B$17*INDEX(Curves!$B$4:$AR$4,1,43-Projects!$C$17+1),0)+IF(AND(Projects!$G$18="Yes",Projects!$M$18="Yes",43&gt;=Projects!$C$18,43&lt;Projects!$C$18+Projects!$D$18),Projects!$B$18*INDEX(Curves!$B$4:$AR$4,1,43-Projects!$C$18+1),0)+IF(AND(Projects!$G$19="Yes",Projects!$M$19="Yes",43&gt;=Projects!$C$19,43&lt;Projects!$C$19+Projects!$D$19),Projects!$B$19*INDEX(Curves!$B$4:$AR$4,1,43-Projects!$C$19+1),0)+IF(AND(Projects!$G$20="Yes",Projects!$M$20="Yes",43&gt;=Projects!$C$20,43&lt;Projects!$C$20+Projects!$D$20),Projects!$B$20*INDEX(Curves!$B$4:$AR$4,1,43-Projects!$C$20+1),0)+IF(AND(Projects!$G$21="Yes",Projects!$M$21="Yes",43&gt;=Projects!$C$21,43&lt;Projects!$C$21+Projects!$D$21),Projects!$B$21*INDEX(Curves!$B$4:$AR$4,1,43-Projects!$C$21+1),0)+IF(AND(Projects!$G$22="Yes",Projects!$M$22="Yes",43&gt;=Projects!$C$22,43&lt;Projects!$C$22+Projects!$D$22),Projects!$B$22*INDEX(Curves!$B$4:$AR$4,1,43-Projects!$C$22+1),0)+IF(AND(Projects!$G$23="Yes",Projects!$M$23="Yes",43&gt;=Projects!$C$23,43&lt;Projects!$C$23+Projects!$D$23),Projects!$B$23*INDEX(Curves!$B$4:$AR$4,1,43-Projects!$C$23+1),0)+IF(AND(Projects!$G$24="Yes",Projects!$M$24="Yes",43&gt;=Projects!$C$24,43&lt;Projects!$C$24+Projects!$D$24),Projects!$B$24*INDEX(Curves!$B$4:$AR$4,1,43-Projects!$C$24+1),0)+IF(AND(Projects!$G$25="Yes",Projects!$M$25="Yes",43&gt;=Projects!$C$25,43&lt;Projects!$C$25+Projects!$D$25),Projects!$B$25*INDEX(Curves!$B$4:$AR$4,1,43-Projects!$C$25+1),0)+IF(AND(Projects!$G$26="Yes",Projects!$M$26="Yes",43&gt;=Projects!$C$26,43&lt;Projects!$C$26+Projects!$D$26),Projects!$B$26*INDEX(Curves!$B$4:$AR$4,1,43-Projects!$C$26+1),0)+IF(AND(Projects!$G$27="Yes",Projects!$M$27="Yes",43&gt;=Projects!$C$27,43&lt;Projects!$C$27+Projects!$D$27),Projects!$B$27*INDEX(Curves!$B$4:$AR$4,1,43-Projects!$C$27+1),0)+IF(AND(Projects!$G$28="Yes",Projects!$M$28="Yes",43&gt;=Projects!$C$28,43&lt;Projects!$C$28+Projects!$D$28),Projects!$B$28*INDEX(Curves!$B$4:$AR$4,1,43-Projects!$C$28+1),0)+IF(AND(Projects!$G$29="Yes",Projects!$M$29="Yes",43&gt;=Projects!$C$29,43&lt;Projects!$C$29+Projects!$D$29),Projects!$B$29*INDEX(Curves!$B$4:$AR$4,1,43-Projects!$C$29+1),0)+IF(AND(Projects!$G$30="Yes",Projects!$M$30="Yes",43&gt;=Projects!$C$30,43&lt;Projects!$C$30+Projects!$D$30),Projects!$B$30*INDEX(Curves!$B$4:$AR$4,1,43-Projects!$C$30+1),0)+IF(AND(Projects!$G$31="Yes",Projects!$M$31="Yes",43&gt;=Projects!$C$31,43&lt;Projects!$C$31+Projects!$D$31),Projects!$B$31*INDEX(Curves!$B$4:$AR$4,1,43-Projects!$C$31+1),0)+IF(AND(Projects!$G$32="Yes",Projects!$M$32="Yes",43&gt;=Projects!$C$32,43&lt;Projects!$C$32+Projects!$D$32),Projects!$B$32*INDEX(Curves!$B$4:$AR$4,1,43-Projects!$C$32+1),0)+IF(AND(Projects!$G$33="Yes",Projects!$M$33="Yes",43&gt;=Projects!$C$33,43&lt;Projects!$C$33+Projects!$D$33),Projects!$B$33*INDEX(Curves!$B$4:$AR$4,1,43-Projects!$C$33+1),0)+IF(AND(Projects!$G$34="Yes",Projects!$M$34="Yes",43&gt;=Projects!$C$34,43&lt;Projects!$C$34+Projects!$D$34),Projects!$B$34*INDEX(Curves!$B$4:$AR$4,1,43-Projects!$C$34+1),0)+IF(AND(Projects!$G$35="Yes",Projects!$M$35="Yes",43&gt;=Projects!$C$35,43&lt;Projects!$C$35+Projects!$D$35),Projects!$B$35*INDEX(Curves!$B$4:$AR$4,1,43-Projects!$C$35+1),0)+IF(AND(Projects!$G$36="Yes",Projects!$M$36="Yes",43&gt;=Projects!$C$36,43&lt;Projects!$C$36+Projects!$D$36),Projects!$B$36*INDEX(Curves!$B$4:$AR$4,1,43-Projects!$C$36+1),0)+IF(AND(Projects!$G$37="Yes",Projects!$M$37="Yes",43&gt;=Projects!$C$37,43&lt;Projects!$C$37+Projects!$D$37),Projects!$B$37*INDEX(Curves!$B$4:$AR$4,1,43-Projects!$C$37+1),0)+IF(AND(Projects!$G$38="Yes",Projects!$M$38="Yes",43&gt;=Projects!$C$38,43&lt;Projects!$C$38+Projects!$D$38),Projects!$B$38*INDEX(Curves!$B$4:$AR$4,1,43-Projects!$C$38+1),0)+IF(AND(Projects!$G$39="Yes",Projects!$M$39="Yes",43&gt;=Projects!$C$39,43&lt;Projects!$C$39+Projects!$D$39),Projects!$B$39*INDEX(Curves!$B$4:$AR$4,1,43-Projects!$C$39+1),0)+IF(AND(Projects!$G$40="Yes",Projects!$M$40="Yes",43&gt;=Projects!$C$40,43&lt;Projects!$C$40+Projects!$D$40),Projects!$B$40*INDEX(Curves!$B$4:$AR$4,1,43-Projects!$C$40+1),0)+IF(AND(Projects!$G$41="Yes",Projects!$M$41="Yes",43&gt;=Projects!$C$41,43&lt;Projects!$C$41+Projects!$D$41),Projects!$B$41*INDEX(Curves!$B$4:$AR$4,1,43-Projects!$C$41+1),0)+IF(AND(Projects!$G$42="Yes",Projects!$M$42="Yes",43&gt;=Projects!$C$42,43&lt;Projects!$C$42+Projects!$D$42),Projects!$B$42*INDEX(Curves!$B$4:$AR$4,1,43-Projects!$C$42+1),0)+IF(AND(Projects!$G$43="Yes",Projects!$M$43="Yes",43&gt;=Projects!$C$43,43&lt;Projects!$C$43+Projects!$D$43),Projects!$B$43*INDEX(Curves!$B$4:$AR$4,1,43-Projects!$C$43+1),0)+IF(AND(Projects!$G$44="Yes",Projects!$M$44="Yes",43&gt;=Projects!$C$44,43&lt;Projects!$C$44+Projects!$D$44),Projects!$B$44*INDEX(Curves!$B$4:$AR$4,1,43-Projects!$C$44+1),0)+IF(AND(Projects!$G$45="Yes",Projects!$M$45="Yes",43&gt;=Projects!$C$45,43&lt;Projects!$C$45+Projects!$D$45),Projects!$B$45*INDEX(Curves!$B$4:$AR$4,1,43-Projects!$C$45+1),0)+IF(AND(Projects!$G$46="Yes",Projects!$M$46="Yes",43&gt;=Projects!$C$46,43&lt;Projects!$C$46+Projects!$D$46),Projects!$B$46*INDEX(Curves!$B$4:$AR$4,1,43-Projects!$C$46+1),0)</f>
        <v>0</v>
      </c>
      <c r="AW101" s="317" t="n">
        <f aca="false">IF(AND(Projects!$G$17="Yes",Projects!$M$17="Yes",44&gt;=Projects!$C$17,44&lt;Projects!$C$17+Projects!$D$17),Projects!$B$17*INDEX(Curves!$B$4:$AR$4,1,44-Projects!$C$17+1),0)+IF(AND(Projects!$G$18="Yes",Projects!$M$18="Yes",44&gt;=Projects!$C$18,44&lt;Projects!$C$18+Projects!$D$18),Projects!$B$18*INDEX(Curves!$B$4:$AR$4,1,44-Projects!$C$18+1),0)+IF(AND(Projects!$G$19="Yes",Projects!$M$19="Yes",44&gt;=Projects!$C$19,44&lt;Projects!$C$19+Projects!$D$19),Projects!$B$19*INDEX(Curves!$B$4:$AR$4,1,44-Projects!$C$19+1),0)+IF(AND(Projects!$G$20="Yes",Projects!$M$20="Yes",44&gt;=Projects!$C$20,44&lt;Projects!$C$20+Projects!$D$20),Projects!$B$20*INDEX(Curves!$B$4:$AR$4,1,44-Projects!$C$20+1),0)+IF(AND(Projects!$G$21="Yes",Projects!$M$21="Yes",44&gt;=Projects!$C$21,44&lt;Projects!$C$21+Projects!$D$21),Projects!$B$21*INDEX(Curves!$B$4:$AR$4,1,44-Projects!$C$21+1),0)+IF(AND(Projects!$G$22="Yes",Projects!$M$22="Yes",44&gt;=Projects!$C$22,44&lt;Projects!$C$22+Projects!$D$22),Projects!$B$22*INDEX(Curves!$B$4:$AR$4,1,44-Projects!$C$22+1),0)+IF(AND(Projects!$G$23="Yes",Projects!$M$23="Yes",44&gt;=Projects!$C$23,44&lt;Projects!$C$23+Projects!$D$23),Projects!$B$23*INDEX(Curves!$B$4:$AR$4,1,44-Projects!$C$23+1),0)+IF(AND(Projects!$G$24="Yes",Projects!$M$24="Yes",44&gt;=Projects!$C$24,44&lt;Projects!$C$24+Projects!$D$24),Projects!$B$24*INDEX(Curves!$B$4:$AR$4,1,44-Projects!$C$24+1),0)+IF(AND(Projects!$G$25="Yes",Projects!$M$25="Yes",44&gt;=Projects!$C$25,44&lt;Projects!$C$25+Projects!$D$25),Projects!$B$25*INDEX(Curves!$B$4:$AR$4,1,44-Projects!$C$25+1),0)+IF(AND(Projects!$G$26="Yes",Projects!$M$26="Yes",44&gt;=Projects!$C$26,44&lt;Projects!$C$26+Projects!$D$26),Projects!$B$26*INDEX(Curves!$B$4:$AR$4,1,44-Projects!$C$26+1),0)+IF(AND(Projects!$G$27="Yes",Projects!$M$27="Yes",44&gt;=Projects!$C$27,44&lt;Projects!$C$27+Projects!$D$27),Projects!$B$27*INDEX(Curves!$B$4:$AR$4,1,44-Projects!$C$27+1),0)+IF(AND(Projects!$G$28="Yes",Projects!$M$28="Yes",44&gt;=Projects!$C$28,44&lt;Projects!$C$28+Projects!$D$28),Projects!$B$28*INDEX(Curves!$B$4:$AR$4,1,44-Projects!$C$28+1),0)+IF(AND(Projects!$G$29="Yes",Projects!$M$29="Yes",44&gt;=Projects!$C$29,44&lt;Projects!$C$29+Projects!$D$29),Projects!$B$29*INDEX(Curves!$B$4:$AR$4,1,44-Projects!$C$29+1),0)+IF(AND(Projects!$G$30="Yes",Projects!$M$30="Yes",44&gt;=Projects!$C$30,44&lt;Projects!$C$30+Projects!$D$30),Projects!$B$30*INDEX(Curves!$B$4:$AR$4,1,44-Projects!$C$30+1),0)+IF(AND(Projects!$G$31="Yes",Projects!$M$31="Yes",44&gt;=Projects!$C$31,44&lt;Projects!$C$31+Projects!$D$31),Projects!$B$31*INDEX(Curves!$B$4:$AR$4,1,44-Projects!$C$31+1),0)+IF(AND(Projects!$G$32="Yes",Projects!$M$32="Yes",44&gt;=Projects!$C$32,44&lt;Projects!$C$32+Projects!$D$32),Projects!$B$32*INDEX(Curves!$B$4:$AR$4,1,44-Projects!$C$32+1),0)+IF(AND(Projects!$G$33="Yes",Projects!$M$33="Yes",44&gt;=Projects!$C$33,44&lt;Projects!$C$33+Projects!$D$33),Projects!$B$33*INDEX(Curves!$B$4:$AR$4,1,44-Projects!$C$33+1),0)+IF(AND(Projects!$G$34="Yes",Projects!$M$34="Yes",44&gt;=Projects!$C$34,44&lt;Projects!$C$34+Projects!$D$34),Projects!$B$34*INDEX(Curves!$B$4:$AR$4,1,44-Projects!$C$34+1),0)+IF(AND(Projects!$G$35="Yes",Projects!$M$35="Yes",44&gt;=Projects!$C$35,44&lt;Projects!$C$35+Projects!$D$35),Projects!$B$35*INDEX(Curves!$B$4:$AR$4,1,44-Projects!$C$35+1),0)+IF(AND(Projects!$G$36="Yes",Projects!$M$36="Yes",44&gt;=Projects!$C$36,44&lt;Projects!$C$36+Projects!$D$36),Projects!$B$36*INDEX(Curves!$B$4:$AR$4,1,44-Projects!$C$36+1),0)+IF(AND(Projects!$G$37="Yes",Projects!$M$37="Yes",44&gt;=Projects!$C$37,44&lt;Projects!$C$37+Projects!$D$37),Projects!$B$37*INDEX(Curves!$B$4:$AR$4,1,44-Projects!$C$37+1),0)+IF(AND(Projects!$G$38="Yes",Projects!$M$38="Yes",44&gt;=Projects!$C$38,44&lt;Projects!$C$38+Projects!$D$38),Projects!$B$38*INDEX(Curves!$B$4:$AR$4,1,44-Projects!$C$38+1),0)+IF(AND(Projects!$G$39="Yes",Projects!$M$39="Yes",44&gt;=Projects!$C$39,44&lt;Projects!$C$39+Projects!$D$39),Projects!$B$39*INDEX(Curves!$B$4:$AR$4,1,44-Projects!$C$39+1),0)+IF(AND(Projects!$G$40="Yes",Projects!$M$40="Yes",44&gt;=Projects!$C$40,44&lt;Projects!$C$40+Projects!$D$40),Projects!$B$40*INDEX(Curves!$B$4:$AR$4,1,44-Projects!$C$40+1),0)+IF(AND(Projects!$G$41="Yes",Projects!$M$41="Yes",44&gt;=Projects!$C$41,44&lt;Projects!$C$41+Projects!$D$41),Projects!$B$41*INDEX(Curves!$B$4:$AR$4,1,44-Projects!$C$41+1),0)+IF(AND(Projects!$G$42="Yes",Projects!$M$42="Yes",44&gt;=Projects!$C$42,44&lt;Projects!$C$42+Projects!$D$42),Projects!$B$42*INDEX(Curves!$B$4:$AR$4,1,44-Projects!$C$42+1),0)+IF(AND(Projects!$G$43="Yes",Projects!$M$43="Yes",44&gt;=Projects!$C$43,44&lt;Projects!$C$43+Projects!$D$43),Projects!$B$43*INDEX(Curves!$B$4:$AR$4,1,44-Projects!$C$43+1),0)+IF(AND(Projects!$G$44="Yes",Projects!$M$44="Yes",44&gt;=Projects!$C$44,44&lt;Projects!$C$44+Projects!$D$44),Projects!$B$44*INDEX(Curves!$B$4:$AR$4,1,44-Projects!$C$44+1),0)+IF(AND(Projects!$G$45="Yes",Projects!$M$45="Yes",44&gt;=Projects!$C$45,44&lt;Projects!$C$45+Projects!$D$45),Projects!$B$45*INDEX(Curves!$B$4:$AR$4,1,44-Projects!$C$45+1),0)+IF(AND(Projects!$G$46="Yes",Projects!$M$46="Yes",44&gt;=Projects!$C$46,44&lt;Projects!$C$46+Projects!$D$46),Projects!$B$46*INDEX(Curves!$B$4:$AR$4,1,44-Projects!$C$46+1),0)</f>
        <v>0</v>
      </c>
      <c r="AX101" s="317" t="n">
        <f aca="false">IF(AND(Projects!$G$17="Yes",Projects!$M$17="Yes",45&gt;=Projects!$C$17,45&lt;Projects!$C$17+Projects!$D$17),Projects!$B$17*INDEX(Curves!$B$4:$AR$4,1,45-Projects!$C$17+1),0)+IF(AND(Projects!$G$18="Yes",Projects!$M$18="Yes",45&gt;=Projects!$C$18,45&lt;Projects!$C$18+Projects!$D$18),Projects!$B$18*INDEX(Curves!$B$4:$AR$4,1,45-Projects!$C$18+1),0)+IF(AND(Projects!$G$19="Yes",Projects!$M$19="Yes",45&gt;=Projects!$C$19,45&lt;Projects!$C$19+Projects!$D$19),Projects!$B$19*INDEX(Curves!$B$4:$AR$4,1,45-Projects!$C$19+1),0)+IF(AND(Projects!$G$20="Yes",Projects!$M$20="Yes",45&gt;=Projects!$C$20,45&lt;Projects!$C$20+Projects!$D$20),Projects!$B$20*INDEX(Curves!$B$4:$AR$4,1,45-Projects!$C$20+1),0)+IF(AND(Projects!$G$21="Yes",Projects!$M$21="Yes",45&gt;=Projects!$C$21,45&lt;Projects!$C$21+Projects!$D$21),Projects!$B$21*INDEX(Curves!$B$4:$AR$4,1,45-Projects!$C$21+1),0)+IF(AND(Projects!$G$22="Yes",Projects!$M$22="Yes",45&gt;=Projects!$C$22,45&lt;Projects!$C$22+Projects!$D$22),Projects!$B$22*INDEX(Curves!$B$4:$AR$4,1,45-Projects!$C$22+1),0)+IF(AND(Projects!$G$23="Yes",Projects!$M$23="Yes",45&gt;=Projects!$C$23,45&lt;Projects!$C$23+Projects!$D$23),Projects!$B$23*INDEX(Curves!$B$4:$AR$4,1,45-Projects!$C$23+1),0)+IF(AND(Projects!$G$24="Yes",Projects!$M$24="Yes",45&gt;=Projects!$C$24,45&lt;Projects!$C$24+Projects!$D$24),Projects!$B$24*INDEX(Curves!$B$4:$AR$4,1,45-Projects!$C$24+1),0)+IF(AND(Projects!$G$25="Yes",Projects!$M$25="Yes",45&gt;=Projects!$C$25,45&lt;Projects!$C$25+Projects!$D$25),Projects!$B$25*INDEX(Curves!$B$4:$AR$4,1,45-Projects!$C$25+1),0)+IF(AND(Projects!$G$26="Yes",Projects!$M$26="Yes",45&gt;=Projects!$C$26,45&lt;Projects!$C$26+Projects!$D$26),Projects!$B$26*INDEX(Curves!$B$4:$AR$4,1,45-Projects!$C$26+1),0)+IF(AND(Projects!$G$27="Yes",Projects!$M$27="Yes",45&gt;=Projects!$C$27,45&lt;Projects!$C$27+Projects!$D$27),Projects!$B$27*INDEX(Curves!$B$4:$AR$4,1,45-Projects!$C$27+1),0)+IF(AND(Projects!$G$28="Yes",Projects!$M$28="Yes",45&gt;=Projects!$C$28,45&lt;Projects!$C$28+Projects!$D$28),Projects!$B$28*INDEX(Curves!$B$4:$AR$4,1,45-Projects!$C$28+1),0)+IF(AND(Projects!$G$29="Yes",Projects!$M$29="Yes",45&gt;=Projects!$C$29,45&lt;Projects!$C$29+Projects!$D$29),Projects!$B$29*INDEX(Curves!$B$4:$AR$4,1,45-Projects!$C$29+1),0)+IF(AND(Projects!$G$30="Yes",Projects!$M$30="Yes",45&gt;=Projects!$C$30,45&lt;Projects!$C$30+Projects!$D$30),Projects!$B$30*INDEX(Curves!$B$4:$AR$4,1,45-Projects!$C$30+1),0)+IF(AND(Projects!$G$31="Yes",Projects!$M$31="Yes",45&gt;=Projects!$C$31,45&lt;Projects!$C$31+Projects!$D$31),Projects!$B$31*INDEX(Curves!$B$4:$AR$4,1,45-Projects!$C$31+1),0)+IF(AND(Projects!$G$32="Yes",Projects!$M$32="Yes",45&gt;=Projects!$C$32,45&lt;Projects!$C$32+Projects!$D$32),Projects!$B$32*INDEX(Curves!$B$4:$AR$4,1,45-Projects!$C$32+1),0)+IF(AND(Projects!$G$33="Yes",Projects!$M$33="Yes",45&gt;=Projects!$C$33,45&lt;Projects!$C$33+Projects!$D$33),Projects!$B$33*INDEX(Curves!$B$4:$AR$4,1,45-Projects!$C$33+1),0)+IF(AND(Projects!$G$34="Yes",Projects!$M$34="Yes",45&gt;=Projects!$C$34,45&lt;Projects!$C$34+Projects!$D$34),Projects!$B$34*INDEX(Curves!$B$4:$AR$4,1,45-Projects!$C$34+1),0)+IF(AND(Projects!$G$35="Yes",Projects!$M$35="Yes",45&gt;=Projects!$C$35,45&lt;Projects!$C$35+Projects!$D$35),Projects!$B$35*INDEX(Curves!$B$4:$AR$4,1,45-Projects!$C$35+1),0)+IF(AND(Projects!$G$36="Yes",Projects!$M$36="Yes",45&gt;=Projects!$C$36,45&lt;Projects!$C$36+Projects!$D$36),Projects!$B$36*INDEX(Curves!$B$4:$AR$4,1,45-Projects!$C$36+1),0)+IF(AND(Projects!$G$37="Yes",Projects!$M$37="Yes",45&gt;=Projects!$C$37,45&lt;Projects!$C$37+Projects!$D$37),Projects!$B$37*INDEX(Curves!$B$4:$AR$4,1,45-Projects!$C$37+1),0)+IF(AND(Projects!$G$38="Yes",Projects!$M$38="Yes",45&gt;=Projects!$C$38,45&lt;Projects!$C$38+Projects!$D$38),Projects!$B$38*INDEX(Curves!$B$4:$AR$4,1,45-Projects!$C$38+1),0)+IF(AND(Projects!$G$39="Yes",Projects!$M$39="Yes",45&gt;=Projects!$C$39,45&lt;Projects!$C$39+Projects!$D$39),Projects!$B$39*INDEX(Curves!$B$4:$AR$4,1,45-Projects!$C$39+1),0)+IF(AND(Projects!$G$40="Yes",Projects!$M$40="Yes",45&gt;=Projects!$C$40,45&lt;Projects!$C$40+Projects!$D$40),Projects!$B$40*INDEX(Curves!$B$4:$AR$4,1,45-Projects!$C$40+1),0)+IF(AND(Projects!$G$41="Yes",Projects!$M$41="Yes",45&gt;=Projects!$C$41,45&lt;Projects!$C$41+Projects!$D$41),Projects!$B$41*INDEX(Curves!$B$4:$AR$4,1,45-Projects!$C$41+1),0)+IF(AND(Projects!$G$42="Yes",Projects!$M$42="Yes",45&gt;=Projects!$C$42,45&lt;Projects!$C$42+Projects!$D$42),Projects!$B$42*INDEX(Curves!$B$4:$AR$4,1,45-Projects!$C$42+1),0)+IF(AND(Projects!$G$43="Yes",Projects!$M$43="Yes",45&gt;=Projects!$C$43,45&lt;Projects!$C$43+Projects!$D$43),Projects!$B$43*INDEX(Curves!$B$4:$AR$4,1,45-Projects!$C$43+1),0)+IF(AND(Projects!$G$44="Yes",Projects!$M$44="Yes",45&gt;=Projects!$C$44,45&lt;Projects!$C$44+Projects!$D$44),Projects!$B$44*INDEX(Curves!$B$4:$AR$4,1,45-Projects!$C$44+1),0)+IF(AND(Projects!$G$45="Yes",Projects!$M$45="Yes",45&gt;=Projects!$C$45,45&lt;Projects!$C$45+Projects!$D$45),Projects!$B$45*INDEX(Curves!$B$4:$AR$4,1,45-Projects!$C$45+1),0)+IF(AND(Projects!$G$46="Yes",Projects!$M$46="Yes",45&gt;=Projects!$C$46,45&lt;Projects!$C$46+Projects!$D$46),Projects!$B$46*INDEX(Curves!$B$4:$AR$4,1,45-Projects!$C$46+1),0)</f>
        <v>0</v>
      </c>
      <c r="AY101" s="317" t="n">
        <f aca="false">IF(AND(Projects!$G$17="Yes",Projects!$M$17="Yes",46&gt;=Projects!$C$17,46&lt;Projects!$C$17+Projects!$D$17),Projects!$B$17*INDEX(Curves!$B$4:$AR$4,1,46-Projects!$C$17+1),0)+IF(AND(Projects!$G$18="Yes",Projects!$M$18="Yes",46&gt;=Projects!$C$18,46&lt;Projects!$C$18+Projects!$D$18),Projects!$B$18*INDEX(Curves!$B$4:$AR$4,1,46-Projects!$C$18+1),0)+IF(AND(Projects!$G$19="Yes",Projects!$M$19="Yes",46&gt;=Projects!$C$19,46&lt;Projects!$C$19+Projects!$D$19),Projects!$B$19*INDEX(Curves!$B$4:$AR$4,1,46-Projects!$C$19+1),0)+IF(AND(Projects!$G$20="Yes",Projects!$M$20="Yes",46&gt;=Projects!$C$20,46&lt;Projects!$C$20+Projects!$D$20),Projects!$B$20*INDEX(Curves!$B$4:$AR$4,1,46-Projects!$C$20+1),0)+IF(AND(Projects!$G$21="Yes",Projects!$M$21="Yes",46&gt;=Projects!$C$21,46&lt;Projects!$C$21+Projects!$D$21),Projects!$B$21*INDEX(Curves!$B$4:$AR$4,1,46-Projects!$C$21+1),0)+IF(AND(Projects!$G$22="Yes",Projects!$M$22="Yes",46&gt;=Projects!$C$22,46&lt;Projects!$C$22+Projects!$D$22),Projects!$B$22*INDEX(Curves!$B$4:$AR$4,1,46-Projects!$C$22+1),0)+IF(AND(Projects!$G$23="Yes",Projects!$M$23="Yes",46&gt;=Projects!$C$23,46&lt;Projects!$C$23+Projects!$D$23),Projects!$B$23*INDEX(Curves!$B$4:$AR$4,1,46-Projects!$C$23+1),0)+IF(AND(Projects!$G$24="Yes",Projects!$M$24="Yes",46&gt;=Projects!$C$24,46&lt;Projects!$C$24+Projects!$D$24),Projects!$B$24*INDEX(Curves!$B$4:$AR$4,1,46-Projects!$C$24+1),0)+IF(AND(Projects!$G$25="Yes",Projects!$M$25="Yes",46&gt;=Projects!$C$25,46&lt;Projects!$C$25+Projects!$D$25),Projects!$B$25*INDEX(Curves!$B$4:$AR$4,1,46-Projects!$C$25+1),0)+IF(AND(Projects!$G$26="Yes",Projects!$M$26="Yes",46&gt;=Projects!$C$26,46&lt;Projects!$C$26+Projects!$D$26),Projects!$B$26*INDEX(Curves!$B$4:$AR$4,1,46-Projects!$C$26+1),0)+IF(AND(Projects!$G$27="Yes",Projects!$M$27="Yes",46&gt;=Projects!$C$27,46&lt;Projects!$C$27+Projects!$D$27),Projects!$B$27*INDEX(Curves!$B$4:$AR$4,1,46-Projects!$C$27+1),0)+IF(AND(Projects!$G$28="Yes",Projects!$M$28="Yes",46&gt;=Projects!$C$28,46&lt;Projects!$C$28+Projects!$D$28),Projects!$B$28*INDEX(Curves!$B$4:$AR$4,1,46-Projects!$C$28+1),0)+IF(AND(Projects!$G$29="Yes",Projects!$M$29="Yes",46&gt;=Projects!$C$29,46&lt;Projects!$C$29+Projects!$D$29),Projects!$B$29*INDEX(Curves!$B$4:$AR$4,1,46-Projects!$C$29+1),0)+IF(AND(Projects!$G$30="Yes",Projects!$M$30="Yes",46&gt;=Projects!$C$30,46&lt;Projects!$C$30+Projects!$D$30),Projects!$B$30*INDEX(Curves!$B$4:$AR$4,1,46-Projects!$C$30+1),0)+IF(AND(Projects!$G$31="Yes",Projects!$M$31="Yes",46&gt;=Projects!$C$31,46&lt;Projects!$C$31+Projects!$D$31),Projects!$B$31*INDEX(Curves!$B$4:$AR$4,1,46-Projects!$C$31+1),0)+IF(AND(Projects!$G$32="Yes",Projects!$M$32="Yes",46&gt;=Projects!$C$32,46&lt;Projects!$C$32+Projects!$D$32),Projects!$B$32*INDEX(Curves!$B$4:$AR$4,1,46-Projects!$C$32+1),0)+IF(AND(Projects!$G$33="Yes",Projects!$M$33="Yes",46&gt;=Projects!$C$33,46&lt;Projects!$C$33+Projects!$D$33),Projects!$B$33*INDEX(Curves!$B$4:$AR$4,1,46-Projects!$C$33+1),0)+IF(AND(Projects!$G$34="Yes",Projects!$M$34="Yes",46&gt;=Projects!$C$34,46&lt;Projects!$C$34+Projects!$D$34),Projects!$B$34*INDEX(Curves!$B$4:$AR$4,1,46-Projects!$C$34+1),0)+IF(AND(Projects!$G$35="Yes",Projects!$M$35="Yes",46&gt;=Projects!$C$35,46&lt;Projects!$C$35+Projects!$D$35),Projects!$B$35*INDEX(Curves!$B$4:$AR$4,1,46-Projects!$C$35+1),0)+IF(AND(Projects!$G$36="Yes",Projects!$M$36="Yes",46&gt;=Projects!$C$36,46&lt;Projects!$C$36+Projects!$D$36),Projects!$B$36*INDEX(Curves!$B$4:$AR$4,1,46-Projects!$C$36+1),0)+IF(AND(Projects!$G$37="Yes",Projects!$M$37="Yes",46&gt;=Projects!$C$37,46&lt;Projects!$C$37+Projects!$D$37),Projects!$B$37*INDEX(Curves!$B$4:$AR$4,1,46-Projects!$C$37+1),0)+IF(AND(Projects!$G$38="Yes",Projects!$M$38="Yes",46&gt;=Projects!$C$38,46&lt;Projects!$C$38+Projects!$D$38),Projects!$B$38*INDEX(Curves!$B$4:$AR$4,1,46-Projects!$C$38+1),0)+IF(AND(Projects!$G$39="Yes",Projects!$M$39="Yes",46&gt;=Projects!$C$39,46&lt;Projects!$C$39+Projects!$D$39),Projects!$B$39*INDEX(Curves!$B$4:$AR$4,1,46-Projects!$C$39+1),0)+IF(AND(Projects!$G$40="Yes",Projects!$M$40="Yes",46&gt;=Projects!$C$40,46&lt;Projects!$C$40+Projects!$D$40),Projects!$B$40*INDEX(Curves!$B$4:$AR$4,1,46-Projects!$C$40+1),0)+IF(AND(Projects!$G$41="Yes",Projects!$M$41="Yes",46&gt;=Projects!$C$41,46&lt;Projects!$C$41+Projects!$D$41),Projects!$B$41*INDEX(Curves!$B$4:$AR$4,1,46-Projects!$C$41+1),0)+IF(AND(Projects!$G$42="Yes",Projects!$M$42="Yes",46&gt;=Projects!$C$42,46&lt;Projects!$C$42+Projects!$D$42),Projects!$B$42*INDEX(Curves!$B$4:$AR$4,1,46-Projects!$C$42+1),0)+IF(AND(Projects!$G$43="Yes",Projects!$M$43="Yes",46&gt;=Projects!$C$43,46&lt;Projects!$C$43+Projects!$D$43),Projects!$B$43*INDEX(Curves!$B$4:$AR$4,1,46-Projects!$C$43+1),0)+IF(AND(Projects!$G$44="Yes",Projects!$M$44="Yes",46&gt;=Projects!$C$44,46&lt;Projects!$C$44+Projects!$D$44),Projects!$B$44*INDEX(Curves!$B$4:$AR$4,1,46-Projects!$C$44+1),0)+IF(AND(Projects!$G$45="Yes",Projects!$M$45="Yes",46&gt;=Projects!$C$45,46&lt;Projects!$C$45+Projects!$D$45),Projects!$B$45*INDEX(Curves!$B$4:$AR$4,1,46-Projects!$C$45+1),0)+IF(AND(Projects!$G$46="Yes",Projects!$M$46="Yes",46&gt;=Projects!$C$46,46&lt;Projects!$C$46+Projects!$D$46),Projects!$B$46*INDEX(Curves!$B$4:$AR$4,1,46-Projects!$C$46+1),0)</f>
        <v>0</v>
      </c>
      <c r="AZ101" s="317" t="n">
        <f aca="false">IF(AND(Projects!$G$17="Yes",Projects!$M$17="Yes",47&gt;=Projects!$C$17,47&lt;Projects!$C$17+Projects!$D$17),Projects!$B$17*INDEX(Curves!$B$4:$AR$4,1,47-Projects!$C$17+1),0)+IF(AND(Projects!$G$18="Yes",Projects!$M$18="Yes",47&gt;=Projects!$C$18,47&lt;Projects!$C$18+Projects!$D$18),Projects!$B$18*INDEX(Curves!$B$4:$AR$4,1,47-Projects!$C$18+1),0)+IF(AND(Projects!$G$19="Yes",Projects!$M$19="Yes",47&gt;=Projects!$C$19,47&lt;Projects!$C$19+Projects!$D$19),Projects!$B$19*INDEX(Curves!$B$4:$AR$4,1,47-Projects!$C$19+1),0)+IF(AND(Projects!$G$20="Yes",Projects!$M$20="Yes",47&gt;=Projects!$C$20,47&lt;Projects!$C$20+Projects!$D$20),Projects!$B$20*INDEX(Curves!$B$4:$AR$4,1,47-Projects!$C$20+1),0)+IF(AND(Projects!$G$21="Yes",Projects!$M$21="Yes",47&gt;=Projects!$C$21,47&lt;Projects!$C$21+Projects!$D$21),Projects!$B$21*INDEX(Curves!$B$4:$AR$4,1,47-Projects!$C$21+1),0)+IF(AND(Projects!$G$22="Yes",Projects!$M$22="Yes",47&gt;=Projects!$C$22,47&lt;Projects!$C$22+Projects!$D$22),Projects!$B$22*INDEX(Curves!$B$4:$AR$4,1,47-Projects!$C$22+1),0)+IF(AND(Projects!$G$23="Yes",Projects!$M$23="Yes",47&gt;=Projects!$C$23,47&lt;Projects!$C$23+Projects!$D$23),Projects!$B$23*INDEX(Curves!$B$4:$AR$4,1,47-Projects!$C$23+1),0)+IF(AND(Projects!$G$24="Yes",Projects!$M$24="Yes",47&gt;=Projects!$C$24,47&lt;Projects!$C$24+Projects!$D$24),Projects!$B$24*INDEX(Curves!$B$4:$AR$4,1,47-Projects!$C$24+1),0)+IF(AND(Projects!$G$25="Yes",Projects!$M$25="Yes",47&gt;=Projects!$C$25,47&lt;Projects!$C$25+Projects!$D$25),Projects!$B$25*INDEX(Curves!$B$4:$AR$4,1,47-Projects!$C$25+1),0)+IF(AND(Projects!$G$26="Yes",Projects!$M$26="Yes",47&gt;=Projects!$C$26,47&lt;Projects!$C$26+Projects!$D$26),Projects!$B$26*INDEX(Curves!$B$4:$AR$4,1,47-Projects!$C$26+1),0)+IF(AND(Projects!$G$27="Yes",Projects!$M$27="Yes",47&gt;=Projects!$C$27,47&lt;Projects!$C$27+Projects!$D$27),Projects!$B$27*INDEX(Curves!$B$4:$AR$4,1,47-Projects!$C$27+1),0)+IF(AND(Projects!$G$28="Yes",Projects!$M$28="Yes",47&gt;=Projects!$C$28,47&lt;Projects!$C$28+Projects!$D$28),Projects!$B$28*INDEX(Curves!$B$4:$AR$4,1,47-Projects!$C$28+1),0)+IF(AND(Projects!$G$29="Yes",Projects!$M$29="Yes",47&gt;=Projects!$C$29,47&lt;Projects!$C$29+Projects!$D$29),Projects!$B$29*INDEX(Curves!$B$4:$AR$4,1,47-Projects!$C$29+1),0)+IF(AND(Projects!$G$30="Yes",Projects!$M$30="Yes",47&gt;=Projects!$C$30,47&lt;Projects!$C$30+Projects!$D$30),Projects!$B$30*INDEX(Curves!$B$4:$AR$4,1,47-Projects!$C$30+1),0)+IF(AND(Projects!$G$31="Yes",Projects!$M$31="Yes",47&gt;=Projects!$C$31,47&lt;Projects!$C$31+Projects!$D$31),Projects!$B$31*INDEX(Curves!$B$4:$AR$4,1,47-Projects!$C$31+1),0)+IF(AND(Projects!$G$32="Yes",Projects!$M$32="Yes",47&gt;=Projects!$C$32,47&lt;Projects!$C$32+Projects!$D$32),Projects!$B$32*INDEX(Curves!$B$4:$AR$4,1,47-Projects!$C$32+1),0)+IF(AND(Projects!$G$33="Yes",Projects!$M$33="Yes",47&gt;=Projects!$C$33,47&lt;Projects!$C$33+Projects!$D$33),Projects!$B$33*INDEX(Curves!$B$4:$AR$4,1,47-Projects!$C$33+1),0)+IF(AND(Projects!$G$34="Yes",Projects!$M$34="Yes",47&gt;=Projects!$C$34,47&lt;Projects!$C$34+Projects!$D$34),Projects!$B$34*INDEX(Curves!$B$4:$AR$4,1,47-Projects!$C$34+1),0)+IF(AND(Projects!$G$35="Yes",Projects!$M$35="Yes",47&gt;=Projects!$C$35,47&lt;Projects!$C$35+Projects!$D$35),Projects!$B$35*INDEX(Curves!$B$4:$AR$4,1,47-Projects!$C$35+1),0)+IF(AND(Projects!$G$36="Yes",Projects!$M$36="Yes",47&gt;=Projects!$C$36,47&lt;Projects!$C$36+Projects!$D$36),Projects!$B$36*INDEX(Curves!$B$4:$AR$4,1,47-Projects!$C$36+1),0)+IF(AND(Projects!$G$37="Yes",Projects!$M$37="Yes",47&gt;=Projects!$C$37,47&lt;Projects!$C$37+Projects!$D$37),Projects!$B$37*INDEX(Curves!$B$4:$AR$4,1,47-Projects!$C$37+1),0)+IF(AND(Projects!$G$38="Yes",Projects!$M$38="Yes",47&gt;=Projects!$C$38,47&lt;Projects!$C$38+Projects!$D$38),Projects!$B$38*INDEX(Curves!$B$4:$AR$4,1,47-Projects!$C$38+1),0)+IF(AND(Projects!$G$39="Yes",Projects!$M$39="Yes",47&gt;=Projects!$C$39,47&lt;Projects!$C$39+Projects!$D$39),Projects!$B$39*INDEX(Curves!$B$4:$AR$4,1,47-Projects!$C$39+1),0)+IF(AND(Projects!$G$40="Yes",Projects!$M$40="Yes",47&gt;=Projects!$C$40,47&lt;Projects!$C$40+Projects!$D$40),Projects!$B$40*INDEX(Curves!$B$4:$AR$4,1,47-Projects!$C$40+1),0)+IF(AND(Projects!$G$41="Yes",Projects!$M$41="Yes",47&gt;=Projects!$C$41,47&lt;Projects!$C$41+Projects!$D$41),Projects!$B$41*INDEX(Curves!$B$4:$AR$4,1,47-Projects!$C$41+1),0)+IF(AND(Projects!$G$42="Yes",Projects!$M$42="Yes",47&gt;=Projects!$C$42,47&lt;Projects!$C$42+Projects!$D$42),Projects!$B$42*INDEX(Curves!$B$4:$AR$4,1,47-Projects!$C$42+1),0)+IF(AND(Projects!$G$43="Yes",Projects!$M$43="Yes",47&gt;=Projects!$C$43,47&lt;Projects!$C$43+Projects!$D$43),Projects!$B$43*INDEX(Curves!$B$4:$AR$4,1,47-Projects!$C$43+1),0)+IF(AND(Projects!$G$44="Yes",Projects!$M$44="Yes",47&gt;=Projects!$C$44,47&lt;Projects!$C$44+Projects!$D$44),Projects!$B$44*INDEX(Curves!$B$4:$AR$4,1,47-Projects!$C$44+1),0)+IF(AND(Projects!$G$45="Yes",Projects!$M$45="Yes",47&gt;=Projects!$C$45,47&lt;Projects!$C$45+Projects!$D$45),Projects!$B$45*INDEX(Curves!$B$4:$AR$4,1,47-Projects!$C$45+1),0)+IF(AND(Projects!$G$46="Yes",Projects!$M$46="Yes",47&gt;=Projects!$C$46,47&lt;Projects!$C$46+Projects!$D$46),Projects!$B$46*INDEX(Curves!$B$4:$AR$4,1,47-Projects!$C$46+1),0)</f>
        <v>0</v>
      </c>
      <c r="BA101" s="317" t="n">
        <f aca="false">IF(AND(Projects!$G$17="Yes",Projects!$M$17="Yes",48&gt;=Projects!$C$17,48&lt;Projects!$C$17+Projects!$D$17),Projects!$B$17*INDEX(Curves!$B$4:$AR$4,1,48-Projects!$C$17+1),0)+IF(AND(Projects!$G$18="Yes",Projects!$M$18="Yes",48&gt;=Projects!$C$18,48&lt;Projects!$C$18+Projects!$D$18),Projects!$B$18*INDEX(Curves!$B$4:$AR$4,1,48-Projects!$C$18+1),0)+IF(AND(Projects!$G$19="Yes",Projects!$M$19="Yes",48&gt;=Projects!$C$19,48&lt;Projects!$C$19+Projects!$D$19),Projects!$B$19*INDEX(Curves!$B$4:$AR$4,1,48-Projects!$C$19+1),0)+IF(AND(Projects!$G$20="Yes",Projects!$M$20="Yes",48&gt;=Projects!$C$20,48&lt;Projects!$C$20+Projects!$D$20),Projects!$B$20*INDEX(Curves!$B$4:$AR$4,1,48-Projects!$C$20+1),0)+IF(AND(Projects!$G$21="Yes",Projects!$M$21="Yes",48&gt;=Projects!$C$21,48&lt;Projects!$C$21+Projects!$D$21),Projects!$B$21*INDEX(Curves!$B$4:$AR$4,1,48-Projects!$C$21+1),0)+IF(AND(Projects!$G$22="Yes",Projects!$M$22="Yes",48&gt;=Projects!$C$22,48&lt;Projects!$C$22+Projects!$D$22),Projects!$B$22*INDEX(Curves!$B$4:$AR$4,1,48-Projects!$C$22+1),0)+IF(AND(Projects!$G$23="Yes",Projects!$M$23="Yes",48&gt;=Projects!$C$23,48&lt;Projects!$C$23+Projects!$D$23),Projects!$B$23*INDEX(Curves!$B$4:$AR$4,1,48-Projects!$C$23+1),0)+IF(AND(Projects!$G$24="Yes",Projects!$M$24="Yes",48&gt;=Projects!$C$24,48&lt;Projects!$C$24+Projects!$D$24),Projects!$B$24*INDEX(Curves!$B$4:$AR$4,1,48-Projects!$C$24+1),0)+IF(AND(Projects!$G$25="Yes",Projects!$M$25="Yes",48&gt;=Projects!$C$25,48&lt;Projects!$C$25+Projects!$D$25),Projects!$B$25*INDEX(Curves!$B$4:$AR$4,1,48-Projects!$C$25+1),0)+IF(AND(Projects!$G$26="Yes",Projects!$M$26="Yes",48&gt;=Projects!$C$26,48&lt;Projects!$C$26+Projects!$D$26),Projects!$B$26*INDEX(Curves!$B$4:$AR$4,1,48-Projects!$C$26+1),0)+IF(AND(Projects!$G$27="Yes",Projects!$M$27="Yes",48&gt;=Projects!$C$27,48&lt;Projects!$C$27+Projects!$D$27),Projects!$B$27*INDEX(Curves!$B$4:$AR$4,1,48-Projects!$C$27+1),0)+IF(AND(Projects!$G$28="Yes",Projects!$M$28="Yes",48&gt;=Projects!$C$28,48&lt;Projects!$C$28+Projects!$D$28),Projects!$B$28*INDEX(Curves!$B$4:$AR$4,1,48-Projects!$C$28+1),0)+IF(AND(Projects!$G$29="Yes",Projects!$M$29="Yes",48&gt;=Projects!$C$29,48&lt;Projects!$C$29+Projects!$D$29),Projects!$B$29*INDEX(Curves!$B$4:$AR$4,1,48-Projects!$C$29+1),0)+IF(AND(Projects!$G$30="Yes",Projects!$M$30="Yes",48&gt;=Projects!$C$30,48&lt;Projects!$C$30+Projects!$D$30),Projects!$B$30*INDEX(Curves!$B$4:$AR$4,1,48-Projects!$C$30+1),0)+IF(AND(Projects!$G$31="Yes",Projects!$M$31="Yes",48&gt;=Projects!$C$31,48&lt;Projects!$C$31+Projects!$D$31),Projects!$B$31*INDEX(Curves!$B$4:$AR$4,1,48-Projects!$C$31+1),0)+IF(AND(Projects!$G$32="Yes",Projects!$M$32="Yes",48&gt;=Projects!$C$32,48&lt;Projects!$C$32+Projects!$D$32),Projects!$B$32*INDEX(Curves!$B$4:$AR$4,1,48-Projects!$C$32+1),0)+IF(AND(Projects!$G$33="Yes",Projects!$M$33="Yes",48&gt;=Projects!$C$33,48&lt;Projects!$C$33+Projects!$D$33),Projects!$B$33*INDEX(Curves!$B$4:$AR$4,1,48-Projects!$C$33+1),0)+IF(AND(Projects!$G$34="Yes",Projects!$M$34="Yes",48&gt;=Projects!$C$34,48&lt;Projects!$C$34+Projects!$D$34),Projects!$B$34*INDEX(Curves!$B$4:$AR$4,1,48-Projects!$C$34+1),0)+IF(AND(Projects!$G$35="Yes",Projects!$M$35="Yes",48&gt;=Projects!$C$35,48&lt;Projects!$C$35+Projects!$D$35),Projects!$B$35*INDEX(Curves!$B$4:$AR$4,1,48-Projects!$C$35+1),0)+IF(AND(Projects!$G$36="Yes",Projects!$M$36="Yes",48&gt;=Projects!$C$36,48&lt;Projects!$C$36+Projects!$D$36),Projects!$B$36*INDEX(Curves!$B$4:$AR$4,1,48-Projects!$C$36+1),0)+IF(AND(Projects!$G$37="Yes",Projects!$M$37="Yes",48&gt;=Projects!$C$37,48&lt;Projects!$C$37+Projects!$D$37),Projects!$B$37*INDEX(Curves!$B$4:$AR$4,1,48-Projects!$C$37+1),0)+IF(AND(Projects!$G$38="Yes",Projects!$M$38="Yes",48&gt;=Projects!$C$38,48&lt;Projects!$C$38+Projects!$D$38),Projects!$B$38*INDEX(Curves!$B$4:$AR$4,1,48-Projects!$C$38+1),0)+IF(AND(Projects!$G$39="Yes",Projects!$M$39="Yes",48&gt;=Projects!$C$39,48&lt;Projects!$C$39+Projects!$D$39),Projects!$B$39*INDEX(Curves!$B$4:$AR$4,1,48-Projects!$C$39+1),0)+IF(AND(Projects!$G$40="Yes",Projects!$M$40="Yes",48&gt;=Projects!$C$40,48&lt;Projects!$C$40+Projects!$D$40),Projects!$B$40*INDEX(Curves!$B$4:$AR$4,1,48-Projects!$C$40+1),0)+IF(AND(Projects!$G$41="Yes",Projects!$M$41="Yes",48&gt;=Projects!$C$41,48&lt;Projects!$C$41+Projects!$D$41),Projects!$B$41*INDEX(Curves!$B$4:$AR$4,1,48-Projects!$C$41+1),0)+IF(AND(Projects!$G$42="Yes",Projects!$M$42="Yes",48&gt;=Projects!$C$42,48&lt;Projects!$C$42+Projects!$D$42),Projects!$B$42*INDEX(Curves!$B$4:$AR$4,1,48-Projects!$C$42+1),0)+IF(AND(Projects!$G$43="Yes",Projects!$M$43="Yes",48&gt;=Projects!$C$43,48&lt;Projects!$C$43+Projects!$D$43),Projects!$B$43*INDEX(Curves!$B$4:$AR$4,1,48-Projects!$C$43+1),0)+IF(AND(Projects!$G$44="Yes",Projects!$M$44="Yes",48&gt;=Projects!$C$44,48&lt;Projects!$C$44+Projects!$D$44),Projects!$B$44*INDEX(Curves!$B$4:$AR$4,1,48-Projects!$C$44+1),0)+IF(AND(Projects!$G$45="Yes",Projects!$M$45="Yes",48&gt;=Projects!$C$45,48&lt;Projects!$C$45+Projects!$D$45),Projects!$B$45*INDEX(Curves!$B$4:$AR$4,1,48-Projects!$C$45+1),0)+IF(AND(Projects!$G$46="Yes",Projects!$M$46="Yes",48&gt;=Projects!$C$46,48&lt;Projects!$C$46+Projects!$D$46),Projects!$B$46*INDEX(Curves!$B$4:$AR$4,1,48-Projects!$C$46+1),0)</f>
        <v>0</v>
      </c>
      <c r="BB101" s="317" t="n">
        <f aca="false">IF(AND(Projects!$G$17="Yes",Projects!$M$17="Yes",49&gt;=Projects!$C$17,49&lt;Projects!$C$17+Projects!$D$17),Projects!$B$17*INDEX(Curves!$B$4:$AR$4,1,49-Projects!$C$17+1),0)+IF(AND(Projects!$G$18="Yes",Projects!$M$18="Yes",49&gt;=Projects!$C$18,49&lt;Projects!$C$18+Projects!$D$18),Projects!$B$18*INDEX(Curves!$B$4:$AR$4,1,49-Projects!$C$18+1),0)+IF(AND(Projects!$G$19="Yes",Projects!$M$19="Yes",49&gt;=Projects!$C$19,49&lt;Projects!$C$19+Projects!$D$19),Projects!$B$19*INDEX(Curves!$B$4:$AR$4,1,49-Projects!$C$19+1),0)+IF(AND(Projects!$G$20="Yes",Projects!$M$20="Yes",49&gt;=Projects!$C$20,49&lt;Projects!$C$20+Projects!$D$20),Projects!$B$20*INDEX(Curves!$B$4:$AR$4,1,49-Projects!$C$20+1),0)+IF(AND(Projects!$G$21="Yes",Projects!$M$21="Yes",49&gt;=Projects!$C$21,49&lt;Projects!$C$21+Projects!$D$21),Projects!$B$21*INDEX(Curves!$B$4:$AR$4,1,49-Projects!$C$21+1),0)+IF(AND(Projects!$G$22="Yes",Projects!$M$22="Yes",49&gt;=Projects!$C$22,49&lt;Projects!$C$22+Projects!$D$22),Projects!$B$22*INDEX(Curves!$B$4:$AR$4,1,49-Projects!$C$22+1),0)+IF(AND(Projects!$G$23="Yes",Projects!$M$23="Yes",49&gt;=Projects!$C$23,49&lt;Projects!$C$23+Projects!$D$23),Projects!$B$23*INDEX(Curves!$B$4:$AR$4,1,49-Projects!$C$23+1),0)+IF(AND(Projects!$G$24="Yes",Projects!$M$24="Yes",49&gt;=Projects!$C$24,49&lt;Projects!$C$24+Projects!$D$24),Projects!$B$24*INDEX(Curves!$B$4:$AR$4,1,49-Projects!$C$24+1),0)+IF(AND(Projects!$G$25="Yes",Projects!$M$25="Yes",49&gt;=Projects!$C$25,49&lt;Projects!$C$25+Projects!$D$25),Projects!$B$25*INDEX(Curves!$B$4:$AR$4,1,49-Projects!$C$25+1),0)+IF(AND(Projects!$G$26="Yes",Projects!$M$26="Yes",49&gt;=Projects!$C$26,49&lt;Projects!$C$26+Projects!$D$26),Projects!$B$26*INDEX(Curves!$B$4:$AR$4,1,49-Projects!$C$26+1),0)+IF(AND(Projects!$G$27="Yes",Projects!$M$27="Yes",49&gt;=Projects!$C$27,49&lt;Projects!$C$27+Projects!$D$27),Projects!$B$27*INDEX(Curves!$B$4:$AR$4,1,49-Projects!$C$27+1),0)+IF(AND(Projects!$G$28="Yes",Projects!$M$28="Yes",49&gt;=Projects!$C$28,49&lt;Projects!$C$28+Projects!$D$28),Projects!$B$28*INDEX(Curves!$B$4:$AR$4,1,49-Projects!$C$28+1),0)+IF(AND(Projects!$G$29="Yes",Projects!$M$29="Yes",49&gt;=Projects!$C$29,49&lt;Projects!$C$29+Projects!$D$29),Projects!$B$29*INDEX(Curves!$B$4:$AR$4,1,49-Projects!$C$29+1),0)+IF(AND(Projects!$G$30="Yes",Projects!$M$30="Yes",49&gt;=Projects!$C$30,49&lt;Projects!$C$30+Projects!$D$30),Projects!$B$30*INDEX(Curves!$B$4:$AR$4,1,49-Projects!$C$30+1),0)+IF(AND(Projects!$G$31="Yes",Projects!$M$31="Yes",49&gt;=Projects!$C$31,49&lt;Projects!$C$31+Projects!$D$31),Projects!$B$31*INDEX(Curves!$B$4:$AR$4,1,49-Projects!$C$31+1),0)+IF(AND(Projects!$G$32="Yes",Projects!$M$32="Yes",49&gt;=Projects!$C$32,49&lt;Projects!$C$32+Projects!$D$32),Projects!$B$32*INDEX(Curves!$B$4:$AR$4,1,49-Projects!$C$32+1),0)+IF(AND(Projects!$G$33="Yes",Projects!$M$33="Yes",49&gt;=Projects!$C$33,49&lt;Projects!$C$33+Projects!$D$33),Projects!$B$33*INDEX(Curves!$B$4:$AR$4,1,49-Projects!$C$33+1),0)+IF(AND(Projects!$G$34="Yes",Projects!$M$34="Yes",49&gt;=Projects!$C$34,49&lt;Projects!$C$34+Projects!$D$34),Projects!$B$34*INDEX(Curves!$B$4:$AR$4,1,49-Projects!$C$34+1),0)+IF(AND(Projects!$G$35="Yes",Projects!$M$35="Yes",49&gt;=Projects!$C$35,49&lt;Projects!$C$35+Projects!$D$35),Projects!$B$35*INDEX(Curves!$B$4:$AR$4,1,49-Projects!$C$35+1),0)+IF(AND(Projects!$G$36="Yes",Projects!$M$36="Yes",49&gt;=Projects!$C$36,49&lt;Projects!$C$36+Projects!$D$36),Projects!$B$36*INDEX(Curves!$B$4:$AR$4,1,49-Projects!$C$36+1),0)+IF(AND(Projects!$G$37="Yes",Projects!$M$37="Yes",49&gt;=Projects!$C$37,49&lt;Projects!$C$37+Projects!$D$37),Projects!$B$37*INDEX(Curves!$B$4:$AR$4,1,49-Projects!$C$37+1),0)+IF(AND(Projects!$G$38="Yes",Projects!$M$38="Yes",49&gt;=Projects!$C$38,49&lt;Projects!$C$38+Projects!$D$38),Projects!$B$38*INDEX(Curves!$B$4:$AR$4,1,49-Projects!$C$38+1),0)+IF(AND(Projects!$G$39="Yes",Projects!$M$39="Yes",49&gt;=Projects!$C$39,49&lt;Projects!$C$39+Projects!$D$39),Projects!$B$39*INDEX(Curves!$B$4:$AR$4,1,49-Projects!$C$39+1),0)+IF(AND(Projects!$G$40="Yes",Projects!$M$40="Yes",49&gt;=Projects!$C$40,49&lt;Projects!$C$40+Projects!$D$40),Projects!$B$40*INDEX(Curves!$B$4:$AR$4,1,49-Projects!$C$40+1),0)+IF(AND(Projects!$G$41="Yes",Projects!$M$41="Yes",49&gt;=Projects!$C$41,49&lt;Projects!$C$41+Projects!$D$41),Projects!$B$41*INDEX(Curves!$B$4:$AR$4,1,49-Projects!$C$41+1),0)+IF(AND(Projects!$G$42="Yes",Projects!$M$42="Yes",49&gt;=Projects!$C$42,49&lt;Projects!$C$42+Projects!$D$42),Projects!$B$42*INDEX(Curves!$B$4:$AR$4,1,49-Projects!$C$42+1),0)+IF(AND(Projects!$G$43="Yes",Projects!$M$43="Yes",49&gt;=Projects!$C$43,49&lt;Projects!$C$43+Projects!$D$43),Projects!$B$43*INDEX(Curves!$B$4:$AR$4,1,49-Projects!$C$43+1),0)+IF(AND(Projects!$G$44="Yes",Projects!$M$44="Yes",49&gt;=Projects!$C$44,49&lt;Projects!$C$44+Projects!$D$44),Projects!$B$44*INDEX(Curves!$B$4:$AR$4,1,49-Projects!$C$44+1),0)+IF(AND(Projects!$G$45="Yes",Projects!$M$45="Yes",49&gt;=Projects!$C$45,49&lt;Projects!$C$45+Projects!$D$45),Projects!$B$45*INDEX(Curves!$B$4:$AR$4,1,49-Projects!$C$45+1),0)+IF(AND(Projects!$G$46="Yes",Projects!$M$46="Yes",49&gt;=Projects!$C$46,49&lt;Projects!$C$46+Projects!$D$46),Projects!$B$46*INDEX(Curves!$B$4:$AR$4,1,49-Projects!$C$46+1),0)</f>
        <v>0</v>
      </c>
      <c r="BC101" s="317" t="n">
        <f aca="false">IF(AND(Projects!$G$17="Yes",Projects!$M$17="Yes",50&gt;=Projects!$C$17,50&lt;Projects!$C$17+Projects!$D$17),Projects!$B$17*INDEX(Curves!$B$4:$AR$4,1,50-Projects!$C$17+1),0)+IF(AND(Projects!$G$18="Yes",Projects!$M$18="Yes",50&gt;=Projects!$C$18,50&lt;Projects!$C$18+Projects!$D$18),Projects!$B$18*INDEX(Curves!$B$4:$AR$4,1,50-Projects!$C$18+1),0)+IF(AND(Projects!$G$19="Yes",Projects!$M$19="Yes",50&gt;=Projects!$C$19,50&lt;Projects!$C$19+Projects!$D$19),Projects!$B$19*INDEX(Curves!$B$4:$AR$4,1,50-Projects!$C$19+1),0)+IF(AND(Projects!$G$20="Yes",Projects!$M$20="Yes",50&gt;=Projects!$C$20,50&lt;Projects!$C$20+Projects!$D$20),Projects!$B$20*INDEX(Curves!$B$4:$AR$4,1,50-Projects!$C$20+1),0)+IF(AND(Projects!$G$21="Yes",Projects!$M$21="Yes",50&gt;=Projects!$C$21,50&lt;Projects!$C$21+Projects!$D$21),Projects!$B$21*INDEX(Curves!$B$4:$AR$4,1,50-Projects!$C$21+1),0)+IF(AND(Projects!$G$22="Yes",Projects!$M$22="Yes",50&gt;=Projects!$C$22,50&lt;Projects!$C$22+Projects!$D$22),Projects!$B$22*INDEX(Curves!$B$4:$AR$4,1,50-Projects!$C$22+1),0)+IF(AND(Projects!$G$23="Yes",Projects!$M$23="Yes",50&gt;=Projects!$C$23,50&lt;Projects!$C$23+Projects!$D$23),Projects!$B$23*INDEX(Curves!$B$4:$AR$4,1,50-Projects!$C$23+1),0)+IF(AND(Projects!$G$24="Yes",Projects!$M$24="Yes",50&gt;=Projects!$C$24,50&lt;Projects!$C$24+Projects!$D$24),Projects!$B$24*INDEX(Curves!$B$4:$AR$4,1,50-Projects!$C$24+1),0)+IF(AND(Projects!$G$25="Yes",Projects!$M$25="Yes",50&gt;=Projects!$C$25,50&lt;Projects!$C$25+Projects!$D$25),Projects!$B$25*INDEX(Curves!$B$4:$AR$4,1,50-Projects!$C$25+1),0)+IF(AND(Projects!$G$26="Yes",Projects!$M$26="Yes",50&gt;=Projects!$C$26,50&lt;Projects!$C$26+Projects!$D$26),Projects!$B$26*INDEX(Curves!$B$4:$AR$4,1,50-Projects!$C$26+1),0)+IF(AND(Projects!$G$27="Yes",Projects!$M$27="Yes",50&gt;=Projects!$C$27,50&lt;Projects!$C$27+Projects!$D$27),Projects!$B$27*INDEX(Curves!$B$4:$AR$4,1,50-Projects!$C$27+1),0)+IF(AND(Projects!$G$28="Yes",Projects!$M$28="Yes",50&gt;=Projects!$C$28,50&lt;Projects!$C$28+Projects!$D$28),Projects!$B$28*INDEX(Curves!$B$4:$AR$4,1,50-Projects!$C$28+1),0)+IF(AND(Projects!$G$29="Yes",Projects!$M$29="Yes",50&gt;=Projects!$C$29,50&lt;Projects!$C$29+Projects!$D$29),Projects!$B$29*INDEX(Curves!$B$4:$AR$4,1,50-Projects!$C$29+1),0)+IF(AND(Projects!$G$30="Yes",Projects!$M$30="Yes",50&gt;=Projects!$C$30,50&lt;Projects!$C$30+Projects!$D$30),Projects!$B$30*INDEX(Curves!$B$4:$AR$4,1,50-Projects!$C$30+1),0)+IF(AND(Projects!$G$31="Yes",Projects!$M$31="Yes",50&gt;=Projects!$C$31,50&lt;Projects!$C$31+Projects!$D$31),Projects!$B$31*INDEX(Curves!$B$4:$AR$4,1,50-Projects!$C$31+1),0)+IF(AND(Projects!$G$32="Yes",Projects!$M$32="Yes",50&gt;=Projects!$C$32,50&lt;Projects!$C$32+Projects!$D$32),Projects!$B$32*INDEX(Curves!$B$4:$AR$4,1,50-Projects!$C$32+1),0)+IF(AND(Projects!$G$33="Yes",Projects!$M$33="Yes",50&gt;=Projects!$C$33,50&lt;Projects!$C$33+Projects!$D$33),Projects!$B$33*INDEX(Curves!$B$4:$AR$4,1,50-Projects!$C$33+1),0)+IF(AND(Projects!$G$34="Yes",Projects!$M$34="Yes",50&gt;=Projects!$C$34,50&lt;Projects!$C$34+Projects!$D$34),Projects!$B$34*INDEX(Curves!$B$4:$AR$4,1,50-Projects!$C$34+1),0)+IF(AND(Projects!$G$35="Yes",Projects!$M$35="Yes",50&gt;=Projects!$C$35,50&lt;Projects!$C$35+Projects!$D$35),Projects!$B$35*INDEX(Curves!$B$4:$AR$4,1,50-Projects!$C$35+1),0)+IF(AND(Projects!$G$36="Yes",Projects!$M$36="Yes",50&gt;=Projects!$C$36,50&lt;Projects!$C$36+Projects!$D$36),Projects!$B$36*INDEX(Curves!$B$4:$AR$4,1,50-Projects!$C$36+1),0)+IF(AND(Projects!$G$37="Yes",Projects!$M$37="Yes",50&gt;=Projects!$C$37,50&lt;Projects!$C$37+Projects!$D$37),Projects!$B$37*INDEX(Curves!$B$4:$AR$4,1,50-Projects!$C$37+1),0)+IF(AND(Projects!$G$38="Yes",Projects!$M$38="Yes",50&gt;=Projects!$C$38,50&lt;Projects!$C$38+Projects!$D$38),Projects!$B$38*INDEX(Curves!$B$4:$AR$4,1,50-Projects!$C$38+1),0)+IF(AND(Projects!$G$39="Yes",Projects!$M$39="Yes",50&gt;=Projects!$C$39,50&lt;Projects!$C$39+Projects!$D$39),Projects!$B$39*INDEX(Curves!$B$4:$AR$4,1,50-Projects!$C$39+1),0)+IF(AND(Projects!$G$40="Yes",Projects!$M$40="Yes",50&gt;=Projects!$C$40,50&lt;Projects!$C$40+Projects!$D$40),Projects!$B$40*INDEX(Curves!$B$4:$AR$4,1,50-Projects!$C$40+1),0)+IF(AND(Projects!$G$41="Yes",Projects!$M$41="Yes",50&gt;=Projects!$C$41,50&lt;Projects!$C$41+Projects!$D$41),Projects!$B$41*INDEX(Curves!$B$4:$AR$4,1,50-Projects!$C$41+1),0)+IF(AND(Projects!$G$42="Yes",Projects!$M$42="Yes",50&gt;=Projects!$C$42,50&lt;Projects!$C$42+Projects!$D$42),Projects!$B$42*INDEX(Curves!$B$4:$AR$4,1,50-Projects!$C$42+1),0)+IF(AND(Projects!$G$43="Yes",Projects!$M$43="Yes",50&gt;=Projects!$C$43,50&lt;Projects!$C$43+Projects!$D$43),Projects!$B$43*INDEX(Curves!$B$4:$AR$4,1,50-Projects!$C$43+1),0)+IF(AND(Projects!$G$44="Yes",Projects!$M$44="Yes",50&gt;=Projects!$C$44,50&lt;Projects!$C$44+Projects!$D$44),Projects!$B$44*INDEX(Curves!$B$4:$AR$4,1,50-Projects!$C$44+1),0)+IF(AND(Projects!$G$45="Yes",Projects!$M$45="Yes",50&gt;=Projects!$C$45,50&lt;Projects!$C$45+Projects!$D$45),Projects!$B$45*INDEX(Curves!$B$4:$AR$4,1,50-Projects!$C$45+1),0)+IF(AND(Projects!$G$46="Yes",Projects!$M$46="Yes",50&gt;=Projects!$C$46,50&lt;Projects!$C$46+Projects!$D$46),Projects!$B$46*INDEX(Curves!$B$4:$AR$4,1,50-Projects!$C$46+1),0)</f>
        <v>0</v>
      </c>
      <c r="BD101" s="317" t="n">
        <f aca="false">IF(AND(Projects!$G$17="Yes",Projects!$M$17="Yes",51&gt;=Projects!$C$17,51&lt;Projects!$C$17+Projects!$D$17),Projects!$B$17*INDEX(Curves!$B$4:$AR$4,1,51-Projects!$C$17+1),0)+IF(AND(Projects!$G$18="Yes",Projects!$M$18="Yes",51&gt;=Projects!$C$18,51&lt;Projects!$C$18+Projects!$D$18),Projects!$B$18*INDEX(Curves!$B$4:$AR$4,1,51-Projects!$C$18+1),0)+IF(AND(Projects!$G$19="Yes",Projects!$M$19="Yes",51&gt;=Projects!$C$19,51&lt;Projects!$C$19+Projects!$D$19),Projects!$B$19*INDEX(Curves!$B$4:$AR$4,1,51-Projects!$C$19+1),0)+IF(AND(Projects!$G$20="Yes",Projects!$M$20="Yes",51&gt;=Projects!$C$20,51&lt;Projects!$C$20+Projects!$D$20),Projects!$B$20*INDEX(Curves!$B$4:$AR$4,1,51-Projects!$C$20+1),0)+IF(AND(Projects!$G$21="Yes",Projects!$M$21="Yes",51&gt;=Projects!$C$21,51&lt;Projects!$C$21+Projects!$D$21),Projects!$B$21*INDEX(Curves!$B$4:$AR$4,1,51-Projects!$C$21+1),0)+IF(AND(Projects!$G$22="Yes",Projects!$M$22="Yes",51&gt;=Projects!$C$22,51&lt;Projects!$C$22+Projects!$D$22),Projects!$B$22*INDEX(Curves!$B$4:$AR$4,1,51-Projects!$C$22+1),0)+IF(AND(Projects!$G$23="Yes",Projects!$M$23="Yes",51&gt;=Projects!$C$23,51&lt;Projects!$C$23+Projects!$D$23),Projects!$B$23*INDEX(Curves!$B$4:$AR$4,1,51-Projects!$C$23+1),0)+IF(AND(Projects!$G$24="Yes",Projects!$M$24="Yes",51&gt;=Projects!$C$24,51&lt;Projects!$C$24+Projects!$D$24),Projects!$B$24*INDEX(Curves!$B$4:$AR$4,1,51-Projects!$C$24+1),0)+IF(AND(Projects!$G$25="Yes",Projects!$M$25="Yes",51&gt;=Projects!$C$25,51&lt;Projects!$C$25+Projects!$D$25),Projects!$B$25*INDEX(Curves!$B$4:$AR$4,1,51-Projects!$C$25+1),0)+IF(AND(Projects!$G$26="Yes",Projects!$M$26="Yes",51&gt;=Projects!$C$26,51&lt;Projects!$C$26+Projects!$D$26),Projects!$B$26*INDEX(Curves!$B$4:$AR$4,1,51-Projects!$C$26+1),0)+IF(AND(Projects!$G$27="Yes",Projects!$M$27="Yes",51&gt;=Projects!$C$27,51&lt;Projects!$C$27+Projects!$D$27),Projects!$B$27*INDEX(Curves!$B$4:$AR$4,1,51-Projects!$C$27+1),0)+IF(AND(Projects!$G$28="Yes",Projects!$M$28="Yes",51&gt;=Projects!$C$28,51&lt;Projects!$C$28+Projects!$D$28),Projects!$B$28*INDEX(Curves!$B$4:$AR$4,1,51-Projects!$C$28+1),0)+IF(AND(Projects!$G$29="Yes",Projects!$M$29="Yes",51&gt;=Projects!$C$29,51&lt;Projects!$C$29+Projects!$D$29),Projects!$B$29*INDEX(Curves!$B$4:$AR$4,1,51-Projects!$C$29+1),0)+IF(AND(Projects!$G$30="Yes",Projects!$M$30="Yes",51&gt;=Projects!$C$30,51&lt;Projects!$C$30+Projects!$D$30),Projects!$B$30*INDEX(Curves!$B$4:$AR$4,1,51-Projects!$C$30+1),0)+IF(AND(Projects!$G$31="Yes",Projects!$M$31="Yes",51&gt;=Projects!$C$31,51&lt;Projects!$C$31+Projects!$D$31),Projects!$B$31*INDEX(Curves!$B$4:$AR$4,1,51-Projects!$C$31+1),0)+IF(AND(Projects!$G$32="Yes",Projects!$M$32="Yes",51&gt;=Projects!$C$32,51&lt;Projects!$C$32+Projects!$D$32),Projects!$B$32*INDEX(Curves!$B$4:$AR$4,1,51-Projects!$C$32+1),0)+IF(AND(Projects!$G$33="Yes",Projects!$M$33="Yes",51&gt;=Projects!$C$33,51&lt;Projects!$C$33+Projects!$D$33),Projects!$B$33*INDEX(Curves!$B$4:$AR$4,1,51-Projects!$C$33+1),0)+IF(AND(Projects!$G$34="Yes",Projects!$M$34="Yes",51&gt;=Projects!$C$34,51&lt;Projects!$C$34+Projects!$D$34),Projects!$B$34*INDEX(Curves!$B$4:$AR$4,1,51-Projects!$C$34+1),0)+IF(AND(Projects!$G$35="Yes",Projects!$M$35="Yes",51&gt;=Projects!$C$35,51&lt;Projects!$C$35+Projects!$D$35),Projects!$B$35*INDEX(Curves!$B$4:$AR$4,1,51-Projects!$C$35+1),0)+IF(AND(Projects!$G$36="Yes",Projects!$M$36="Yes",51&gt;=Projects!$C$36,51&lt;Projects!$C$36+Projects!$D$36),Projects!$B$36*INDEX(Curves!$B$4:$AR$4,1,51-Projects!$C$36+1),0)+IF(AND(Projects!$G$37="Yes",Projects!$M$37="Yes",51&gt;=Projects!$C$37,51&lt;Projects!$C$37+Projects!$D$37),Projects!$B$37*INDEX(Curves!$B$4:$AR$4,1,51-Projects!$C$37+1),0)+IF(AND(Projects!$G$38="Yes",Projects!$M$38="Yes",51&gt;=Projects!$C$38,51&lt;Projects!$C$38+Projects!$D$38),Projects!$B$38*INDEX(Curves!$B$4:$AR$4,1,51-Projects!$C$38+1),0)+IF(AND(Projects!$G$39="Yes",Projects!$M$39="Yes",51&gt;=Projects!$C$39,51&lt;Projects!$C$39+Projects!$D$39),Projects!$B$39*INDEX(Curves!$B$4:$AR$4,1,51-Projects!$C$39+1),0)+IF(AND(Projects!$G$40="Yes",Projects!$M$40="Yes",51&gt;=Projects!$C$40,51&lt;Projects!$C$40+Projects!$D$40),Projects!$B$40*INDEX(Curves!$B$4:$AR$4,1,51-Projects!$C$40+1),0)+IF(AND(Projects!$G$41="Yes",Projects!$M$41="Yes",51&gt;=Projects!$C$41,51&lt;Projects!$C$41+Projects!$D$41),Projects!$B$41*INDEX(Curves!$B$4:$AR$4,1,51-Projects!$C$41+1),0)+IF(AND(Projects!$G$42="Yes",Projects!$M$42="Yes",51&gt;=Projects!$C$42,51&lt;Projects!$C$42+Projects!$D$42),Projects!$B$42*INDEX(Curves!$B$4:$AR$4,1,51-Projects!$C$42+1),0)+IF(AND(Projects!$G$43="Yes",Projects!$M$43="Yes",51&gt;=Projects!$C$43,51&lt;Projects!$C$43+Projects!$D$43),Projects!$B$43*INDEX(Curves!$B$4:$AR$4,1,51-Projects!$C$43+1),0)+IF(AND(Projects!$G$44="Yes",Projects!$M$44="Yes",51&gt;=Projects!$C$44,51&lt;Projects!$C$44+Projects!$D$44),Projects!$B$44*INDEX(Curves!$B$4:$AR$4,1,51-Projects!$C$44+1),0)+IF(AND(Projects!$G$45="Yes",Projects!$M$45="Yes",51&gt;=Projects!$C$45,51&lt;Projects!$C$45+Projects!$D$45),Projects!$B$45*INDEX(Curves!$B$4:$AR$4,1,51-Projects!$C$45+1),0)+IF(AND(Projects!$G$46="Yes",Projects!$M$46="Yes",51&gt;=Projects!$C$46,51&lt;Projects!$C$46+Projects!$D$46),Projects!$B$46*INDEX(Curves!$B$4:$AR$4,1,51-Projects!$C$46+1),0)</f>
        <v>0</v>
      </c>
      <c r="BE101" s="317" t="n">
        <f aca="false">IF(AND(Projects!$G$17="Yes",Projects!$M$17="Yes",52&gt;=Projects!$C$17,52&lt;Projects!$C$17+Projects!$D$17),Projects!$B$17*INDEX(Curves!$B$4:$AR$4,1,52-Projects!$C$17+1),0)+IF(AND(Projects!$G$18="Yes",Projects!$M$18="Yes",52&gt;=Projects!$C$18,52&lt;Projects!$C$18+Projects!$D$18),Projects!$B$18*INDEX(Curves!$B$4:$AR$4,1,52-Projects!$C$18+1),0)+IF(AND(Projects!$G$19="Yes",Projects!$M$19="Yes",52&gt;=Projects!$C$19,52&lt;Projects!$C$19+Projects!$D$19),Projects!$B$19*INDEX(Curves!$B$4:$AR$4,1,52-Projects!$C$19+1),0)+IF(AND(Projects!$G$20="Yes",Projects!$M$20="Yes",52&gt;=Projects!$C$20,52&lt;Projects!$C$20+Projects!$D$20),Projects!$B$20*INDEX(Curves!$B$4:$AR$4,1,52-Projects!$C$20+1),0)+IF(AND(Projects!$G$21="Yes",Projects!$M$21="Yes",52&gt;=Projects!$C$21,52&lt;Projects!$C$21+Projects!$D$21),Projects!$B$21*INDEX(Curves!$B$4:$AR$4,1,52-Projects!$C$21+1),0)+IF(AND(Projects!$G$22="Yes",Projects!$M$22="Yes",52&gt;=Projects!$C$22,52&lt;Projects!$C$22+Projects!$D$22),Projects!$B$22*INDEX(Curves!$B$4:$AR$4,1,52-Projects!$C$22+1),0)+IF(AND(Projects!$G$23="Yes",Projects!$M$23="Yes",52&gt;=Projects!$C$23,52&lt;Projects!$C$23+Projects!$D$23),Projects!$B$23*INDEX(Curves!$B$4:$AR$4,1,52-Projects!$C$23+1),0)+IF(AND(Projects!$G$24="Yes",Projects!$M$24="Yes",52&gt;=Projects!$C$24,52&lt;Projects!$C$24+Projects!$D$24),Projects!$B$24*INDEX(Curves!$B$4:$AR$4,1,52-Projects!$C$24+1),0)+IF(AND(Projects!$G$25="Yes",Projects!$M$25="Yes",52&gt;=Projects!$C$25,52&lt;Projects!$C$25+Projects!$D$25),Projects!$B$25*INDEX(Curves!$B$4:$AR$4,1,52-Projects!$C$25+1),0)+IF(AND(Projects!$G$26="Yes",Projects!$M$26="Yes",52&gt;=Projects!$C$26,52&lt;Projects!$C$26+Projects!$D$26),Projects!$B$26*INDEX(Curves!$B$4:$AR$4,1,52-Projects!$C$26+1),0)+IF(AND(Projects!$G$27="Yes",Projects!$M$27="Yes",52&gt;=Projects!$C$27,52&lt;Projects!$C$27+Projects!$D$27),Projects!$B$27*INDEX(Curves!$B$4:$AR$4,1,52-Projects!$C$27+1),0)+IF(AND(Projects!$G$28="Yes",Projects!$M$28="Yes",52&gt;=Projects!$C$28,52&lt;Projects!$C$28+Projects!$D$28),Projects!$B$28*INDEX(Curves!$B$4:$AR$4,1,52-Projects!$C$28+1),0)+IF(AND(Projects!$G$29="Yes",Projects!$M$29="Yes",52&gt;=Projects!$C$29,52&lt;Projects!$C$29+Projects!$D$29),Projects!$B$29*INDEX(Curves!$B$4:$AR$4,1,52-Projects!$C$29+1),0)+IF(AND(Projects!$G$30="Yes",Projects!$M$30="Yes",52&gt;=Projects!$C$30,52&lt;Projects!$C$30+Projects!$D$30),Projects!$B$30*INDEX(Curves!$B$4:$AR$4,1,52-Projects!$C$30+1),0)+IF(AND(Projects!$G$31="Yes",Projects!$M$31="Yes",52&gt;=Projects!$C$31,52&lt;Projects!$C$31+Projects!$D$31),Projects!$B$31*INDEX(Curves!$B$4:$AR$4,1,52-Projects!$C$31+1),0)+IF(AND(Projects!$G$32="Yes",Projects!$M$32="Yes",52&gt;=Projects!$C$32,52&lt;Projects!$C$32+Projects!$D$32),Projects!$B$32*INDEX(Curves!$B$4:$AR$4,1,52-Projects!$C$32+1),0)+IF(AND(Projects!$G$33="Yes",Projects!$M$33="Yes",52&gt;=Projects!$C$33,52&lt;Projects!$C$33+Projects!$D$33),Projects!$B$33*INDEX(Curves!$B$4:$AR$4,1,52-Projects!$C$33+1),0)+IF(AND(Projects!$G$34="Yes",Projects!$M$34="Yes",52&gt;=Projects!$C$34,52&lt;Projects!$C$34+Projects!$D$34),Projects!$B$34*INDEX(Curves!$B$4:$AR$4,1,52-Projects!$C$34+1),0)+IF(AND(Projects!$G$35="Yes",Projects!$M$35="Yes",52&gt;=Projects!$C$35,52&lt;Projects!$C$35+Projects!$D$35),Projects!$B$35*INDEX(Curves!$B$4:$AR$4,1,52-Projects!$C$35+1),0)+IF(AND(Projects!$G$36="Yes",Projects!$M$36="Yes",52&gt;=Projects!$C$36,52&lt;Projects!$C$36+Projects!$D$36),Projects!$B$36*INDEX(Curves!$B$4:$AR$4,1,52-Projects!$C$36+1),0)+IF(AND(Projects!$G$37="Yes",Projects!$M$37="Yes",52&gt;=Projects!$C$37,52&lt;Projects!$C$37+Projects!$D$37),Projects!$B$37*INDEX(Curves!$B$4:$AR$4,1,52-Projects!$C$37+1),0)+IF(AND(Projects!$G$38="Yes",Projects!$M$38="Yes",52&gt;=Projects!$C$38,52&lt;Projects!$C$38+Projects!$D$38),Projects!$B$38*INDEX(Curves!$B$4:$AR$4,1,52-Projects!$C$38+1),0)+IF(AND(Projects!$G$39="Yes",Projects!$M$39="Yes",52&gt;=Projects!$C$39,52&lt;Projects!$C$39+Projects!$D$39),Projects!$B$39*INDEX(Curves!$B$4:$AR$4,1,52-Projects!$C$39+1),0)+IF(AND(Projects!$G$40="Yes",Projects!$M$40="Yes",52&gt;=Projects!$C$40,52&lt;Projects!$C$40+Projects!$D$40),Projects!$B$40*INDEX(Curves!$B$4:$AR$4,1,52-Projects!$C$40+1),0)+IF(AND(Projects!$G$41="Yes",Projects!$M$41="Yes",52&gt;=Projects!$C$41,52&lt;Projects!$C$41+Projects!$D$41),Projects!$B$41*INDEX(Curves!$B$4:$AR$4,1,52-Projects!$C$41+1),0)+IF(AND(Projects!$G$42="Yes",Projects!$M$42="Yes",52&gt;=Projects!$C$42,52&lt;Projects!$C$42+Projects!$D$42),Projects!$B$42*INDEX(Curves!$B$4:$AR$4,1,52-Projects!$C$42+1),0)+IF(AND(Projects!$G$43="Yes",Projects!$M$43="Yes",52&gt;=Projects!$C$43,52&lt;Projects!$C$43+Projects!$D$43),Projects!$B$43*INDEX(Curves!$B$4:$AR$4,1,52-Projects!$C$43+1),0)+IF(AND(Projects!$G$44="Yes",Projects!$M$44="Yes",52&gt;=Projects!$C$44,52&lt;Projects!$C$44+Projects!$D$44),Projects!$B$44*INDEX(Curves!$B$4:$AR$4,1,52-Projects!$C$44+1),0)+IF(AND(Projects!$G$45="Yes",Projects!$M$45="Yes",52&gt;=Projects!$C$45,52&lt;Projects!$C$45+Projects!$D$45),Projects!$B$45*INDEX(Curves!$B$4:$AR$4,1,52-Projects!$C$45+1),0)+IF(AND(Projects!$G$46="Yes",Projects!$M$46="Yes",52&gt;=Projects!$C$46,52&lt;Projects!$C$46+Projects!$D$46),Projects!$B$46*INDEX(Curves!$B$4:$AR$4,1,52-Projects!$C$46+1),0)</f>
        <v>0</v>
      </c>
      <c r="BF101" s="317" t="n">
        <f aca="false">IF(AND(Projects!$G$17="Yes",Projects!$M$17="Yes",53&gt;=Projects!$C$17,53&lt;Projects!$C$17+Projects!$D$17),Projects!$B$17*INDEX(Curves!$B$4:$AR$4,1,53-Projects!$C$17+1),0)+IF(AND(Projects!$G$18="Yes",Projects!$M$18="Yes",53&gt;=Projects!$C$18,53&lt;Projects!$C$18+Projects!$D$18),Projects!$B$18*INDEX(Curves!$B$4:$AR$4,1,53-Projects!$C$18+1),0)+IF(AND(Projects!$G$19="Yes",Projects!$M$19="Yes",53&gt;=Projects!$C$19,53&lt;Projects!$C$19+Projects!$D$19),Projects!$B$19*INDEX(Curves!$B$4:$AR$4,1,53-Projects!$C$19+1),0)+IF(AND(Projects!$G$20="Yes",Projects!$M$20="Yes",53&gt;=Projects!$C$20,53&lt;Projects!$C$20+Projects!$D$20),Projects!$B$20*INDEX(Curves!$B$4:$AR$4,1,53-Projects!$C$20+1),0)+IF(AND(Projects!$G$21="Yes",Projects!$M$21="Yes",53&gt;=Projects!$C$21,53&lt;Projects!$C$21+Projects!$D$21),Projects!$B$21*INDEX(Curves!$B$4:$AR$4,1,53-Projects!$C$21+1),0)+IF(AND(Projects!$G$22="Yes",Projects!$M$22="Yes",53&gt;=Projects!$C$22,53&lt;Projects!$C$22+Projects!$D$22),Projects!$B$22*INDEX(Curves!$B$4:$AR$4,1,53-Projects!$C$22+1),0)+IF(AND(Projects!$G$23="Yes",Projects!$M$23="Yes",53&gt;=Projects!$C$23,53&lt;Projects!$C$23+Projects!$D$23),Projects!$B$23*INDEX(Curves!$B$4:$AR$4,1,53-Projects!$C$23+1),0)+IF(AND(Projects!$G$24="Yes",Projects!$M$24="Yes",53&gt;=Projects!$C$24,53&lt;Projects!$C$24+Projects!$D$24),Projects!$B$24*INDEX(Curves!$B$4:$AR$4,1,53-Projects!$C$24+1),0)+IF(AND(Projects!$G$25="Yes",Projects!$M$25="Yes",53&gt;=Projects!$C$25,53&lt;Projects!$C$25+Projects!$D$25),Projects!$B$25*INDEX(Curves!$B$4:$AR$4,1,53-Projects!$C$25+1),0)+IF(AND(Projects!$G$26="Yes",Projects!$M$26="Yes",53&gt;=Projects!$C$26,53&lt;Projects!$C$26+Projects!$D$26),Projects!$B$26*INDEX(Curves!$B$4:$AR$4,1,53-Projects!$C$26+1),0)+IF(AND(Projects!$G$27="Yes",Projects!$M$27="Yes",53&gt;=Projects!$C$27,53&lt;Projects!$C$27+Projects!$D$27),Projects!$B$27*INDEX(Curves!$B$4:$AR$4,1,53-Projects!$C$27+1),0)+IF(AND(Projects!$G$28="Yes",Projects!$M$28="Yes",53&gt;=Projects!$C$28,53&lt;Projects!$C$28+Projects!$D$28),Projects!$B$28*INDEX(Curves!$B$4:$AR$4,1,53-Projects!$C$28+1),0)+IF(AND(Projects!$G$29="Yes",Projects!$M$29="Yes",53&gt;=Projects!$C$29,53&lt;Projects!$C$29+Projects!$D$29),Projects!$B$29*INDEX(Curves!$B$4:$AR$4,1,53-Projects!$C$29+1),0)+IF(AND(Projects!$G$30="Yes",Projects!$M$30="Yes",53&gt;=Projects!$C$30,53&lt;Projects!$C$30+Projects!$D$30),Projects!$B$30*INDEX(Curves!$B$4:$AR$4,1,53-Projects!$C$30+1),0)+IF(AND(Projects!$G$31="Yes",Projects!$M$31="Yes",53&gt;=Projects!$C$31,53&lt;Projects!$C$31+Projects!$D$31),Projects!$B$31*INDEX(Curves!$B$4:$AR$4,1,53-Projects!$C$31+1),0)+IF(AND(Projects!$G$32="Yes",Projects!$M$32="Yes",53&gt;=Projects!$C$32,53&lt;Projects!$C$32+Projects!$D$32),Projects!$B$32*INDEX(Curves!$B$4:$AR$4,1,53-Projects!$C$32+1),0)+IF(AND(Projects!$G$33="Yes",Projects!$M$33="Yes",53&gt;=Projects!$C$33,53&lt;Projects!$C$33+Projects!$D$33),Projects!$B$33*INDEX(Curves!$B$4:$AR$4,1,53-Projects!$C$33+1),0)+IF(AND(Projects!$G$34="Yes",Projects!$M$34="Yes",53&gt;=Projects!$C$34,53&lt;Projects!$C$34+Projects!$D$34),Projects!$B$34*INDEX(Curves!$B$4:$AR$4,1,53-Projects!$C$34+1),0)+IF(AND(Projects!$G$35="Yes",Projects!$M$35="Yes",53&gt;=Projects!$C$35,53&lt;Projects!$C$35+Projects!$D$35),Projects!$B$35*INDEX(Curves!$B$4:$AR$4,1,53-Projects!$C$35+1),0)+IF(AND(Projects!$G$36="Yes",Projects!$M$36="Yes",53&gt;=Projects!$C$36,53&lt;Projects!$C$36+Projects!$D$36),Projects!$B$36*INDEX(Curves!$B$4:$AR$4,1,53-Projects!$C$36+1),0)+IF(AND(Projects!$G$37="Yes",Projects!$M$37="Yes",53&gt;=Projects!$C$37,53&lt;Projects!$C$37+Projects!$D$37),Projects!$B$37*INDEX(Curves!$B$4:$AR$4,1,53-Projects!$C$37+1),0)+IF(AND(Projects!$G$38="Yes",Projects!$M$38="Yes",53&gt;=Projects!$C$38,53&lt;Projects!$C$38+Projects!$D$38),Projects!$B$38*INDEX(Curves!$B$4:$AR$4,1,53-Projects!$C$38+1),0)+IF(AND(Projects!$G$39="Yes",Projects!$M$39="Yes",53&gt;=Projects!$C$39,53&lt;Projects!$C$39+Projects!$D$39),Projects!$B$39*INDEX(Curves!$B$4:$AR$4,1,53-Projects!$C$39+1),0)+IF(AND(Projects!$G$40="Yes",Projects!$M$40="Yes",53&gt;=Projects!$C$40,53&lt;Projects!$C$40+Projects!$D$40),Projects!$B$40*INDEX(Curves!$B$4:$AR$4,1,53-Projects!$C$40+1),0)+IF(AND(Projects!$G$41="Yes",Projects!$M$41="Yes",53&gt;=Projects!$C$41,53&lt;Projects!$C$41+Projects!$D$41),Projects!$B$41*INDEX(Curves!$B$4:$AR$4,1,53-Projects!$C$41+1),0)+IF(AND(Projects!$G$42="Yes",Projects!$M$42="Yes",53&gt;=Projects!$C$42,53&lt;Projects!$C$42+Projects!$D$42),Projects!$B$42*INDEX(Curves!$B$4:$AR$4,1,53-Projects!$C$42+1),0)+IF(AND(Projects!$G$43="Yes",Projects!$M$43="Yes",53&gt;=Projects!$C$43,53&lt;Projects!$C$43+Projects!$D$43),Projects!$B$43*INDEX(Curves!$B$4:$AR$4,1,53-Projects!$C$43+1),0)+IF(AND(Projects!$G$44="Yes",Projects!$M$44="Yes",53&gt;=Projects!$C$44,53&lt;Projects!$C$44+Projects!$D$44),Projects!$B$44*INDEX(Curves!$B$4:$AR$4,1,53-Projects!$C$44+1),0)+IF(AND(Projects!$G$45="Yes",Projects!$M$45="Yes",53&gt;=Projects!$C$45,53&lt;Projects!$C$45+Projects!$D$45),Projects!$B$45*INDEX(Curves!$B$4:$AR$4,1,53-Projects!$C$45+1),0)+IF(AND(Projects!$G$46="Yes",Projects!$M$46="Yes",53&gt;=Projects!$C$46,53&lt;Projects!$C$46+Projects!$D$46),Projects!$B$46*INDEX(Curves!$B$4:$AR$4,1,53-Projects!$C$46+1),0)</f>
        <v>0</v>
      </c>
      <c r="BG101" s="317" t="n">
        <f aca="false">IF(AND(Projects!$G$17="Yes",Projects!$M$17="Yes",54&gt;=Projects!$C$17,54&lt;Projects!$C$17+Projects!$D$17),Projects!$B$17*INDEX(Curves!$B$4:$AR$4,1,54-Projects!$C$17+1),0)+IF(AND(Projects!$G$18="Yes",Projects!$M$18="Yes",54&gt;=Projects!$C$18,54&lt;Projects!$C$18+Projects!$D$18),Projects!$B$18*INDEX(Curves!$B$4:$AR$4,1,54-Projects!$C$18+1),0)+IF(AND(Projects!$G$19="Yes",Projects!$M$19="Yes",54&gt;=Projects!$C$19,54&lt;Projects!$C$19+Projects!$D$19),Projects!$B$19*INDEX(Curves!$B$4:$AR$4,1,54-Projects!$C$19+1),0)+IF(AND(Projects!$G$20="Yes",Projects!$M$20="Yes",54&gt;=Projects!$C$20,54&lt;Projects!$C$20+Projects!$D$20),Projects!$B$20*INDEX(Curves!$B$4:$AR$4,1,54-Projects!$C$20+1),0)+IF(AND(Projects!$G$21="Yes",Projects!$M$21="Yes",54&gt;=Projects!$C$21,54&lt;Projects!$C$21+Projects!$D$21),Projects!$B$21*INDEX(Curves!$B$4:$AR$4,1,54-Projects!$C$21+1),0)+IF(AND(Projects!$G$22="Yes",Projects!$M$22="Yes",54&gt;=Projects!$C$22,54&lt;Projects!$C$22+Projects!$D$22),Projects!$B$22*INDEX(Curves!$B$4:$AR$4,1,54-Projects!$C$22+1),0)+IF(AND(Projects!$G$23="Yes",Projects!$M$23="Yes",54&gt;=Projects!$C$23,54&lt;Projects!$C$23+Projects!$D$23),Projects!$B$23*INDEX(Curves!$B$4:$AR$4,1,54-Projects!$C$23+1),0)+IF(AND(Projects!$G$24="Yes",Projects!$M$24="Yes",54&gt;=Projects!$C$24,54&lt;Projects!$C$24+Projects!$D$24),Projects!$B$24*INDEX(Curves!$B$4:$AR$4,1,54-Projects!$C$24+1),0)+IF(AND(Projects!$G$25="Yes",Projects!$M$25="Yes",54&gt;=Projects!$C$25,54&lt;Projects!$C$25+Projects!$D$25),Projects!$B$25*INDEX(Curves!$B$4:$AR$4,1,54-Projects!$C$25+1),0)+IF(AND(Projects!$G$26="Yes",Projects!$M$26="Yes",54&gt;=Projects!$C$26,54&lt;Projects!$C$26+Projects!$D$26),Projects!$B$26*INDEX(Curves!$B$4:$AR$4,1,54-Projects!$C$26+1),0)+IF(AND(Projects!$G$27="Yes",Projects!$M$27="Yes",54&gt;=Projects!$C$27,54&lt;Projects!$C$27+Projects!$D$27),Projects!$B$27*INDEX(Curves!$B$4:$AR$4,1,54-Projects!$C$27+1),0)+IF(AND(Projects!$G$28="Yes",Projects!$M$28="Yes",54&gt;=Projects!$C$28,54&lt;Projects!$C$28+Projects!$D$28),Projects!$B$28*INDEX(Curves!$B$4:$AR$4,1,54-Projects!$C$28+1),0)+IF(AND(Projects!$G$29="Yes",Projects!$M$29="Yes",54&gt;=Projects!$C$29,54&lt;Projects!$C$29+Projects!$D$29),Projects!$B$29*INDEX(Curves!$B$4:$AR$4,1,54-Projects!$C$29+1),0)+IF(AND(Projects!$G$30="Yes",Projects!$M$30="Yes",54&gt;=Projects!$C$30,54&lt;Projects!$C$30+Projects!$D$30),Projects!$B$30*INDEX(Curves!$B$4:$AR$4,1,54-Projects!$C$30+1),0)+IF(AND(Projects!$G$31="Yes",Projects!$M$31="Yes",54&gt;=Projects!$C$31,54&lt;Projects!$C$31+Projects!$D$31),Projects!$B$31*INDEX(Curves!$B$4:$AR$4,1,54-Projects!$C$31+1),0)+IF(AND(Projects!$G$32="Yes",Projects!$M$32="Yes",54&gt;=Projects!$C$32,54&lt;Projects!$C$32+Projects!$D$32),Projects!$B$32*INDEX(Curves!$B$4:$AR$4,1,54-Projects!$C$32+1),0)+IF(AND(Projects!$G$33="Yes",Projects!$M$33="Yes",54&gt;=Projects!$C$33,54&lt;Projects!$C$33+Projects!$D$33),Projects!$B$33*INDEX(Curves!$B$4:$AR$4,1,54-Projects!$C$33+1),0)+IF(AND(Projects!$G$34="Yes",Projects!$M$34="Yes",54&gt;=Projects!$C$34,54&lt;Projects!$C$34+Projects!$D$34),Projects!$B$34*INDEX(Curves!$B$4:$AR$4,1,54-Projects!$C$34+1),0)+IF(AND(Projects!$G$35="Yes",Projects!$M$35="Yes",54&gt;=Projects!$C$35,54&lt;Projects!$C$35+Projects!$D$35),Projects!$B$35*INDEX(Curves!$B$4:$AR$4,1,54-Projects!$C$35+1),0)+IF(AND(Projects!$G$36="Yes",Projects!$M$36="Yes",54&gt;=Projects!$C$36,54&lt;Projects!$C$36+Projects!$D$36),Projects!$B$36*INDEX(Curves!$B$4:$AR$4,1,54-Projects!$C$36+1),0)+IF(AND(Projects!$G$37="Yes",Projects!$M$37="Yes",54&gt;=Projects!$C$37,54&lt;Projects!$C$37+Projects!$D$37),Projects!$B$37*INDEX(Curves!$B$4:$AR$4,1,54-Projects!$C$37+1),0)+IF(AND(Projects!$G$38="Yes",Projects!$M$38="Yes",54&gt;=Projects!$C$38,54&lt;Projects!$C$38+Projects!$D$38),Projects!$B$38*INDEX(Curves!$B$4:$AR$4,1,54-Projects!$C$38+1),0)+IF(AND(Projects!$G$39="Yes",Projects!$M$39="Yes",54&gt;=Projects!$C$39,54&lt;Projects!$C$39+Projects!$D$39),Projects!$B$39*INDEX(Curves!$B$4:$AR$4,1,54-Projects!$C$39+1),0)+IF(AND(Projects!$G$40="Yes",Projects!$M$40="Yes",54&gt;=Projects!$C$40,54&lt;Projects!$C$40+Projects!$D$40),Projects!$B$40*INDEX(Curves!$B$4:$AR$4,1,54-Projects!$C$40+1),0)+IF(AND(Projects!$G$41="Yes",Projects!$M$41="Yes",54&gt;=Projects!$C$41,54&lt;Projects!$C$41+Projects!$D$41),Projects!$B$41*INDEX(Curves!$B$4:$AR$4,1,54-Projects!$C$41+1),0)+IF(AND(Projects!$G$42="Yes",Projects!$M$42="Yes",54&gt;=Projects!$C$42,54&lt;Projects!$C$42+Projects!$D$42),Projects!$B$42*INDEX(Curves!$B$4:$AR$4,1,54-Projects!$C$42+1),0)+IF(AND(Projects!$G$43="Yes",Projects!$M$43="Yes",54&gt;=Projects!$C$43,54&lt;Projects!$C$43+Projects!$D$43),Projects!$B$43*INDEX(Curves!$B$4:$AR$4,1,54-Projects!$C$43+1),0)+IF(AND(Projects!$G$44="Yes",Projects!$M$44="Yes",54&gt;=Projects!$C$44,54&lt;Projects!$C$44+Projects!$D$44),Projects!$B$44*INDEX(Curves!$B$4:$AR$4,1,54-Projects!$C$44+1),0)+IF(AND(Projects!$G$45="Yes",Projects!$M$45="Yes",54&gt;=Projects!$C$45,54&lt;Projects!$C$45+Projects!$D$45),Projects!$B$45*INDEX(Curves!$B$4:$AR$4,1,54-Projects!$C$45+1),0)+IF(AND(Projects!$G$46="Yes",Projects!$M$46="Yes",54&gt;=Projects!$C$46,54&lt;Projects!$C$46+Projects!$D$46),Projects!$B$46*INDEX(Curves!$B$4:$AR$4,1,54-Projects!$C$46+1),0)</f>
        <v>0</v>
      </c>
      <c r="BH101" s="317" t="n">
        <f aca="false">IF(AND(Projects!$G$17="Yes",Projects!$M$17="Yes",55&gt;=Projects!$C$17,55&lt;Projects!$C$17+Projects!$D$17),Projects!$B$17*INDEX(Curves!$B$4:$AR$4,1,55-Projects!$C$17+1),0)+IF(AND(Projects!$G$18="Yes",Projects!$M$18="Yes",55&gt;=Projects!$C$18,55&lt;Projects!$C$18+Projects!$D$18),Projects!$B$18*INDEX(Curves!$B$4:$AR$4,1,55-Projects!$C$18+1),0)+IF(AND(Projects!$G$19="Yes",Projects!$M$19="Yes",55&gt;=Projects!$C$19,55&lt;Projects!$C$19+Projects!$D$19),Projects!$B$19*INDEX(Curves!$B$4:$AR$4,1,55-Projects!$C$19+1),0)+IF(AND(Projects!$G$20="Yes",Projects!$M$20="Yes",55&gt;=Projects!$C$20,55&lt;Projects!$C$20+Projects!$D$20),Projects!$B$20*INDEX(Curves!$B$4:$AR$4,1,55-Projects!$C$20+1),0)+IF(AND(Projects!$G$21="Yes",Projects!$M$21="Yes",55&gt;=Projects!$C$21,55&lt;Projects!$C$21+Projects!$D$21),Projects!$B$21*INDEX(Curves!$B$4:$AR$4,1,55-Projects!$C$21+1),0)+IF(AND(Projects!$G$22="Yes",Projects!$M$22="Yes",55&gt;=Projects!$C$22,55&lt;Projects!$C$22+Projects!$D$22),Projects!$B$22*INDEX(Curves!$B$4:$AR$4,1,55-Projects!$C$22+1),0)+IF(AND(Projects!$G$23="Yes",Projects!$M$23="Yes",55&gt;=Projects!$C$23,55&lt;Projects!$C$23+Projects!$D$23),Projects!$B$23*INDEX(Curves!$B$4:$AR$4,1,55-Projects!$C$23+1),0)+IF(AND(Projects!$G$24="Yes",Projects!$M$24="Yes",55&gt;=Projects!$C$24,55&lt;Projects!$C$24+Projects!$D$24),Projects!$B$24*INDEX(Curves!$B$4:$AR$4,1,55-Projects!$C$24+1),0)+IF(AND(Projects!$G$25="Yes",Projects!$M$25="Yes",55&gt;=Projects!$C$25,55&lt;Projects!$C$25+Projects!$D$25),Projects!$B$25*INDEX(Curves!$B$4:$AR$4,1,55-Projects!$C$25+1),0)+IF(AND(Projects!$G$26="Yes",Projects!$M$26="Yes",55&gt;=Projects!$C$26,55&lt;Projects!$C$26+Projects!$D$26),Projects!$B$26*INDEX(Curves!$B$4:$AR$4,1,55-Projects!$C$26+1),0)+IF(AND(Projects!$G$27="Yes",Projects!$M$27="Yes",55&gt;=Projects!$C$27,55&lt;Projects!$C$27+Projects!$D$27),Projects!$B$27*INDEX(Curves!$B$4:$AR$4,1,55-Projects!$C$27+1),0)+IF(AND(Projects!$G$28="Yes",Projects!$M$28="Yes",55&gt;=Projects!$C$28,55&lt;Projects!$C$28+Projects!$D$28),Projects!$B$28*INDEX(Curves!$B$4:$AR$4,1,55-Projects!$C$28+1),0)+IF(AND(Projects!$G$29="Yes",Projects!$M$29="Yes",55&gt;=Projects!$C$29,55&lt;Projects!$C$29+Projects!$D$29),Projects!$B$29*INDEX(Curves!$B$4:$AR$4,1,55-Projects!$C$29+1),0)+IF(AND(Projects!$G$30="Yes",Projects!$M$30="Yes",55&gt;=Projects!$C$30,55&lt;Projects!$C$30+Projects!$D$30),Projects!$B$30*INDEX(Curves!$B$4:$AR$4,1,55-Projects!$C$30+1),0)+IF(AND(Projects!$G$31="Yes",Projects!$M$31="Yes",55&gt;=Projects!$C$31,55&lt;Projects!$C$31+Projects!$D$31),Projects!$B$31*INDEX(Curves!$B$4:$AR$4,1,55-Projects!$C$31+1),0)+IF(AND(Projects!$G$32="Yes",Projects!$M$32="Yes",55&gt;=Projects!$C$32,55&lt;Projects!$C$32+Projects!$D$32),Projects!$B$32*INDEX(Curves!$B$4:$AR$4,1,55-Projects!$C$32+1),0)+IF(AND(Projects!$G$33="Yes",Projects!$M$33="Yes",55&gt;=Projects!$C$33,55&lt;Projects!$C$33+Projects!$D$33),Projects!$B$33*INDEX(Curves!$B$4:$AR$4,1,55-Projects!$C$33+1),0)+IF(AND(Projects!$G$34="Yes",Projects!$M$34="Yes",55&gt;=Projects!$C$34,55&lt;Projects!$C$34+Projects!$D$34),Projects!$B$34*INDEX(Curves!$B$4:$AR$4,1,55-Projects!$C$34+1),0)+IF(AND(Projects!$G$35="Yes",Projects!$M$35="Yes",55&gt;=Projects!$C$35,55&lt;Projects!$C$35+Projects!$D$35),Projects!$B$35*INDEX(Curves!$B$4:$AR$4,1,55-Projects!$C$35+1),0)+IF(AND(Projects!$G$36="Yes",Projects!$M$36="Yes",55&gt;=Projects!$C$36,55&lt;Projects!$C$36+Projects!$D$36),Projects!$B$36*INDEX(Curves!$B$4:$AR$4,1,55-Projects!$C$36+1),0)+IF(AND(Projects!$G$37="Yes",Projects!$M$37="Yes",55&gt;=Projects!$C$37,55&lt;Projects!$C$37+Projects!$D$37),Projects!$B$37*INDEX(Curves!$B$4:$AR$4,1,55-Projects!$C$37+1),0)+IF(AND(Projects!$G$38="Yes",Projects!$M$38="Yes",55&gt;=Projects!$C$38,55&lt;Projects!$C$38+Projects!$D$38),Projects!$B$38*INDEX(Curves!$B$4:$AR$4,1,55-Projects!$C$38+1),0)+IF(AND(Projects!$G$39="Yes",Projects!$M$39="Yes",55&gt;=Projects!$C$39,55&lt;Projects!$C$39+Projects!$D$39),Projects!$B$39*INDEX(Curves!$B$4:$AR$4,1,55-Projects!$C$39+1),0)+IF(AND(Projects!$G$40="Yes",Projects!$M$40="Yes",55&gt;=Projects!$C$40,55&lt;Projects!$C$40+Projects!$D$40),Projects!$B$40*INDEX(Curves!$B$4:$AR$4,1,55-Projects!$C$40+1),0)+IF(AND(Projects!$G$41="Yes",Projects!$M$41="Yes",55&gt;=Projects!$C$41,55&lt;Projects!$C$41+Projects!$D$41),Projects!$B$41*INDEX(Curves!$B$4:$AR$4,1,55-Projects!$C$41+1),0)+IF(AND(Projects!$G$42="Yes",Projects!$M$42="Yes",55&gt;=Projects!$C$42,55&lt;Projects!$C$42+Projects!$D$42),Projects!$B$42*INDEX(Curves!$B$4:$AR$4,1,55-Projects!$C$42+1),0)+IF(AND(Projects!$G$43="Yes",Projects!$M$43="Yes",55&gt;=Projects!$C$43,55&lt;Projects!$C$43+Projects!$D$43),Projects!$B$43*INDEX(Curves!$B$4:$AR$4,1,55-Projects!$C$43+1),0)+IF(AND(Projects!$G$44="Yes",Projects!$M$44="Yes",55&gt;=Projects!$C$44,55&lt;Projects!$C$44+Projects!$D$44),Projects!$B$44*INDEX(Curves!$B$4:$AR$4,1,55-Projects!$C$44+1),0)+IF(AND(Projects!$G$45="Yes",Projects!$M$45="Yes",55&gt;=Projects!$C$45,55&lt;Projects!$C$45+Projects!$D$45),Projects!$B$45*INDEX(Curves!$B$4:$AR$4,1,55-Projects!$C$45+1),0)+IF(AND(Projects!$G$46="Yes",Projects!$M$46="Yes",55&gt;=Projects!$C$46,55&lt;Projects!$C$46+Projects!$D$46),Projects!$B$46*INDEX(Curves!$B$4:$AR$4,1,55-Projects!$C$46+1),0)</f>
        <v>0</v>
      </c>
      <c r="BI101" s="317" t="n">
        <f aca="false">IF(AND(Projects!$G$17="Yes",Projects!$M$17="Yes",56&gt;=Projects!$C$17,56&lt;Projects!$C$17+Projects!$D$17),Projects!$B$17*INDEX(Curves!$B$4:$AR$4,1,56-Projects!$C$17+1),0)+IF(AND(Projects!$G$18="Yes",Projects!$M$18="Yes",56&gt;=Projects!$C$18,56&lt;Projects!$C$18+Projects!$D$18),Projects!$B$18*INDEX(Curves!$B$4:$AR$4,1,56-Projects!$C$18+1),0)+IF(AND(Projects!$G$19="Yes",Projects!$M$19="Yes",56&gt;=Projects!$C$19,56&lt;Projects!$C$19+Projects!$D$19),Projects!$B$19*INDEX(Curves!$B$4:$AR$4,1,56-Projects!$C$19+1),0)+IF(AND(Projects!$G$20="Yes",Projects!$M$20="Yes",56&gt;=Projects!$C$20,56&lt;Projects!$C$20+Projects!$D$20),Projects!$B$20*INDEX(Curves!$B$4:$AR$4,1,56-Projects!$C$20+1),0)+IF(AND(Projects!$G$21="Yes",Projects!$M$21="Yes",56&gt;=Projects!$C$21,56&lt;Projects!$C$21+Projects!$D$21),Projects!$B$21*INDEX(Curves!$B$4:$AR$4,1,56-Projects!$C$21+1),0)+IF(AND(Projects!$G$22="Yes",Projects!$M$22="Yes",56&gt;=Projects!$C$22,56&lt;Projects!$C$22+Projects!$D$22),Projects!$B$22*INDEX(Curves!$B$4:$AR$4,1,56-Projects!$C$22+1),0)+IF(AND(Projects!$G$23="Yes",Projects!$M$23="Yes",56&gt;=Projects!$C$23,56&lt;Projects!$C$23+Projects!$D$23),Projects!$B$23*INDEX(Curves!$B$4:$AR$4,1,56-Projects!$C$23+1),0)+IF(AND(Projects!$G$24="Yes",Projects!$M$24="Yes",56&gt;=Projects!$C$24,56&lt;Projects!$C$24+Projects!$D$24),Projects!$B$24*INDEX(Curves!$B$4:$AR$4,1,56-Projects!$C$24+1),0)+IF(AND(Projects!$G$25="Yes",Projects!$M$25="Yes",56&gt;=Projects!$C$25,56&lt;Projects!$C$25+Projects!$D$25),Projects!$B$25*INDEX(Curves!$B$4:$AR$4,1,56-Projects!$C$25+1),0)+IF(AND(Projects!$G$26="Yes",Projects!$M$26="Yes",56&gt;=Projects!$C$26,56&lt;Projects!$C$26+Projects!$D$26),Projects!$B$26*INDEX(Curves!$B$4:$AR$4,1,56-Projects!$C$26+1),0)+IF(AND(Projects!$G$27="Yes",Projects!$M$27="Yes",56&gt;=Projects!$C$27,56&lt;Projects!$C$27+Projects!$D$27),Projects!$B$27*INDEX(Curves!$B$4:$AR$4,1,56-Projects!$C$27+1),0)+IF(AND(Projects!$G$28="Yes",Projects!$M$28="Yes",56&gt;=Projects!$C$28,56&lt;Projects!$C$28+Projects!$D$28),Projects!$B$28*INDEX(Curves!$B$4:$AR$4,1,56-Projects!$C$28+1),0)+IF(AND(Projects!$G$29="Yes",Projects!$M$29="Yes",56&gt;=Projects!$C$29,56&lt;Projects!$C$29+Projects!$D$29),Projects!$B$29*INDEX(Curves!$B$4:$AR$4,1,56-Projects!$C$29+1),0)+IF(AND(Projects!$G$30="Yes",Projects!$M$30="Yes",56&gt;=Projects!$C$30,56&lt;Projects!$C$30+Projects!$D$30),Projects!$B$30*INDEX(Curves!$B$4:$AR$4,1,56-Projects!$C$30+1),0)+IF(AND(Projects!$G$31="Yes",Projects!$M$31="Yes",56&gt;=Projects!$C$31,56&lt;Projects!$C$31+Projects!$D$31),Projects!$B$31*INDEX(Curves!$B$4:$AR$4,1,56-Projects!$C$31+1),0)+IF(AND(Projects!$G$32="Yes",Projects!$M$32="Yes",56&gt;=Projects!$C$32,56&lt;Projects!$C$32+Projects!$D$32),Projects!$B$32*INDEX(Curves!$B$4:$AR$4,1,56-Projects!$C$32+1),0)+IF(AND(Projects!$G$33="Yes",Projects!$M$33="Yes",56&gt;=Projects!$C$33,56&lt;Projects!$C$33+Projects!$D$33),Projects!$B$33*INDEX(Curves!$B$4:$AR$4,1,56-Projects!$C$33+1),0)+IF(AND(Projects!$G$34="Yes",Projects!$M$34="Yes",56&gt;=Projects!$C$34,56&lt;Projects!$C$34+Projects!$D$34),Projects!$B$34*INDEX(Curves!$B$4:$AR$4,1,56-Projects!$C$34+1),0)+IF(AND(Projects!$G$35="Yes",Projects!$M$35="Yes",56&gt;=Projects!$C$35,56&lt;Projects!$C$35+Projects!$D$35),Projects!$B$35*INDEX(Curves!$B$4:$AR$4,1,56-Projects!$C$35+1),0)+IF(AND(Projects!$G$36="Yes",Projects!$M$36="Yes",56&gt;=Projects!$C$36,56&lt;Projects!$C$36+Projects!$D$36),Projects!$B$36*INDEX(Curves!$B$4:$AR$4,1,56-Projects!$C$36+1),0)+IF(AND(Projects!$G$37="Yes",Projects!$M$37="Yes",56&gt;=Projects!$C$37,56&lt;Projects!$C$37+Projects!$D$37),Projects!$B$37*INDEX(Curves!$B$4:$AR$4,1,56-Projects!$C$37+1),0)+IF(AND(Projects!$G$38="Yes",Projects!$M$38="Yes",56&gt;=Projects!$C$38,56&lt;Projects!$C$38+Projects!$D$38),Projects!$B$38*INDEX(Curves!$B$4:$AR$4,1,56-Projects!$C$38+1),0)+IF(AND(Projects!$G$39="Yes",Projects!$M$39="Yes",56&gt;=Projects!$C$39,56&lt;Projects!$C$39+Projects!$D$39),Projects!$B$39*INDEX(Curves!$B$4:$AR$4,1,56-Projects!$C$39+1),0)+IF(AND(Projects!$G$40="Yes",Projects!$M$40="Yes",56&gt;=Projects!$C$40,56&lt;Projects!$C$40+Projects!$D$40),Projects!$B$40*INDEX(Curves!$B$4:$AR$4,1,56-Projects!$C$40+1),0)+IF(AND(Projects!$G$41="Yes",Projects!$M$41="Yes",56&gt;=Projects!$C$41,56&lt;Projects!$C$41+Projects!$D$41),Projects!$B$41*INDEX(Curves!$B$4:$AR$4,1,56-Projects!$C$41+1),0)+IF(AND(Projects!$G$42="Yes",Projects!$M$42="Yes",56&gt;=Projects!$C$42,56&lt;Projects!$C$42+Projects!$D$42),Projects!$B$42*INDEX(Curves!$B$4:$AR$4,1,56-Projects!$C$42+1),0)+IF(AND(Projects!$G$43="Yes",Projects!$M$43="Yes",56&gt;=Projects!$C$43,56&lt;Projects!$C$43+Projects!$D$43),Projects!$B$43*INDEX(Curves!$B$4:$AR$4,1,56-Projects!$C$43+1),0)+IF(AND(Projects!$G$44="Yes",Projects!$M$44="Yes",56&gt;=Projects!$C$44,56&lt;Projects!$C$44+Projects!$D$44),Projects!$B$44*INDEX(Curves!$B$4:$AR$4,1,56-Projects!$C$44+1),0)+IF(AND(Projects!$G$45="Yes",Projects!$M$45="Yes",56&gt;=Projects!$C$45,56&lt;Projects!$C$45+Projects!$D$45),Projects!$B$45*INDEX(Curves!$B$4:$AR$4,1,56-Projects!$C$45+1),0)+IF(AND(Projects!$G$46="Yes",Projects!$M$46="Yes",56&gt;=Projects!$C$46,56&lt;Projects!$C$46+Projects!$D$46),Projects!$B$46*INDEX(Curves!$B$4:$AR$4,1,56-Projects!$C$46+1),0)</f>
        <v>0</v>
      </c>
      <c r="BJ101" s="317" t="n">
        <f aca="false">IF(AND(Projects!$G$17="Yes",Projects!$M$17="Yes",57&gt;=Projects!$C$17,57&lt;Projects!$C$17+Projects!$D$17),Projects!$B$17*INDEX(Curves!$B$4:$AR$4,1,57-Projects!$C$17+1),0)+IF(AND(Projects!$G$18="Yes",Projects!$M$18="Yes",57&gt;=Projects!$C$18,57&lt;Projects!$C$18+Projects!$D$18),Projects!$B$18*INDEX(Curves!$B$4:$AR$4,1,57-Projects!$C$18+1),0)+IF(AND(Projects!$G$19="Yes",Projects!$M$19="Yes",57&gt;=Projects!$C$19,57&lt;Projects!$C$19+Projects!$D$19),Projects!$B$19*INDEX(Curves!$B$4:$AR$4,1,57-Projects!$C$19+1),0)+IF(AND(Projects!$G$20="Yes",Projects!$M$20="Yes",57&gt;=Projects!$C$20,57&lt;Projects!$C$20+Projects!$D$20),Projects!$B$20*INDEX(Curves!$B$4:$AR$4,1,57-Projects!$C$20+1),0)+IF(AND(Projects!$G$21="Yes",Projects!$M$21="Yes",57&gt;=Projects!$C$21,57&lt;Projects!$C$21+Projects!$D$21),Projects!$B$21*INDEX(Curves!$B$4:$AR$4,1,57-Projects!$C$21+1),0)+IF(AND(Projects!$G$22="Yes",Projects!$M$22="Yes",57&gt;=Projects!$C$22,57&lt;Projects!$C$22+Projects!$D$22),Projects!$B$22*INDEX(Curves!$B$4:$AR$4,1,57-Projects!$C$22+1),0)+IF(AND(Projects!$G$23="Yes",Projects!$M$23="Yes",57&gt;=Projects!$C$23,57&lt;Projects!$C$23+Projects!$D$23),Projects!$B$23*INDEX(Curves!$B$4:$AR$4,1,57-Projects!$C$23+1),0)+IF(AND(Projects!$G$24="Yes",Projects!$M$24="Yes",57&gt;=Projects!$C$24,57&lt;Projects!$C$24+Projects!$D$24),Projects!$B$24*INDEX(Curves!$B$4:$AR$4,1,57-Projects!$C$24+1),0)+IF(AND(Projects!$G$25="Yes",Projects!$M$25="Yes",57&gt;=Projects!$C$25,57&lt;Projects!$C$25+Projects!$D$25),Projects!$B$25*INDEX(Curves!$B$4:$AR$4,1,57-Projects!$C$25+1),0)+IF(AND(Projects!$G$26="Yes",Projects!$M$26="Yes",57&gt;=Projects!$C$26,57&lt;Projects!$C$26+Projects!$D$26),Projects!$B$26*INDEX(Curves!$B$4:$AR$4,1,57-Projects!$C$26+1),0)+IF(AND(Projects!$G$27="Yes",Projects!$M$27="Yes",57&gt;=Projects!$C$27,57&lt;Projects!$C$27+Projects!$D$27),Projects!$B$27*INDEX(Curves!$B$4:$AR$4,1,57-Projects!$C$27+1),0)+IF(AND(Projects!$G$28="Yes",Projects!$M$28="Yes",57&gt;=Projects!$C$28,57&lt;Projects!$C$28+Projects!$D$28),Projects!$B$28*INDEX(Curves!$B$4:$AR$4,1,57-Projects!$C$28+1),0)+IF(AND(Projects!$G$29="Yes",Projects!$M$29="Yes",57&gt;=Projects!$C$29,57&lt;Projects!$C$29+Projects!$D$29),Projects!$B$29*INDEX(Curves!$B$4:$AR$4,1,57-Projects!$C$29+1),0)+IF(AND(Projects!$G$30="Yes",Projects!$M$30="Yes",57&gt;=Projects!$C$30,57&lt;Projects!$C$30+Projects!$D$30),Projects!$B$30*INDEX(Curves!$B$4:$AR$4,1,57-Projects!$C$30+1),0)+IF(AND(Projects!$G$31="Yes",Projects!$M$31="Yes",57&gt;=Projects!$C$31,57&lt;Projects!$C$31+Projects!$D$31),Projects!$B$31*INDEX(Curves!$B$4:$AR$4,1,57-Projects!$C$31+1),0)+IF(AND(Projects!$G$32="Yes",Projects!$M$32="Yes",57&gt;=Projects!$C$32,57&lt;Projects!$C$32+Projects!$D$32),Projects!$B$32*INDEX(Curves!$B$4:$AR$4,1,57-Projects!$C$32+1),0)+IF(AND(Projects!$G$33="Yes",Projects!$M$33="Yes",57&gt;=Projects!$C$33,57&lt;Projects!$C$33+Projects!$D$33),Projects!$B$33*INDEX(Curves!$B$4:$AR$4,1,57-Projects!$C$33+1),0)+IF(AND(Projects!$G$34="Yes",Projects!$M$34="Yes",57&gt;=Projects!$C$34,57&lt;Projects!$C$34+Projects!$D$34),Projects!$B$34*INDEX(Curves!$B$4:$AR$4,1,57-Projects!$C$34+1),0)+IF(AND(Projects!$G$35="Yes",Projects!$M$35="Yes",57&gt;=Projects!$C$35,57&lt;Projects!$C$35+Projects!$D$35),Projects!$B$35*INDEX(Curves!$B$4:$AR$4,1,57-Projects!$C$35+1),0)+IF(AND(Projects!$G$36="Yes",Projects!$M$36="Yes",57&gt;=Projects!$C$36,57&lt;Projects!$C$36+Projects!$D$36),Projects!$B$36*INDEX(Curves!$B$4:$AR$4,1,57-Projects!$C$36+1),0)+IF(AND(Projects!$G$37="Yes",Projects!$M$37="Yes",57&gt;=Projects!$C$37,57&lt;Projects!$C$37+Projects!$D$37),Projects!$B$37*INDEX(Curves!$B$4:$AR$4,1,57-Projects!$C$37+1),0)+IF(AND(Projects!$G$38="Yes",Projects!$M$38="Yes",57&gt;=Projects!$C$38,57&lt;Projects!$C$38+Projects!$D$38),Projects!$B$38*INDEX(Curves!$B$4:$AR$4,1,57-Projects!$C$38+1),0)+IF(AND(Projects!$G$39="Yes",Projects!$M$39="Yes",57&gt;=Projects!$C$39,57&lt;Projects!$C$39+Projects!$D$39),Projects!$B$39*INDEX(Curves!$B$4:$AR$4,1,57-Projects!$C$39+1),0)+IF(AND(Projects!$G$40="Yes",Projects!$M$40="Yes",57&gt;=Projects!$C$40,57&lt;Projects!$C$40+Projects!$D$40),Projects!$B$40*INDEX(Curves!$B$4:$AR$4,1,57-Projects!$C$40+1),0)+IF(AND(Projects!$G$41="Yes",Projects!$M$41="Yes",57&gt;=Projects!$C$41,57&lt;Projects!$C$41+Projects!$D$41),Projects!$B$41*INDEX(Curves!$B$4:$AR$4,1,57-Projects!$C$41+1),0)+IF(AND(Projects!$G$42="Yes",Projects!$M$42="Yes",57&gt;=Projects!$C$42,57&lt;Projects!$C$42+Projects!$D$42),Projects!$B$42*INDEX(Curves!$B$4:$AR$4,1,57-Projects!$C$42+1),0)+IF(AND(Projects!$G$43="Yes",Projects!$M$43="Yes",57&gt;=Projects!$C$43,57&lt;Projects!$C$43+Projects!$D$43),Projects!$B$43*INDEX(Curves!$B$4:$AR$4,1,57-Projects!$C$43+1),0)+IF(AND(Projects!$G$44="Yes",Projects!$M$44="Yes",57&gt;=Projects!$C$44,57&lt;Projects!$C$44+Projects!$D$44),Projects!$B$44*INDEX(Curves!$B$4:$AR$4,1,57-Projects!$C$44+1),0)+IF(AND(Projects!$G$45="Yes",Projects!$M$45="Yes",57&gt;=Projects!$C$45,57&lt;Projects!$C$45+Projects!$D$45),Projects!$B$45*INDEX(Curves!$B$4:$AR$4,1,57-Projects!$C$45+1),0)+IF(AND(Projects!$G$46="Yes",Projects!$M$46="Yes",57&gt;=Projects!$C$46,57&lt;Projects!$C$46+Projects!$D$46),Projects!$B$46*INDEX(Curves!$B$4:$AR$4,1,57-Projects!$C$46+1),0)</f>
        <v>0</v>
      </c>
      <c r="BK101" s="317" t="n">
        <f aca="false">IF(AND(Projects!$G$17="Yes",Projects!$M$17="Yes",58&gt;=Projects!$C$17,58&lt;Projects!$C$17+Projects!$D$17),Projects!$B$17*INDEX(Curves!$B$4:$AR$4,1,58-Projects!$C$17+1),0)+IF(AND(Projects!$G$18="Yes",Projects!$M$18="Yes",58&gt;=Projects!$C$18,58&lt;Projects!$C$18+Projects!$D$18),Projects!$B$18*INDEX(Curves!$B$4:$AR$4,1,58-Projects!$C$18+1),0)+IF(AND(Projects!$G$19="Yes",Projects!$M$19="Yes",58&gt;=Projects!$C$19,58&lt;Projects!$C$19+Projects!$D$19),Projects!$B$19*INDEX(Curves!$B$4:$AR$4,1,58-Projects!$C$19+1),0)+IF(AND(Projects!$G$20="Yes",Projects!$M$20="Yes",58&gt;=Projects!$C$20,58&lt;Projects!$C$20+Projects!$D$20),Projects!$B$20*INDEX(Curves!$B$4:$AR$4,1,58-Projects!$C$20+1),0)+IF(AND(Projects!$G$21="Yes",Projects!$M$21="Yes",58&gt;=Projects!$C$21,58&lt;Projects!$C$21+Projects!$D$21),Projects!$B$21*INDEX(Curves!$B$4:$AR$4,1,58-Projects!$C$21+1),0)+IF(AND(Projects!$G$22="Yes",Projects!$M$22="Yes",58&gt;=Projects!$C$22,58&lt;Projects!$C$22+Projects!$D$22),Projects!$B$22*INDEX(Curves!$B$4:$AR$4,1,58-Projects!$C$22+1),0)+IF(AND(Projects!$G$23="Yes",Projects!$M$23="Yes",58&gt;=Projects!$C$23,58&lt;Projects!$C$23+Projects!$D$23),Projects!$B$23*INDEX(Curves!$B$4:$AR$4,1,58-Projects!$C$23+1),0)+IF(AND(Projects!$G$24="Yes",Projects!$M$24="Yes",58&gt;=Projects!$C$24,58&lt;Projects!$C$24+Projects!$D$24),Projects!$B$24*INDEX(Curves!$B$4:$AR$4,1,58-Projects!$C$24+1),0)+IF(AND(Projects!$G$25="Yes",Projects!$M$25="Yes",58&gt;=Projects!$C$25,58&lt;Projects!$C$25+Projects!$D$25),Projects!$B$25*INDEX(Curves!$B$4:$AR$4,1,58-Projects!$C$25+1),0)+IF(AND(Projects!$G$26="Yes",Projects!$M$26="Yes",58&gt;=Projects!$C$26,58&lt;Projects!$C$26+Projects!$D$26),Projects!$B$26*INDEX(Curves!$B$4:$AR$4,1,58-Projects!$C$26+1),0)+IF(AND(Projects!$G$27="Yes",Projects!$M$27="Yes",58&gt;=Projects!$C$27,58&lt;Projects!$C$27+Projects!$D$27),Projects!$B$27*INDEX(Curves!$B$4:$AR$4,1,58-Projects!$C$27+1),0)+IF(AND(Projects!$G$28="Yes",Projects!$M$28="Yes",58&gt;=Projects!$C$28,58&lt;Projects!$C$28+Projects!$D$28),Projects!$B$28*INDEX(Curves!$B$4:$AR$4,1,58-Projects!$C$28+1),0)+IF(AND(Projects!$G$29="Yes",Projects!$M$29="Yes",58&gt;=Projects!$C$29,58&lt;Projects!$C$29+Projects!$D$29),Projects!$B$29*INDEX(Curves!$B$4:$AR$4,1,58-Projects!$C$29+1),0)+IF(AND(Projects!$G$30="Yes",Projects!$M$30="Yes",58&gt;=Projects!$C$30,58&lt;Projects!$C$30+Projects!$D$30),Projects!$B$30*INDEX(Curves!$B$4:$AR$4,1,58-Projects!$C$30+1),0)+IF(AND(Projects!$G$31="Yes",Projects!$M$31="Yes",58&gt;=Projects!$C$31,58&lt;Projects!$C$31+Projects!$D$31),Projects!$B$31*INDEX(Curves!$B$4:$AR$4,1,58-Projects!$C$31+1),0)+IF(AND(Projects!$G$32="Yes",Projects!$M$32="Yes",58&gt;=Projects!$C$32,58&lt;Projects!$C$32+Projects!$D$32),Projects!$B$32*INDEX(Curves!$B$4:$AR$4,1,58-Projects!$C$32+1),0)+IF(AND(Projects!$G$33="Yes",Projects!$M$33="Yes",58&gt;=Projects!$C$33,58&lt;Projects!$C$33+Projects!$D$33),Projects!$B$33*INDEX(Curves!$B$4:$AR$4,1,58-Projects!$C$33+1),0)+IF(AND(Projects!$G$34="Yes",Projects!$M$34="Yes",58&gt;=Projects!$C$34,58&lt;Projects!$C$34+Projects!$D$34),Projects!$B$34*INDEX(Curves!$B$4:$AR$4,1,58-Projects!$C$34+1),0)+IF(AND(Projects!$G$35="Yes",Projects!$M$35="Yes",58&gt;=Projects!$C$35,58&lt;Projects!$C$35+Projects!$D$35),Projects!$B$35*INDEX(Curves!$B$4:$AR$4,1,58-Projects!$C$35+1),0)+IF(AND(Projects!$G$36="Yes",Projects!$M$36="Yes",58&gt;=Projects!$C$36,58&lt;Projects!$C$36+Projects!$D$36),Projects!$B$36*INDEX(Curves!$B$4:$AR$4,1,58-Projects!$C$36+1),0)+IF(AND(Projects!$G$37="Yes",Projects!$M$37="Yes",58&gt;=Projects!$C$37,58&lt;Projects!$C$37+Projects!$D$37),Projects!$B$37*INDEX(Curves!$B$4:$AR$4,1,58-Projects!$C$37+1),0)+IF(AND(Projects!$G$38="Yes",Projects!$M$38="Yes",58&gt;=Projects!$C$38,58&lt;Projects!$C$38+Projects!$D$38),Projects!$B$38*INDEX(Curves!$B$4:$AR$4,1,58-Projects!$C$38+1),0)+IF(AND(Projects!$G$39="Yes",Projects!$M$39="Yes",58&gt;=Projects!$C$39,58&lt;Projects!$C$39+Projects!$D$39),Projects!$B$39*INDEX(Curves!$B$4:$AR$4,1,58-Projects!$C$39+1),0)+IF(AND(Projects!$G$40="Yes",Projects!$M$40="Yes",58&gt;=Projects!$C$40,58&lt;Projects!$C$40+Projects!$D$40),Projects!$B$40*INDEX(Curves!$B$4:$AR$4,1,58-Projects!$C$40+1),0)+IF(AND(Projects!$G$41="Yes",Projects!$M$41="Yes",58&gt;=Projects!$C$41,58&lt;Projects!$C$41+Projects!$D$41),Projects!$B$41*INDEX(Curves!$B$4:$AR$4,1,58-Projects!$C$41+1),0)+IF(AND(Projects!$G$42="Yes",Projects!$M$42="Yes",58&gt;=Projects!$C$42,58&lt;Projects!$C$42+Projects!$D$42),Projects!$B$42*INDEX(Curves!$B$4:$AR$4,1,58-Projects!$C$42+1),0)+IF(AND(Projects!$G$43="Yes",Projects!$M$43="Yes",58&gt;=Projects!$C$43,58&lt;Projects!$C$43+Projects!$D$43),Projects!$B$43*INDEX(Curves!$B$4:$AR$4,1,58-Projects!$C$43+1),0)+IF(AND(Projects!$G$44="Yes",Projects!$M$44="Yes",58&gt;=Projects!$C$44,58&lt;Projects!$C$44+Projects!$D$44),Projects!$B$44*INDEX(Curves!$B$4:$AR$4,1,58-Projects!$C$44+1),0)+IF(AND(Projects!$G$45="Yes",Projects!$M$45="Yes",58&gt;=Projects!$C$45,58&lt;Projects!$C$45+Projects!$D$45),Projects!$B$45*INDEX(Curves!$B$4:$AR$4,1,58-Projects!$C$45+1),0)+IF(AND(Projects!$G$46="Yes",Projects!$M$46="Yes",58&gt;=Projects!$C$46,58&lt;Projects!$C$46+Projects!$D$46),Projects!$B$46*INDEX(Curves!$B$4:$AR$4,1,58-Projects!$C$46+1),0)</f>
        <v>0</v>
      </c>
      <c r="BL101" s="317" t="n">
        <f aca="false">IF(AND(Projects!$G$17="Yes",Projects!$M$17="Yes",59&gt;=Projects!$C$17,59&lt;Projects!$C$17+Projects!$D$17),Projects!$B$17*INDEX(Curves!$B$4:$AR$4,1,59-Projects!$C$17+1),0)+IF(AND(Projects!$G$18="Yes",Projects!$M$18="Yes",59&gt;=Projects!$C$18,59&lt;Projects!$C$18+Projects!$D$18),Projects!$B$18*INDEX(Curves!$B$4:$AR$4,1,59-Projects!$C$18+1),0)+IF(AND(Projects!$G$19="Yes",Projects!$M$19="Yes",59&gt;=Projects!$C$19,59&lt;Projects!$C$19+Projects!$D$19),Projects!$B$19*INDEX(Curves!$B$4:$AR$4,1,59-Projects!$C$19+1),0)+IF(AND(Projects!$G$20="Yes",Projects!$M$20="Yes",59&gt;=Projects!$C$20,59&lt;Projects!$C$20+Projects!$D$20),Projects!$B$20*INDEX(Curves!$B$4:$AR$4,1,59-Projects!$C$20+1),0)+IF(AND(Projects!$G$21="Yes",Projects!$M$21="Yes",59&gt;=Projects!$C$21,59&lt;Projects!$C$21+Projects!$D$21),Projects!$B$21*INDEX(Curves!$B$4:$AR$4,1,59-Projects!$C$21+1),0)+IF(AND(Projects!$G$22="Yes",Projects!$M$22="Yes",59&gt;=Projects!$C$22,59&lt;Projects!$C$22+Projects!$D$22),Projects!$B$22*INDEX(Curves!$B$4:$AR$4,1,59-Projects!$C$22+1),0)+IF(AND(Projects!$G$23="Yes",Projects!$M$23="Yes",59&gt;=Projects!$C$23,59&lt;Projects!$C$23+Projects!$D$23),Projects!$B$23*INDEX(Curves!$B$4:$AR$4,1,59-Projects!$C$23+1),0)+IF(AND(Projects!$G$24="Yes",Projects!$M$24="Yes",59&gt;=Projects!$C$24,59&lt;Projects!$C$24+Projects!$D$24),Projects!$B$24*INDEX(Curves!$B$4:$AR$4,1,59-Projects!$C$24+1),0)+IF(AND(Projects!$G$25="Yes",Projects!$M$25="Yes",59&gt;=Projects!$C$25,59&lt;Projects!$C$25+Projects!$D$25),Projects!$B$25*INDEX(Curves!$B$4:$AR$4,1,59-Projects!$C$25+1),0)+IF(AND(Projects!$G$26="Yes",Projects!$M$26="Yes",59&gt;=Projects!$C$26,59&lt;Projects!$C$26+Projects!$D$26),Projects!$B$26*INDEX(Curves!$B$4:$AR$4,1,59-Projects!$C$26+1),0)+IF(AND(Projects!$G$27="Yes",Projects!$M$27="Yes",59&gt;=Projects!$C$27,59&lt;Projects!$C$27+Projects!$D$27),Projects!$B$27*INDEX(Curves!$B$4:$AR$4,1,59-Projects!$C$27+1),0)+IF(AND(Projects!$G$28="Yes",Projects!$M$28="Yes",59&gt;=Projects!$C$28,59&lt;Projects!$C$28+Projects!$D$28),Projects!$B$28*INDEX(Curves!$B$4:$AR$4,1,59-Projects!$C$28+1),0)+IF(AND(Projects!$G$29="Yes",Projects!$M$29="Yes",59&gt;=Projects!$C$29,59&lt;Projects!$C$29+Projects!$D$29),Projects!$B$29*INDEX(Curves!$B$4:$AR$4,1,59-Projects!$C$29+1),0)+IF(AND(Projects!$G$30="Yes",Projects!$M$30="Yes",59&gt;=Projects!$C$30,59&lt;Projects!$C$30+Projects!$D$30),Projects!$B$30*INDEX(Curves!$B$4:$AR$4,1,59-Projects!$C$30+1),0)+IF(AND(Projects!$G$31="Yes",Projects!$M$31="Yes",59&gt;=Projects!$C$31,59&lt;Projects!$C$31+Projects!$D$31),Projects!$B$31*INDEX(Curves!$B$4:$AR$4,1,59-Projects!$C$31+1),0)+IF(AND(Projects!$G$32="Yes",Projects!$M$32="Yes",59&gt;=Projects!$C$32,59&lt;Projects!$C$32+Projects!$D$32),Projects!$B$32*INDEX(Curves!$B$4:$AR$4,1,59-Projects!$C$32+1),0)+IF(AND(Projects!$G$33="Yes",Projects!$M$33="Yes",59&gt;=Projects!$C$33,59&lt;Projects!$C$33+Projects!$D$33),Projects!$B$33*INDEX(Curves!$B$4:$AR$4,1,59-Projects!$C$33+1),0)+IF(AND(Projects!$G$34="Yes",Projects!$M$34="Yes",59&gt;=Projects!$C$34,59&lt;Projects!$C$34+Projects!$D$34),Projects!$B$34*INDEX(Curves!$B$4:$AR$4,1,59-Projects!$C$34+1),0)+IF(AND(Projects!$G$35="Yes",Projects!$M$35="Yes",59&gt;=Projects!$C$35,59&lt;Projects!$C$35+Projects!$D$35),Projects!$B$35*INDEX(Curves!$B$4:$AR$4,1,59-Projects!$C$35+1),0)+IF(AND(Projects!$G$36="Yes",Projects!$M$36="Yes",59&gt;=Projects!$C$36,59&lt;Projects!$C$36+Projects!$D$36),Projects!$B$36*INDEX(Curves!$B$4:$AR$4,1,59-Projects!$C$36+1),0)+IF(AND(Projects!$G$37="Yes",Projects!$M$37="Yes",59&gt;=Projects!$C$37,59&lt;Projects!$C$37+Projects!$D$37),Projects!$B$37*INDEX(Curves!$B$4:$AR$4,1,59-Projects!$C$37+1),0)+IF(AND(Projects!$G$38="Yes",Projects!$M$38="Yes",59&gt;=Projects!$C$38,59&lt;Projects!$C$38+Projects!$D$38),Projects!$B$38*INDEX(Curves!$B$4:$AR$4,1,59-Projects!$C$38+1),0)+IF(AND(Projects!$G$39="Yes",Projects!$M$39="Yes",59&gt;=Projects!$C$39,59&lt;Projects!$C$39+Projects!$D$39),Projects!$B$39*INDEX(Curves!$B$4:$AR$4,1,59-Projects!$C$39+1),0)+IF(AND(Projects!$G$40="Yes",Projects!$M$40="Yes",59&gt;=Projects!$C$40,59&lt;Projects!$C$40+Projects!$D$40),Projects!$B$40*INDEX(Curves!$B$4:$AR$4,1,59-Projects!$C$40+1),0)+IF(AND(Projects!$G$41="Yes",Projects!$M$41="Yes",59&gt;=Projects!$C$41,59&lt;Projects!$C$41+Projects!$D$41),Projects!$B$41*INDEX(Curves!$B$4:$AR$4,1,59-Projects!$C$41+1),0)+IF(AND(Projects!$G$42="Yes",Projects!$M$42="Yes",59&gt;=Projects!$C$42,59&lt;Projects!$C$42+Projects!$D$42),Projects!$B$42*INDEX(Curves!$B$4:$AR$4,1,59-Projects!$C$42+1),0)+IF(AND(Projects!$G$43="Yes",Projects!$M$43="Yes",59&gt;=Projects!$C$43,59&lt;Projects!$C$43+Projects!$D$43),Projects!$B$43*INDEX(Curves!$B$4:$AR$4,1,59-Projects!$C$43+1),0)+IF(AND(Projects!$G$44="Yes",Projects!$M$44="Yes",59&gt;=Projects!$C$44,59&lt;Projects!$C$44+Projects!$D$44),Projects!$B$44*INDEX(Curves!$B$4:$AR$4,1,59-Projects!$C$44+1),0)+IF(AND(Projects!$G$45="Yes",Projects!$M$45="Yes",59&gt;=Projects!$C$45,59&lt;Projects!$C$45+Projects!$D$45),Projects!$B$45*INDEX(Curves!$B$4:$AR$4,1,59-Projects!$C$45+1),0)+IF(AND(Projects!$G$46="Yes",Projects!$M$46="Yes",59&gt;=Projects!$C$46,59&lt;Projects!$C$46+Projects!$D$46),Projects!$B$46*INDEX(Curves!$B$4:$AR$4,1,59-Projects!$C$46+1),0)</f>
        <v>0</v>
      </c>
      <c r="BM101" s="317" t="n">
        <f aca="false">IF(AND(Projects!$G$17="Yes",Projects!$M$17="Yes",60&gt;=Projects!$C$17,60&lt;Projects!$C$17+Projects!$D$17),Projects!$B$17*INDEX(Curves!$B$4:$AR$4,1,60-Projects!$C$17+1),0)+IF(AND(Projects!$G$18="Yes",Projects!$M$18="Yes",60&gt;=Projects!$C$18,60&lt;Projects!$C$18+Projects!$D$18),Projects!$B$18*INDEX(Curves!$B$4:$AR$4,1,60-Projects!$C$18+1),0)+IF(AND(Projects!$G$19="Yes",Projects!$M$19="Yes",60&gt;=Projects!$C$19,60&lt;Projects!$C$19+Projects!$D$19),Projects!$B$19*INDEX(Curves!$B$4:$AR$4,1,60-Projects!$C$19+1),0)+IF(AND(Projects!$G$20="Yes",Projects!$M$20="Yes",60&gt;=Projects!$C$20,60&lt;Projects!$C$20+Projects!$D$20),Projects!$B$20*INDEX(Curves!$B$4:$AR$4,1,60-Projects!$C$20+1),0)+IF(AND(Projects!$G$21="Yes",Projects!$M$21="Yes",60&gt;=Projects!$C$21,60&lt;Projects!$C$21+Projects!$D$21),Projects!$B$21*INDEX(Curves!$B$4:$AR$4,1,60-Projects!$C$21+1),0)+IF(AND(Projects!$G$22="Yes",Projects!$M$22="Yes",60&gt;=Projects!$C$22,60&lt;Projects!$C$22+Projects!$D$22),Projects!$B$22*INDEX(Curves!$B$4:$AR$4,1,60-Projects!$C$22+1),0)+IF(AND(Projects!$G$23="Yes",Projects!$M$23="Yes",60&gt;=Projects!$C$23,60&lt;Projects!$C$23+Projects!$D$23),Projects!$B$23*INDEX(Curves!$B$4:$AR$4,1,60-Projects!$C$23+1),0)+IF(AND(Projects!$G$24="Yes",Projects!$M$24="Yes",60&gt;=Projects!$C$24,60&lt;Projects!$C$24+Projects!$D$24),Projects!$B$24*INDEX(Curves!$B$4:$AR$4,1,60-Projects!$C$24+1),0)+IF(AND(Projects!$G$25="Yes",Projects!$M$25="Yes",60&gt;=Projects!$C$25,60&lt;Projects!$C$25+Projects!$D$25),Projects!$B$25*INDEX(Curves!$B$4:$AR$4,1,60-Projects!$C$25+1),0)+IF(AND(Projects!$G$26="Yes",Projects!$M$26="Yes",60&gt;=Projects!$C$26,60&lt;Projects!$C$26+Projects!$D$26),Projects!$B$26*INDEX(Curves!$B$4:$AR$4,1,60-Projects!$C$26+1),0)+IF(AND(Projects!$G$27="Yes",Projects!$M$27="Yes",60&gt;=Projects!$C$27,60&lt;Projects!$C$27+Projects!$D$27),Projects!$B$27*INDEX(Curves!$B$4:$AR$4,1,60-Projects!$C$27+1),0)+IF(AND(Projects!$G$28="Yes",Projects!$M$28="Yes",60&gt;=Projects!$C$28,60&lt;Projects!$C$28+Projects!$D$28),Projects!$B$28*INDEX(Curves!$B$4:$AR$4,1,60-Projects!$C$28+1),0)+IF(AND(Projects!$G$29="Yes",Projects!$M$29="Yes",60&gt;=Projects!$C$29,60&lt;Projects!$C$29+Projects!$D$29),Projects!$B$29*INDEX(Curves!$B$4:$AR$4,1,60-Projects!$C$29+1),0)+IF(AND(Projects!$G$30="Yes",Projects!$M$30="Yes",60&gt;=Projects!$C$30,60&lt;Projects!$C$30+Projects!$D$30),Projects!$B$30*INDEX(Curves!$B$4:$AR$4,1,60-Projects!$C$30+1),0)+IF(AND(Projects!$G$31="Yes",Projects!$M$31="Yes",60&gt;=Projects!$C$31,60&lt;Projects!$C$31+Projects!$D$31),Projects!$B$31*INDEX(Curves!$B$4:$AR$4,1,60-Projects!$C$31+1),0)+IF(AND(Projects!$G$32="Yes",Projects!$M$32="Yes",60&gt;=Projects!$C$32,60&lt;Projects!$C$32+Projects!$D$32),Projects!$B$32*INDEX(Curves!$B$4:$AR$4,1,60-Projects!$C$32+1),0)+IF(AND(Projects!$G$33="Yes",Projects!$M$33="Yes",60&gt;=Projects!$C$33,60&lt;Projects!$C$33+Projects!$D$33),Projects!$B$33*INDEX(Curves!$B$4:$AR$4,1,60-Projects!$C$33+1),0)+IF(AND(Projects!$G$34="Yes",Projects!$M$34="Yes",60&gt;=Projects!$C$34,60&lt;Projects!$C$34+Projects!$D$34),Projects!$B$34*INDEX(Curves!$B$4:$AR$4,1,60-Projects!$C$34+1),0)+IF(AND(Projects!$G$35="Yes",Projects!$M$35="Yes",60&gt;=Projects!$C$35,60&lt;Projects!$C$35+Projects!$D$35),Projects!$B$35*INDEX(Curves!$B$4:$AR$4,1,60-Projects!$C$35+1),0)+IF(AND(Projects!$G$36="Yes",Projects!$M$36="Yes",60&gt;=Projects!$C$36,60&lt;Projects!$C$36+Projects!$D$36),Projects!$B$36*INDEX(Curves!$B$4:$AR$4,1,60-Projects!$C$36+1),0)+IF(AND(Projects!$G$37="Yes",Projects!$M$37="Yes",60&gt;=Projects!$C$37,60&lt;Projects!$C$37+Projects!$D$37),Projects!$B$37*INDEX(Curves!$B$4:$AR$4,1,60-Projects!$C$37+1),0)+IF(AND(Projects!$G$38="Yes",Projects!$M$38="Yes",60&gt;=Projects!$C$38,60&lt;Projects!$C$38+Projects!$D$38),Projects!$B$38*INDEX(Curves!$B$4:$AR$4,1,60-Projects!$C$38+1),0)+IF(AND(Projects!$G$39="Yes",Projects!$M$39="Yes",60&gt;=Projects!$C$39,60&lt;Projects!$C$39+Projects!$D$39),Projects!$B$39*INDEX(Curves!$B$4:$AR$4,1,60-Projects!$C$39+1),0)+IF(AND(Projects!$G$40="Yes",Projects!$M$40="Yes",60&gt;=Projects!$C$40,60&lt;Projects!$C$40+Projects!$D$40),Projects!$B$40*INDEX(Curves!$B$4:$AR$4,1,60-Projects!$C$40+1),0)+IF(AND(Projects!$G$41="Yes",Projects!$M$41="Yes",60&gt;=Projects!$C$41,60&lt;Projects!$C$41+Projects!$D$41),Projects!$B$41*INDEX(Curves!$B$4:$AR$4,1,60-Projects!$C$41+1),0)+IF(AND(Projects!$G$42="Yes",Projects!$M$42="Yes",60&gt;=Projects!$C$42,60&lt;Projects!$C$42+Projects!$D$42),Projects!$B$42*INDEX(Curves!$B$4:$AR$4,1,60-Projects!$C$42+1),0)+IF(AND(Projects!$G$43="Yes",Projects!$M$43="Yes",60&gt;=Projects!$C$43,60&lt;Projects!$C$43+Projects!$D$43),Projects!$B$43*INDEX(Curves!$B$4:$AR$4,1,60-Projects!$C$43+1),0)+IF(AND(Projects!$G$44="Yes",Projects!$M$44="Yes",60&gt;=Projects!$C$44,60&lt;Projects!$C$44+Projects!$D$44),Projects!$B$44*INDEX(Curves!$B$4:$AR$4,1,60-Projects!$C$44+1),0)+IF(AND(Projects!$G$45="Yes",Projects!$M$45="Yes",60&gt;=Projects!$C$45,60&lt;Projects!$C$45+Projects!$D$45),Projects!$B$45*INDEX(Curves!$B$4:$AR$4,1,60-Projects!$C$45+1),0)+IF(AND(Projects!$G$46="Yes",Projects!$M$46="Yes",60&gt;=Projects!$C$46,60&lt;Projects!$C$46+Projects!$D$46),Projects!$B$46*INDEX(Curves!$B$4:$AR$4,1,60-Projects!$C$46+1),0)</f>
        <v>0</v>
      </c>
      <c r="BN101" s="317" t="n">
        <f aca="false">IF(AND(Projects!$G$17="Yes",Projects!$M$17="Yes",61&gt;=Projects!$C$17,61&lt;Projects!$C$17+Projects!$D$17),Projects!$B$17*INDEX(Curves!$B$4:$AR$4,1,61-Projects!$C$17+1),0)+IF(AND(Projects!$G$18="Yes",Projects!$M$18="Yes",61&gt;=Projects!$C$18,61&lt;Projects!$C$18+Projects!$D$18),Projects!$B$18*INDEX(Curves!$B$4:$AR$4,1,61-Projects!$C$18+1),0)+IF(AND(Projects!$G$19="Yes",Projects!$M$19="Yes",61&gt;=Projects!$C$19,61&lt;Projects!$C$19+Projects!$D$19),Projects!$B$19*INDEX(Curves!$B$4:$AR$4,1,61-Projects!$C$19+1),0)+IF(AND(Projects!$G$20="Yes",Projects!$M$20="Yes",61&gt;=Projects!$C$20,61&lt;Projects!$C$20+Projects!$D$20),Projects!$B$20*INDEX(Curves!$B$4:$AR$4,1,61-Projects!$C$20+1),0)+IF(AND(Projects!$G$21="Yes",Projects!$M$21="Yes",61&gt;=Projects!$C$21,61&lt;Projects!$C$21+Projects!$D$21),Projects!$B$21*INDEX(Curves!$B$4:$AR$4,1,61-Projects!$C$21+1),0)+IF(AND(Projects!$G$22="Yes",Projects!$M$22="Yes",61&gt;=Projects!$C$22,61&lt;Projects!$C$22+Projects!$D$22),Projects!$B$22*INDEX(Curves!$B$4:$AR$4,1,61-Projects!$C$22+1),0)+IF(AND(Projects!$G$23="Yes",Projects!$M$23="Yes",61&gt;=Projects!$C$23,61&lt;Projects!$C$23+Projects!$D$23),Projects!$B$23*INDEX(Curves!$B$4:$AR$4,1,61-Projects!$C$23+1),0)+IF(AND(Projects!$G$24="Yes",Projects!$M$24="Yes",61&gt;=Projects!$C$24,61&lt;Projects!$C$24+Projects!$D$24),Projects!$B$24*INDEX(Curves!$B$4:$AR$4,1,61-Projects!$C$24+1),0)+IF(AND(Projects!$G$25="Yes",Projects!$M$25="Yes",61&gt;=Projects!$C$25,61&lt;Projects!$C$25+Projects!$D$25),Projects!$B$25*INDEX(Curves!$B$4:$AR$4,1,61-Projects!$C$25+1),0)+IF(AND(Projects!$G$26="Yes",Projects!$M$26="Yes",61&gt;=Projects!$C$26,61&lt;Projects!$C$26+Projects!$D$26),Projects!$B$26*INDEX(Curves!$B$4:$AR$4,1,61-Projects!$C$26+1),0)+IF(AND(Projects!$G$27="Yes",Projects!$M$27="Yes",61&gt;=Projects!$C$27,61&lt;Projects!$C$27+Projects!$D$27),Projects!$B$27*INDEX(Curves!$B$4:$AR$4,1,61-Projects!$C$27+1),0)+IF(AND(Projects!$G$28="Yes",Projects!$M$28="Yes",61&gt;=Projects!$C$28,61&lt;Projects!$C$28+Projects!$D$28),Projects!$B$28*INDEX(Curves!$B$4:$AR$4,1,61-Projects!$C$28+1),0)+IF(AND(Projects!$G$29="Yes",Projects!$M$29="Yes",61&gt;=Projects!$C$29,61&lt;Projects!$C$29+Projects!$D$29),Projects!$B$29*INDEX(Curves!$B$4:$AR$4,1,61-Projects!$C$29+1),0)+IF(AND(Projects!$G$30="Yes",Projects!$M$30="Yes",61&gt;=Projects!$C$30,61&lt;Projects!$C$30+Projects!$D$30),Projects!$B$30*INDEX(Curves!$B$4:$AR$4,1,61-Projects!$C$30+1),0)+IF(AND(Projects!$G$31="Yes",Projects!$M$31="Yes",61&gt;=Projects!$C$31,61&lt;Projects!$C$31+Projects!$D$31),Projects!$B$31*INDEX(Curves!$B$4:$AR$4,1,61-Projects!$C$31+1),0)+IF(AND(Projects!$G$32="Yes",Projects!$M$32="Yes",61&gt;=Projects!$C$32,61&lt;Projects!$C$32+Projects!$D$32),Projects!$B$32*INDEX(Curves!$B$4:$AR$4,1,61-Projects!$C$32+1),0)+IF(AND(Projects!$G$33="Yes",Projects!$M$33="Yes",61&gt;=Projects!$C$33,61&lt;Projects!$C$33+Projects!$D$33),Projects!$B$33*INDEX(Curves!$B$4:$AR$4,1,61-Projects!$C$33+1),0)+IF(AND(Projects!$G$34="Yes",Projects!$M$34="Yes",61&gt;=Projects!$C$34,61&lt;Projects!$C$34+Projects!$D$34),Projects!$B$34*INDEX(Curves!$B$4:$AR$4,1,61-Projects!$C$34+1),0)+IF(AND(Projects!$G$35="Yes",Projects!$M$35="Yes",61&gt;=Projects!$C$35,61&lt;Projects!$C$35+Projects!$D$35),Projects!$B$35*INDEX(Curves!$B$4:$AR$4,1,61-Projects!$C$35+1),0)+IF(AND(Projects!$G$36="Yes",Projects!$M$36="Yes",61&gt;=Projects!$C$36,61&lt;Projects!$C$36+Projects!$D$36),Projects!$B$36*INDEX(Curves!$B$4:$AR$4,1,61-Projects!$C$36+1),0)+IF(AND(Projects!$G$37="Yes",Projects!$M$37="Yes",61&gt;=Projects!$C$37,61&lt;Projects!$C$37+Projects!$D$37),Projects!$B$37*INDEX(Curves!$B$4:$AR$4,1,61-Projects!$C$37+1),0)+IF(AND(Projects!$G$38="Yes",Projects!$M$38="Yes",61&gt;=Projects!$C$38,61&lt;Projects!$C$38+Projects!$D$38),Projects!$B$38*INDEX(Curves!$B$4:$AR$4,1,61-Projects!$C$38+1),0)+IF(AND(Projects!$G$39="Yes",Projects!$M$39="Yes",61&gt;=Projects!$C$39,61&lt;Projects!$C$39+Projects!$D$39),Projects!$B$39*INDEX(Curves!$B$4:$AR$4,1,61-Projects!$C$39+1),0)+IF(AND(Projects!$G$40="Yes",Projects!$M$40="Yes",61&gt;=Projects!$C$40,61&lt;Projects!$C$40+Projects!$D$40),Projects!$B$40*INDEX(Curves!$B$4:$AR$4,1,61-Projects!$C$40+1),0)+IF(AND(Projects!$G$41="Yes",Projects!$M$41="Yes",61&gt;=Projects!$C$41,61&lt;Projects!$C$41+Projects!$D$41),Projects!$B$41*INDEX(Curves!$B$4:$AR$4,1,61-Projects!$C$41+1),0)+IF(AND(Projects!$G$42="Yes",Projects!$M$42="Yes",61&gt;=Projects!$C$42,61&lt;Projects!$C$42+Projects!$D$42),Projects!$B$42*INDEX(Curves!$B$4:$AR$4,1,61-Projects!$C$42+1),0)+IF(AND(Projects!$G$43="Yes",Projects!$M$43="Yes",61&gt;=Projects!$C$43,61&lt;Projects!$C$43+Projects!$D$43),Projects!$B$43*INDEX(Curves!$B$4:$AR$4,1,61-Projects!$C$43+1),0)+IF(AND(Projects!$G$44="Yes",Projects!$M$44="Yes",61&gt;=Projects!$C$44,61&lt;Projects!$C$44+Projects!$D$44),Projects!$B$44*INDEX(Curves!$B$4:$AR$4,1,61-Projects!$C$44+1),0)+IF(AND(Projects!$G$45="Yes",Projects!$M$45="Yes",61&gt;=Projects!$C$45,61&lt;Projects!$C$45+Projects!$D$45),Projects!$B$45*INDEX(Curves!$B$4:$AR$4,1,61-Projects!$C$45+1),0)+IF(AND(Projects!$G$46="Yes",Projects!$M$46="Yes",61&gt;=Projects!$C$46,61&lt;Projects!$C$46+Projects!$D$46),Projects!$B$46*INDEX(Curves!$B$4:$AR$4,1,61-Projects!$C$46+1),0)</f>
        <v>0</v>
      </c>
      <c r="BO101" s="317" t="n">
        <f aca="false">IF(AND(Projects!$G$17="Yes",Projects!$M$17="Yes",62&gt;=Projects!$C$17,62&lt;Projects!$C$17+Projects!$D$17),Projects!$B$17*INDEX(Curves!$B$4:$AR$4,1,62-Projects!$C$17+1),0)+IF(AND(Projects!$G$18="Yes",Projects!$M$18="Yes",62&gt;=Projects!$C$18,62&lt;Projects!$C$18+Projects!$D$18),Projects!$B$18*INDEX(Curves!$B$4:$AR$4,1,62-Projects!$C$18+1),0)+IF(AND(Projects!$G$19="Yes",Projects!$M$19="Yes",62&gt;=Projects!$C$19,62&lt;Projects!$C$19+Projects!$D$19),Projects!$B$19*INDEX(Curves!$B$4:$AR$4,1,62-Projects!$C$19+1),0)+IF(AND(Projects!$G$20="Yes",Projects!$M$20="Yes",62&gt;=Projects!$C$20,62&lt;Projects!$C$20+Projects!$D$20),Projects!$B$20*INDEX(Curves!$B$4:$AR$4,1,62-Projects!$C$20+1),0)+IF(AND(Projects!$G$21="Yes",Projects!$M$21="Yes",62&gt;=Projects!$C$21,62&lt;Projects!$C$21+Projects!$D$21),Projects!$B$21*INDEX(Curves!$B$4:$AR$4,1,62-Projects!$C$21+1),0)+IF(AND(Projects!$G$22="Yes",Projects!$M$22="Yes",62&gt;=Projects!$C$22,62&lt;Projects!$C$22+Projects!$D$22),Projects!$B$22*INDEX(Curves!$B$4:$AR$4,1,62-Projects!$C$22+1),0)+IF(AND(Projects!$G$23="Yes",Projects!$M$23="Yes",62&gt;=Projects!$C$23,62&lt;Projects!$C$23+Projects!$D$23),Projects!$B$23*INDEX(Curves!$B$4:$AR$4,1,62-Projects!$C$23+1),0)+IF(AND(Projects!$G$24="Yes",Projects!$M$24="Yes",62&gt;=Projects!$C$24,62&lt;Projects!$C$24+Projects!$D$24),Projects!$B$24*INDEX(Curves!$B$4:$AR$4,1,62-Projects!$C$24+1),0)+IF(AND(Projects!$G$25="Yes",Projects!$M$25="Yes",62&gt;=Projects!$C$25,62&lt;Projects!$C$25+Projects!$D$25),Projects!$B$25*INDEX(Curves!$B$4:$AR$4,1,62-Projects!$C$25+1),0)+IF(AND(Projects!$G$26="Yes",Projects!$M$26="Yes",62&gt;=Projects!$C$26,62&lt;Projects!$C$26+Projects!$D$26),Projects!$B$26*INDEX(Curves!$B$4:$AR$4,1,62-Projects!$C$26+1),0)+IF(AND(Projects!$G$27="Yes",Projects!$M$27="Yes",62&gt;=Projects!$C$27,62&lt;Projects!$C$27+Projects!$D$27),Projects!$B$27*INDEX(Curves!$B$4:$AR$4,1,62-Projects!$C$27+1),0)+IF(AND(Projects!$G$28="Yes",Projects!$M$28="Yes",62&gt;=Projects!$C$28,62&lt;Projects!$C$28+Projects!$D$28),Projects!$B$28*INDEX(Curves!$B$4:$AR$4,1,62-Projects!$C$28+1),0)+IF(AND(Projects!$G$29="Yes",Projects!$M$29="Yes",62&gt;=Projects!$C$29,62&lt;Projects!$C$29+Projects!$D$29),Projects!$B$29*INDEX(Curves!$B$4:$AR$4,1,62-Projects!$C$29+1),0)+IF(AND(Projects!$G$30="Yes",Projects!$M$30="Yes",62&gt;=Projects!$C$30,62&lt;Projects!$C$30+Projects!$D$30),Projects!$B$30*INDEX(Curves!$B$4:$AR$4,1,62-Projects!$C$30+1),0)+IF(AND(Projects!$G$31="Yes",Projects!$M$31="Yes",62&gt;=Projects!$C$31,62&lt;Projects!$C$31+Projects!$D$31),Projects!$B$31*INDEX(Curves!$B$4:$AR$4,1,62-Projects!$C$31+1),0)+IF(AND(Projects!$G$32="Yes",Projects!$M$32="Yes",62&gt;=Projects!$C$32,62&lt;Projects!$C$32+Projects!$D$32),Projects!$B$32*INDEX(Curves!$B$4:$AR$4,1,62-Projects!$C$32+1),0)+IF(AND(Projects!$G$33="Yes",Projects!$M$33="Yes",62&gt;=Projects!$C$33,62&lt;Projects!$C$33+Projects!$D$33),Projects!$B$33*INDEX(Curves!$B$4:$AR$4,1,62-Projects!$C$33+1),0)+IF(AND(Projects!$G$34="Yes",Projects!$M$34="Yes",62&gt;=Projects!$C$34,62&lt;Projects!$C$34+Projects!$D$34),Projects!$B$34*INDEX(Curves!$B$4:$AR$4,1,62-Projects!$C$34+1),0)+IF(AND(Projects!$G$35="Yes",Projects!$M$35="Yes",62&gt;=Projects!$C$35,62&lt;Projects!$C$35+Projects!$D$35),Projects!$B$35*INDEX(Curves!$B$4:$AR$4,1,62-Projects!$C$35+1),0)+IF(AND(Projects!$G$36="Yes",Projects!$M$36="Yes",62&gt;=Projects!$C$36,62&lt;Projects!$C$36+Projects!$D$36),Projects!$B$36*INDEX(Curves!$B$4:$AR$4,1,62-Projects!$C$36+1),0)+IF(AND(Projects!$G$37="Yes",Projects!$M$37="Yes",62&gt;=Projects!$C$37,62&lt;Projects!$C$37+Projects!$D$37),Projects!$B$37*INDEX(Curves!$B$4:$AR$4,1,62-Projects!$C$37+1),0)+IF(AND(Projects!$G$38="Yes",Projects!$M$38="Yes",62&gt;=Projects!$C$38,62&lt;Projects!$C$38+Projects!$D$38),Projects!$B$38*INDEX(Curves!$B$4:$AR$4,1,62-Projects!$C$38+1),0)+IF(AND(Projects!$G$39="Yes",Projects!$M$39="Yes",62&gt;=Projects!$C$39,62&lt;Projects!$C$39+Projects!$D$39),Projects!$B$39*INDEX(Curves!$B$4:$AR$4,1,62-Projects!$C$39+1),0)+IF(AND(Projects!$G$40="Yes",Projects!$M$40="Yes",62&gt;=Projects!$C$40,62&lt;Projects!$C$40+Projects!$D$40),Projects!$B$40*INDEX(Curves!$B$4:$AR$4,1,62-Projects!$C$40+1),0)+IF(AND(Projects!$G$41="Yes",Projects!$M$41="Yes",62&gt;=Projects!$C$41,62&lt;Projects!$C$41+Projects!$D$41),Projects!$B$41*INDEX(Curves!$B$4:$AR$4,1,62-Projects!$C$41+1),0)+IF(AND(Projects!$G$42="Yes",Projects!$M$42="Yes",62&gt;=Projects!$C$42,62&lt;Projects!$C$42+Projects!$D$42),Projects!$B$42*INDEX(Curves!$B$4:$AR$4,1,62-Projects!$C$42+1),0)+IF(AND(Projects!$G$43="Yes",Projects!$M$43="Yes",62&gt;=Projects!$C$43,62&lt;Projects!$C$43+Projects!$D$43),Projects!$B$43*INDEX(Curves!$B$4:$AR$4,1,62-Projects!$C$43+1),0)+IF(AND(Projects!$G$44="Yes",Projects!$M$44="Yes",62&gt;=Projects!$C$44,62&lt;Projects!$C$44+Projects!$D$44),Projects!$B$44*INDEX(Curves!$B$4:$AR$4,1,62-Projects!$C$44+1),0)+IF(AND(Projects!$G$45="Yes",Projects!$M$45="Yes",62&gt;=Projects!$C$45,62&lt;Projects!$C$45+Projects!$D$45),Projects!$B$45*INDEX(Curves!$B$4:$AR$4,1,62-Projects!$C$45+1),0)+IF(AND(Projects!$G$46="Yes",Projects!$M$46="Yes",62&gt;=Projects!$C$46,62&lt;Projects!$C$46+Projects!$D$46),Projects!$B$46*INDEX(Curves!$B$4:$AR$4,1,62-Projects!$C$46+1),0)</f>
        <v>0</v>
      </c>
      <c r="BP101" s="317" t="n">
        <f aca="false">IF(AND(Projects!$G$17="Yes",Projects!$M$17="Yes",63&gt;=Projects!$C$17,63&lt;Projects!$C$17+Projects!$D$17),Projects!$B$17*INDEX(Curves!$B$4:$AR$4,1,63-Projects!$C$17+1),0)+IF(AND(Projects!$G$18="Yes",Projects!$M$18="Yes",63&gt;=Projects!$C$18,63&lt;Projects!$C$18+Projects!$D$18),Projects!$B$18*INDEX(Curves!$B$4:$AR$4,1,63-Projects!$C$18+1),0)+IF(AND(Projects!$G$19="Yes",Projects!$M$19="Yes",63&gt;=Projects!$C$19,63&lt;Projects!$C$19+Projects!$D$19),Projects!$B$19*INDEX(Curves!$B$4:$AR$4,1,63-Projects!$C$19+1),0)+IF(AND(Projects!$G$20="Yes",Projects!$M$20="Yes",63&gt;=Projects!$C$20,63&lt;Projects!$C$20+Projects!$D$20),Projects!$B$20*INDEX(Curves!$B$4:$AR$4,1,63-Projects!$C$20+1),0)+IF(AND(Projects!$G$21="Yes",Projects!$M$21="Yes",63&gt;=Projects!$C$21,63&lt;Projects!$C$21+Projects!$D$21),Projects!$B$21*INDEX(Curves!$B$4:$AR$4,1,63-Projects!$C$21+1),0)+IF(AND(Projects!$G$22="Yes",Projects!$M$22="Yes",63&gt;=Projects!$C$22,63&lt;Projects!$C$22+Projects!$D$22),Projects!$B$22*INDEX(Curves!$B$4:$AR$4,1,63-Projects!$C$22+1),0)+IF(AND(Projects!$G$23="Yes",Projects!$M$23="Yes",63&gt;=Projects!$C$23,63&lt;Projects!$C$23+Projects!$D$23),Projects!$B$23*INDEX(Curves!$B$4:$AR$4,1,63-Projects!$C$23+1),0)+IF(AND(Projects!$G$24="Yes",Projects!$M$24="Yes",63&gt;=Projects!$C$24,63&lt;Projects!$C$24+Projects!$D$24),Projects!$B$24*INDEX(Curves!$B$4:$AR$4,1,63-Projects!$C$24+1),0)+IF(AND(Projects!$G$25="Yes",Projects!$M$25="Yes",63&gt;=Projects!$C$25,63&lt;Projects!$C$25+Projects!$D$25),Projects!$B$25*INDEX(Curves!$B$4:$AR$4,1,63-Projects!$C$25+1),0)+IF(AND(Projects!$G$26="Yes",Projects!$M$26="Yes",63&gt;=Projects!$C$26,63&lt;Projects!$C$26+Projects!$D$26),Projects!$B$26*INDEX(Curves!$B$4:$AR$4,1,63-Projects!$C$26+1),0)+IF(AND(Projects!$G$27="Yes",Projects!$M$27="Yes",63&gt;=Projects!$C$27,63&lt;Projects!$C$27+Projects!$D$27),Projects!$B$27*INDEX(Curves!$B$4:$AR$4,1,63-Projects!$C$27+1),0)+IF(AND(Projects!$G$28="Yes",Projects!$M$28="Yes",63&gt;=Projects!$C$28,63&lt;Projects!$C$28+Projects!$D$28),Projects!$B$28*INDEX(Curves!$B$4:$AR$4,1,63-Projects!$C$28+1),0)+IF(AND(Projects!$G$29="Yes",Projects!$M$29="Yes",63&gt;=Projects!$C$29,63&lt;Projects!$C$29+Projects!$D$29),Projects!$B$29*INDEX(Curves!$B$4:$AR$4,1,63-Projects!$C$29+1),0)+IF(AND(Projects!$G$30="Yes",Projects!$M$30="Yes",63&gt;=Projects!$C$30,63&lt;Projects!$C$30+Projects!$D$30),Projects!$B$30*INDEX(Curves!$B$4:$AR$4,1,63-Projects!$C$30+1),0)+IF(AND(Projects!$G$31="Yes",Projects!$M$31="Yes",63&gt;=Projects!$C$31,63&lt;Projects!$C$31+Projects!$D$31),Projects!$B$31*INDEX(Curves!$B$4:$AR$4,1,63-Projects!$C$31+1),0)+IF(AND(Projects!$G$32="Yes",Projects!$M$32="Yes",63&gt;=Projects!$C$32,63&lt;Projects!$C$32+Projects!$D$32),Projects!$B$32*INDEX(Curves!$B$4:$AR$4,1,63-Projects!$C$32+1),0)+IF(AND(Projects!$G$33="Yes",Projects!$M$33="Yes",63&gt;=Projects!$C$33,63&lt;Projects!$C$33+Projects!$D$33),Projects!$B$33*INDEX(Curves!$B$4:$AR$4,1,63-Projects!$C$33+1),0)+IF(AND(Projects!$G$34="Yes",Projects!$M$34="Yes",63&gt;=Projects!$C$34,63&lt;Projects!$C$34+Projects!$D$34),Projects!$B$34*INDEX(Curves!$B$4:$AR$4,1,63-Projects!$C$34+1),0)+IF(AND(Projects!$G$35="Yes",Projects!$M$35="Yes",63&gt;=Projects!$C$35,63&lt;Projects!$C$35+Projects!$D$35),Projects!$B$35*INDEX(Curves!$B$4:$AR$4,1,63-Projects!$C$35+1),0)+IF(AND(Projects!$G$36="Yes",Projects!$M$36="Yes",63&gt;=Projects!$C$36,63&lt;Projects!$C$36+Projects!$D$36),Projects!$B$36*INDEX(Curves!$B$4:$AR$4,1,63-Projects!$C$36+1),0)+IF(AND(Projects!$G$37="Yes",Projects!$M$37="Yes",63&gt;=Projects!$C$37,63&lt;Projects!$C$37+Projects!$D$37),Projects!$B$37*INDEX(Curves!$B$4:$AR$4,1,63-Projects!$C$37+1),0)+IF(AND(Projects!$G$38="Yes",Projects!$M$38="Yes",63&gt;=Projects!$C$38,63&lt;Projects!$C$38+Projects!$D$38),Projects!$B$38*INDEX(Curves!$B$4:$AR$4,1,63-Projects!$C$38+1),0)+IF(AND(Projects!$G$39="Yes",Projects!$M$39="Yes",63&gt;=Projects!$C$39,63&lt;Projects!$C$39+Projects!$D$39),Projects!$B$39*INDEX(Curves!$B$4:$AR$4,1,63-Projects!$C$39+1),0)+IF(AND(Projects!$G$40="Yes",Projects!$M$40="Yes",63&gt;=Projects!$C$40,63&lt;Projects!$C$40+Projects!$D$40),Projects!$B$40*INDEX(Curves!$B$4:$AR$4,1,63-Projects!$C$40+1),0)+IF(AND(Projects!$G$41="Yes",Projects!$M$41="Yes",63&gt;=Projects!$C$41,63&lt;Projects!$C$41+Projects!$D$41),Projects!$B$41*INDEX(Curves!$B$4:$AR$4,1,63-Projects!$C$41+1),0)+IF(AND(Projects!$G$42="Yes",Projects!$M$42="Yes",63&gt;=Projects!$C$42,63&lt;Projects!$C$42+Projects!$D$42),Projects!$B$42*INDEX(Curves!$B$4:$AR$4,1,63-Projects!$C$42+1),0)+IF(AND(Projects!$G$43="Yes",Projects!$M$43="Yes",63&gt;=Projects!$C$43,63&lt;Projects!$C$43+Projects!$D$43),Projects!$B$43*INDEX(Curves!$B$4:$AR$4,1,63-Projects!$C$43+1),0)+IF(AND(Projects!$G$44="Yes",Projects!$M$44="Yes",63&gt;=Projects!$C$44,63&lt;Projects!$C$44+Projects!$D$44),Projects!$B$44*INDEX(Curves!$B$4:$AR$4,1,63-Projects!$C$44+1),0)+IF(AND(Projects!$G$45="Yes",Projects!$M$45="Yes",63&gt;=Projects!$C$45,63&lt;Projects!$C$45+Projects!$D$45),Projects!$B$45*INDEX(Curves!$B$4:$AR$4,1,63-Projects!$C$45+1),0)+IF(AND(Projects!$G$46="Yes",Projects!$M$46="Yes",63&gt;=Projects!$C$46,63&lt;Projects!$C$46+Projects!$D$46),Projects!$B$46*INDEX(Curves!$B$4:$AR$4,1,63-Projects!$C$46+1),0)</f>
        <v>0</v>
      </c>
      <c r="BQ101" s="317" t="n">
        <f aca="false">IF(AND(Projects!$G$17="Yes",Projects!$M$17="Yes",64&gt;=Projects!$C$17,64&lt;Projects!$C$17+Projects!$D$17),Projects!$B$17*INDEX(Curves!$B$4:$AR$4,1,64-Projects!$C$17+1),0)+IF(AND(Projects!$G$18="Yes",Projects!$M$18="Yes",64&gt;=Projects!$C$18,64&lt;Projects!$C$18+Projects!$D$18),Projects!$B$18*INDEX(Curves!$B$4:$AR$4,1,64-Projects!$C$18+1),0)+IF(AND(Projects!$G$19="Yes",Projects!$M$19="Yes",64&gt;=Projects!$C$19,64&lt;Projects!$C$19+Projects!$D$19),Projects!$B$19*INDEX(Curves!$B$4:$AR$4,1,64-Projects!$C$19+1),0)+IF(AND(Projects!$G$20="Yes",Projects!$M$20="Yes",64&gt;=Projects!$C$20,64&lt;Projects!$C$20+Projects!$D$20),Projects!$B$20*INDEX(Curves!$B$4:$AR$4,1,64-Projects!$C$20+1),0)+IF(AND(Projects!$G$21="Yes",Projects!$M$21="Yes",64&gt;=Projects!$C$21,64&lt;Projects!$C$21+Projects!$D$21),Projects!$B$21*INDEX(Curves!$B$4:$AR$4,1,64-Projects!$C$21+1),0)+IF(AND(Projects!$G$22="Yes",Projects!$M$22="Yes",64&gt;=Projects!$C$22,64&lt;Projects!$C$22+Projects!$D$22),Projects!$B$22*INDEX(Curves!$B$4:$AR$4,1,64-Projects!$C$22+1),0)+IF(AND(Projects!$G$23="Yes",Projects!$M$23="Yes",64&gt;=Projects!$C$23,64&lt;Projects!$C$23+Projects!$D$23),Projects!$B$23*INDEX(Curves!$B$4:$AR$4,1,64-Projects!$C$23+1),0)+IF(AND(Projects!$G$24="Yes",Projects!$M$24="Yes",64&gt;=Projects!$C$24,64&lt;Projects!$C$24+Projects!$D$24),Projects!$B$24*INDEX(Curves!$B$4:$AR$4,1,64-Projects!$C$24+1),0)+IF(AND(Projects!$G$25="Yes",Projects!$M$25="Yes",64&gt;=Projects!$C$25,64&lt;Projects!$C$25+Projects!$D$25),Projects!$B$25*INDEX(Curves!$B$4:$AR$4,1,64-Projects!$C$25+1),0)+IF(AND(Projects!$G$26="Yes",Projects!$M$26="Yes",64&gt;=Projects!$C$26,64&lt;Projects!$C$26+Projects!$D$26),Projects!$B$26*INDEX(Curves!$B$4:$AR$4,1,64-Projects!$C$26+1),0)+IF(AND(Projects!$G$27="Yes",Projects!$M$27="Yes",64&gt;=Projects!$C$27,64&lt;Projects!$C$27+Projects!$D$27),Projects!$B$27*INDEX(Curves!$B$4:$AR$4,1,64-Projects!$C$27+1),0)+IF(AND(Projects!$G$28="Yes",Projects!$M$28="Yes",64&gt;=Projects!$C$28,64&lt;Projects!$C$28+Projects!$D$28),Projects!$B$28*INDEX(Curves!$B$4:$AR$4,1,64-Projects!$C$28+1),0)+IF(AND(Projects!$G$29="Yes",Projects!$M$29="Yes",64&gt;=Projects!$C$29,64&lt;Projects!$C$29+Projects!$D$29),Projects!$B$29*INDEX(Curves!$B$4:$AR$4,1,64-Projects!$C$29+1),0)+IF(AND(Projects!$G$30="Yes",Projects!$M$30="Yes",64&gt;=Projects!$C$30,64&lt;Projects!$C$30+Projects!$D$30),Projects!$B$30*INDEX(Curves!$B$4:$AR$4,1,64-Projects!$C$30+1),0)+IF(AND(Projects!$G$31="Yes",Projects!$M$31="Yes",64&gt;=Projects!$C$31,64&lt;Projects!$C$31+Projects!$D$31),Projects!$B$31*INDEX(Curves!$B$4:$AR$4,1,64-Projects!$C$31+1),0)+IF(AND(Projects!$G$32="Yes",Projects!$M$32="Yes",64&gt;=Projects!$C$32,64&lt;Projects!$C$32+Projects!$D$32),Projects!$B$32*INDEX(Curves!$B$4:$AR$4,1,64-Projects!$C$32+1),0)+IF(AND(Projects!$G$33="Yes",Projects!$M$33="Yes",64&gt;=Projects!$C$33,64&lt;Projects!$C$33+Projects!$D$33),Projects!$B$33*INDEX(Curves!$B$4:$AR$4,1,64-Projects!$C$33+1),0)+IF(AND(Projects!$G$34="Yes",Projects!$M$34="Yes",64&gt;=Projects!$C$34,64&lt;Projects!$C$34+Projects!$D$34),Projects!$B$34*INDEX(Curves!$B$4:$AR$4,1,64-Projects!$C$34+1),0)+IF(AND(Projects!$G$35="Yes",Projects!$M$35="Yes",64&gt;=Projects!$C$35,64&lt;Projects!$C$35+Projects!$D$35),Projects!$B$35*INDEX(Curves!$B$4:$AR$4,1,64-Projects!$C$35+1),0)+IF(AND(Projects!$G$36="Yes",Projects!$M$36="Yes",64&gt;=Projects!$C$36,64&lt;Projects!$C$36+Projects!$D$36),Projects!$B$36*INDEX(Curves!$B$4:$AR$4,1,64-Projects!$C$36+1),0)+IF(AND(Projects!$G$37="Yes",Projects!$M$37="Yes",64&gt;=Projects!$C$37,64&lt;Projects!$C$37+Projects!$D$37),Projects!$B$37*INDEX(Curves!$B$4:$AR$4,1,64-Projects!$C$37+1),0)+IF(AND(Projects!$G$38="Yes",Projects!$M$38="Yes",64&gt;=Projects!$C$38,64&lt;Projects!$C$38+Projects!$D$38),Projects!$B$38*INDEX(Curves!$B$4:$AR$4,1,64-Projects!$C$38+1),0)+IF(AND(Projects!$G$39="Yes",Projects!$M$39="Yes",64&gt;=Projects!$C$39,64&lt;Projects!$C$39+Projects!$D$39),Projects!$B$39*INDEX(Curves!$B$4:$AR$4,1,64-Projects!$C$39+1),0)+IF(AND(Projects!$G$40="Yes",Projects!$M$40="Yes",64&gt;=Projects!$C$40,64&lt;Projects!$C$40+Projects!$D$40),Projects!$B$40*INDEX(Curves!$B$4:$AR$4,1,64-Projects!$C$40+1),0)+IF(AND(Projects!$G$41="Yes",Projects!$M$41="Yes",64&gt;=Projects!$C$41,64&lt;Projects!$C$41+Projects!$D$41),Projects!$B$41*INDEX(Curves!$B$4:$AR$4,1,64-Projects!$C$41+1),0)+IF(AND(Projects!$G$42="Yes",Projects!$M$42="Yes",64&gt;=Projects!$C$42,64&lt;Projects!$C$42+Projects!$D$42),Projects!$B$42*INDEX(Curves!$B$4:$AR$4,1,64-Projects!$C$42+1),0)+IF(AND(Projects!$G$43="Yes",Projects!$M$43="Yes",64&gt;=Projects!$C$43,64&lt;Projects!$C$43+Projects!$D$43),Projects!$B$43*INDEX(Curves!$B$4:$AR$4,1,64-Projects!$C$43+1),0)+IF(AND(Projects!$G$44="Yes",Projects!$M$44="Yes",64&gt;=Projects!$C$44,64&lt;Projects!$C$44+Projects!$D$44),Projects!$B$44*INDEX(Curves!$B$4:$AR$4,1,64-Projects!$C$44+1),0)+IF(AND(Projects!$G$45="Yes",Projects!$M$45="Yes",64&gt;=Projects!$C$45,64&lt;Projects!$C$45+Projects!$D$45),Projects!$B$45*INDEX(Curves!$B$4:$AR$4,1,64-Projects!$C$45+1),0)+IF(AND(Projects!$G$46="Yes",Projects!$M$46="Yes",64&gt;=Projects!$C$46,64&lt;Projects!$C$46+Projects!$D$46),Projects!$B$46*INDEX(Curves!$B$4:$AR$4,1,64-Projects!$C$46+1),0)</f>
        <v>0</v>
      </c>
      <c r="BR101" s="317" t="n">
        <f aca="false">IF(AND(Projects!$G$17="Yes",Projects!$M$17="Yes",65&gt;=Projects!$C$17,65&lt;Projects!$C$17+Projects!$D$17),Projects!$B$17*INDEX(Curves!$B$4:$AR$4,1,65-Projects!$C$17+1),0)+IF(AND(Projects!$G$18="Yes",Projects!$M$18="Yes",65&gt;=Projects!$C$18,65&lt;Projects!$C$18+Projects!$D$18),Projects!$B$18*INDEX(Curves!$B$4:$AR$4,1,65-Projects!$C$18+1),0)+IF(AND(Projects!$G$19="Yes",Projects!$M$19="Yes",65&gt;=Projects!$C$19,65&lt;Projects!$C$19+Projects!$D$19),Projects!$B$19*INDEX(Curves!$B$4:$AR$4,1,65-Projects!$C$19+1),0)+IF(AND(Projects!$G$20="Yes",Projects!$M$20="Yes",65&gt;=Projects!$C$20,65&lt;Projects!$C$20+Projects!$D$20),Projects!$B$20*INDEX(Curves!$B$4:$AR$4,1,65-Projects!$C$20+1),0)+IF(AND(Projects!$G$21="Yes",Projects!$M$21="Yes",65&gt;=Projects!$C$21,65&lt;Projects!$C$21+Projects!$D$21),Projects!$B$21*INDEX(Curves!$B$4:$AR$4,1,65-Projects!$C$21+1),0)+IF(AND(Projects!$G$22="Yes",Projects!$M$22="Yes",65&gt;=Projects!$C$22,65&lt;Projects!$C$22+Projects!$D$22),Projects!$B$22*INDEX(Curves!$B$4:$AR$4,1,65-Projects!$C$22+1),0)+IF(AND(Projects!$G$23="Yes",Projects!$M$23="Yes",65&gt;=Projects!$C$23,65&lt;Projects!$C$23+Projects!$D$23),Projects!$B$23*INDEX(Curves!$B$4:$AR$4,1,65-Projects!$C$23+1),0)+IF(AND(Projects!$G$24="Yes",Projects!$M$24="Yes",65&gt;=Projects!$C$24,65&lt;Projects!$C$24+Projects!$D$24),Projects!$B$24*INDEX(Curves!$B$4:$AR$4,1,65-Projects!$C$24+1),0)+IF(AND(Projects!$G$25="Yes",Projects!$M$25="Yes",65&gt;=Projects!$C$25,65&lt;Projects!$C$25+Projects!$D$25),Projects!$B$25*INDEX(Curves!$B$4:$AR$4,1,65-Projects!$C$25+1),0)+IF(AND(Projects!$G$26="Yes",Projects!$M$26="Yes",65&gt;=Projects!$C$26,65&lt;Projects!$C$26+Projects!$D$26),Projects!$B$26*INDEX(Curves!$B$4:$AR$4,1,65-Projects!$C$26+1),0)+IF(AND(Projects!$G$27="Yes",Projects!$M$27="Yes",65&gt;=Projects!$C$27,65&lt;Projects!$C$27+Projects!$D$27),Projects!$B$27*INDEX(Curves!$B$4:$AR$4,1,65-Projects!$C$27+1),0)+IF(AND(Projects!$G$28="Yes",Projects!$M$28="Yes",65&gt;=Projects!$C$28,65&lt;Projects!$C$28+Projects!$D$28),Projects!$B$28*INDEX(Curves!$B$4:$AR$4,1,65-Projects!$C$28+1),0)+IF(AND(Projects!$G$29="Yes",Projects!$M$29="Yes",65&gt;=Projects!$C$29,65&lt;Projects!$C$29+Projects!$D$29),Projects!$B$29*INDEX(Curves!$B$4:$AR$4,1,65-Projects!$C$29+1),0)+IF(AND(Projects!$G$30="Yes",Projects!$M$30="Yes",65&gt;=Projects!$C$30,65&lt;Projects!$C$30+Projects!$D$30),Projects!$B$30*INDEX(Curves!$B$4:$AR$4,1,65-Projects!$C$30+1),0)+IF(AND(Projects!$G$31="Yes",Projects!$M$31="Yes",65&gt;=Projects!$C$31,65&lt;Projects!$C$31+Projects!$D$31),Projects!$B$31*INDEX(Curves!$B$4:$AR$4,1,65-Projects!$C$31+1),0)+IF(AND(Projects!$G$32="Yes",Projects!$M$32="Yes",65&gt;=Projects!$C$32,65&lt;Projects!$C$32+Projects!$D$32),Projects!$B$32*INDEX(Curves!$B$4:$AR$4,1,65-Projects!$C$32+1),0)+IF(AND(Projects!$G$33="Yes",Projects!$M$33="Yes",65&gt;=Projects!$C$33,65&lt;Projects!$C$33+Projects!$D$33),Projects!$B$33*INDEX(Curves!$B$4:$AR$4,1,65-Projects!$C$33+1),0)+IF(AND(Projects!$G$34="Yes",Projects!$M$34="Yes",65&gt;=Projects!$C$34,65&lt;Projects!$C$34+Projects!$D$34),Projects!$B$34*INDEX(Curves!$B$4:$AR$4,1,65-Projects!$C$34+1),0)+IF(AND(Projects!$G$35="Yes",Projects!$M$35="Yes",65&gt;=Projects!$C$35,65&lt;Projects!$C$35+Projects!$D$35),Projects!$B$35*INDEX(Curves!$B$4:$AR$4,1,65-Projects!$C$35+1),0)+IF(AND(Projects!$G$36="Yes",Projects!$M$36="Yes",65&gt;=Projects!$C$36,65&lt;Projects!$C$36+Projects!$D$36),Projects!$B$36*INDEX(Curves!$B$4:$AR$4,1,65-Projects!$C$36+1),0)+IF(AND(Projects!$G$37="Yes",Projects!$M$37="Yes",65&gt;=Projects!$C$37,65&lt;Projects!$C$37+Projects!$D$37),Projects!$B$37*INDEX(Curves!$B$4:$AR$4,1,65-Projects!$C$37+1),0)+IF(AND(Projects!$G$38="Yes",Projects!$M$38="Yes",65&gt;=Projects!$C$38,65&lt;Projects!$C$38+Projects!$D$38),Projects!$B$38*INDEX(Curves!$B$4:$AR$4,1,65-Projects!$C$38+1),0)+IF(AND(Projects!$G$39="Yes",Projects!$M$39="Yes",65&gt;=Projects!$C$39,65&lt;Projects!$C$39+Projects!$D$39),Projects!$B$39*INDEX(Curves!$B$4:$AR$4,1,65-Projects!$C$39+1),0)+IF(AND(Projects!$G$40="Yes",Projects!$M$40="Yes",65&gt;=Projects!$C$40,65&lt;Projects!$C$40+Projects!$D$40),Projects!$B$40*INDEX(Curves!$B$4:$AR$4,1,65-Projects!$C$40+1),0)+IF(AND(Projects!$G$41="Yes",Projects!$M$41="Yes",65&gt;=Projects!$C$41,65&lt;Projects!$C$41+Projects!$D$41),Projects!$B$41*INDEX(Curves!$B$4:$AR$4,1,65-Projects!$C$41+1),0)+IF(AND(Projects!$G$42="Yes",Projects!$M$42="Yes",65&gt;=Projects!$C$42,65&lt;Projects!$C$42+Projects!$D$42),Projects!$B$42*INDEX(Curves!$B$4:$AR$4,1,65-Projects!$C$42+1),0)+IF(AND(Projects!$G$43="Yes",Projects!$M$43="Yes",65&gt;=Projects!$C$43,65&lt;Projects!$C$43+Projects!$D$43),Projects!$B$43*INDEX(Curves!$B$4:$AR$4,1,65-Projects!$C$43+1),0)+IF(AND(Projects!$G$44="Yes",Projects!$M$44="Yes",65&gt;=Projects!$C$44,65&lt;Projects!$C$44+Projects!$D$44),Projects!$B$44*INDEX(Curves!$B$4:$AR$4,1,65-Projects!$C$44+1),0)+IF(AND(Projects!$G$45="Yes",Projects!$M$45="Yes",65&gt;=Projects!$C$45,65&lt;Projects!$C$45+Projects!$D$45),Projects!$B$45*INDEX(Curves!$B$4:$AR$4,1,65-Projects!$C$45+1),0)+IF(AND(Projects!$G$46="Yes",Projects!$M$46="Yes",65&gt;=Projects!$C$46,65&lt;Projects!$C$46+Projects!$D$46),Projects!$B$46*INDEX(Curves!$B$4:$AR$4,1,65-Projects!$C$46+1),0)</f>
        <v>0</v>
      </c>
      <c r="BS101" s="317" t="n">
        <f aca="false">IF(AND(Projects!$G$17="Yes",Projects!$M$17="Yes",66&gt;=Projects!$C$17,66&lt;Projects!$C$17+Projects!$D$17),Projects!$B$17*INDEX(Curves!$B$4:$AR$4,1,66-Projects!$C$17+1),0)+IF(AND(Projects!$G$18="Yes",Projects!$M$18="Yes",66&gt;=Projects!$C$18,66&lt;Projects!$C$18+Projects!$D$18),Projects!$B$18*INDEX(Curves!$B$4:$AR$4,1,66-Projects!$C$18+1),0)+IF(AND(Projects!$G$19="Yes",Projects!$M$19="Yes",66&gt;=Projects!$C$19,66&lt;Projects!$C$19+Projects!$D$19),Projects!$B$19*INDEX(Curves!$B$4:$AR$4,1,66-Projects!$C$19+1),0)+IF(AND(Projects!$G$20="Yes",Projects!$M$20="Yes",66&gt;=Projects!$C$20,66&lt;Projects!$C$20+Projects!$D$20),Projects!$B$20*INDEX(Curves!$B$4:$AR$4,1,66-Projects!$C$20+1),0)+IF(AND(Projects!$G$21="Yes",Projects!$M$21="Yes",66&gt;=Projects!$C$21,66&lt;Projects!$C$21+Projects!$D$21),Projects!$B$21*INDEX(Curves!$B$4:$AR$4,1,66-Projects!$C$21+1),0)+IF(AND(Projects!$G$22="Yes",Projects!$M$22="Yes",66&gt;=Projects!$C$22,66&lt;Projects!$C$22+Projects!$D$22),Projects!$B$22*INDEX(Curves!$B$4:$AR$4,1,66-Projects!$C$22+1),0)+IF(AND(Projects!$G$23="Yes",Projects!$M$23="Yes",66&gt;=Projects!$C$23,66&lt;Projects!$C$23+Projects!$D$23),Projects!$B$23*INDEX(Curves!$B$4:$AR$4,1,66-Projects!$C$23+1),0)+IF(AND(Projects!$G$24="Yes",Projects!$M$24="Yes",66&gt;=Projects!$C$24,66&lt;Projects!$C$24+Projects!$D$24),Projects!$B$24*INDEX(Curves!$B$4:$AR$4,1,66-Projects!$C$24+1),0)+IF(AND(Projects!$G$25="Yes",Projects!$M$25="Yes",66&gt;=Projects!$C$25,66&lt;Projects!$C$25+Projects!$D$25),Projects!$B$25*INDEX(Curves!$B$4:$AR$4,1,66-Projects!$C$25+1),0)+IF(AND(Projects!$G$26="Yes",Projects!$M$26="Yes",66&gt;=Projects!$C$26,66&lt;Projects!$C$26+Projects!$D$26),Projects!$B$26*INDEX(Curves!$B$4:$AR$4,1,66-Projects!$C$26+1),0)+IF(AND(Projects!$G$27="Yes",Projects!$M$27="Yes",66&gt;=Projects!$C$27,66&lt;Projects!$C$27+Projects!$D$27),Projects!$B$27*INDEX(Curves!$B$4:$AR$4,1,66-Projects!$C$27+1),0)+IF(AND(Projects!$G$28="Yes",Projects!$M$28="Yes",66&gt;=Projects!$C$28,66&lt;Projects!$C$28+Projects!$D$28),Projects!$B$28*INDEX(Curves!$B$4:$AR$4,1,66-Projects!$C$28+1),0)+IF(AND(Projects!$G$29="Yes",Projects!$M$29="Yes",66&gt;=Projects!$C$29,66&lt;Projects!$C$29+Projects!$D$29),Projects!$B$29*INDEX(Curves!$B$4:$AR$4,1,66-Projects!$C$29+1),0)+IF(AND(Projects!$G$30="Yes",Projects!$M$30="Yes",66&gt;=Projects!$C$30,66&lt;Projects!$C$30+Projects!$D$30),Projects!$B$30*INDEX(Curves!$B$4:$AR$4,1,66-Projects!$C$30+1),0)+IF(AND(Projects!$G$31="Yes",Projects!$M$31="Yes",66&gt;=Projects!$C$31,66&lt;Projects!$C$31+Projects!$D$31),Projects!$B$31*INDEX(Curves!$B$4:$AR$4,1,66-Projects!$C$31+1),0)+IF(AND(Projects!$G$32="Yes",Projects!$M$32="Yes",66&gt;=Projects!$C$32,66&lt;Projects!$C$32+Projects!$D$32),Projects!$B$32*INDEX(Curves!$B$4:$AR$4,1,66-Projects!$C$32+1),0)+IF(AND(Projects!$G$33="Yes",Projects!$M$33="Yes",66&gt;=Projects!$C$33,66&lt;Projects!$C$33+Projects!$D$33),Projects!$B$33*INDEX(Curves!$B$4:$AR$4,1,66-Projects!$C$33+1),0)+IF(AND(Projects!$G$34="Yes",Projects!$M$34="Yes",66&gt;=Projects!$C$34,66&lt;Projects!$C$34+Projects!$D$34),Projects!$B$34*INDEX(Curves!$B$4:$AR$4,1,66-Projects!$C$34+1),0)+IF(AND(Projects!$G$35="Yes",Projects!$M$35="Yes",66&gt;=Projects!$C$35,66&lt;Projects!$C$35+Projects!$D$35),Projects!$B$35*INDEX(Curves!$B$4:$AR$4,1,66-Projects!$C$35+1),0)+IF(AND(Projects!$G$36="Yes",Projects!$M$36="Yes",66&gt;=Projects!$C$36,66&lt;Projects!$C$36+Projects!$D$36),Projects!$B$36*INDEX(Curves!$B$4:$AR$4,1,66-Projects!$C$36+1),0)+IF(AND(Projects!$G$37="Yes",Projects!$M$37="Yes",66&gt;=Projects!$C$37,66&lt;Projects!$C$37+Projects!$D$37),Projects!$B$37*INDEX(Curves!$B$4:$AR$4,1,66-Projects!$C$37+1),0)+IF(AND(Projects!$G$38="Yes",Projects!$M$38="Yes",66&gt;=Projects!$C$38,66&lt;Projects!$C$38+Projects!$D$38),Projects!$B$38*INDEX(Curves!$B$4:$AR$4,1,66-Projects!$C$38+1),0)+IF(AND(Projects!$G$39="Yes",Projects!$M$39="Yes",66&gt;=Projects!$C$39,66&lt;Projects!$C$39+Projects!$D$39),Projects!$B$39*INDEX(Curves!$B$4:$AR$4,1,66-Projects!$C$39+1),0)+IF(AND(Projects!$G$40="Yes",Projects!$M$40="Yes",66&gt;=Projects!$C$40,66&lt;Projects!$C$40+Projects!$D$40),Projects!$B$40*INDEX(Curves!$B$4:$AR$4,1,66-Projects!$C$40+1),0)+IF(AND(Projects!$G$41="Yes",Projects!$M$41="Yes",66&gt;=Projects!$C$41,66&lt;Projects!$C$41+Projects!$D$41),Projects!$B$41*INDEX(Curves!$B$4:$AR$4,1,66-Projects!$C$41+1),0)+IF(AND(Projects!$G$42="Yes",Projects!$M$42="Yes",66&gt;=Projects!$C$42,66&lt;Projects!$C$42+Projects!$D$42),Projects!$B$42*INDEX(Curves!$B$4:$AR$4,1,66-Projects!$C$42+1),0)+IF(AND(Projects!$G$43="Yes",Projects!$M$43="Yes",66&gt;=Projects!$C$43,66&lt;Projects!$C$43+Projects!$D$43),Projects!$B$43*INDEX(Curves!$B$4:$AR$4,1,66-Projects!$C$43+1),0)+IF(AND(Projects!$G$44="Yes",Projects!$M$44="Yes",66&gt;=Projects!$C$44,66&lt;Projects!$C$44+Projects!$D$44),Projects!$B$44*INDEX(Curves!$B$4:$AR$4,1,66-Projects!$C$44+1),0)+IF(AND(Projects!$G$45="Yes",Projects!$M$45="Yes",66&gt;=Projects!$C$45,66&lt;Projects!$C$45+Projects!$D$45),Projects!$B$45*INDEX(Curves!$B$4:$AR$4,1,66-Projects!$C$45+1),0)+IF(AND(Projects!$G$46="Yes",Projects!$M$46="Yes",66&gt;=Projects!$C$46,66&lt;Projects!$C$46+Projects!$D$46),Projects!$B$46*INDEX(Curves!$B$4:$AR$4,1,66-Projects!$C$46+1),0)</f>
        <v>0</v>
      </c>
      <c r="BT101" s="317" t="n">
        <f aca="false">IF(AND(Projects!$G$17="Yes",Projects!$M$17="Yes",67&gt;=Projects!$C$17,67&lt;Projects!$C$17+Projects!$D$17),Projects!$B$17*INDEX(Curves!$B$4:$AR$4,1,67-Projects!$C$17+1),0)+IF(AND(Projects!$G$18="Yes",Projects!$M$18="Yes",67&gt;=Projects!$C$18,67&lt;Projects!$C$18+Projects!$D$18),Projects!$B$18*INDEX(Curves!$B$4:$AR$4,1,67-Projects!$C$18+1),0)+IF(AND(Projects!$G$19="Yes",Projects!$M$19="Yes",67&gt;=Projects!$C$19,67&lt;Projects!$C$19+Projects!$D$19),Projects!$B$19*INDEX(Curves!$B$4:$AR$4,1,67-Projects!$C$19+1),0)+IF(AND(Projects!$G$20="Yes",Projects!$M$20="Yes",67&gt;=Projects!$C$20,67&lt;Projects!$C$20+Projects!$D$20),Projects!$B$20*INDEX(Curves!$B$4:$AR$4,1,67-Projects!$C$20+1),0)+IF(AND(Projects!$G$21="Yes",Projects!$M$21="Yes",67&gt;=Projects!$C$21,67&lt;Projects!$C$21+Projects!$D$21),Projects!$B$21*INDEX(Curves!$B$4:$AR$4,1,67-Projects!$C$21+1),0)+IF(AND(Projects!$G$22="Yes",Projects!$M$22="Yes",67&gt;=Projects!$C$22,67&lt;Projects!$C$22+Projects!$D$22),Projects!$B$22*INDEX(Curves!$B$4:$AR$4,1,67-Projects!$C$22+1),0)+IF(AND(Projects!$G$23="Yes",Projects!$M$23="Yes",67&gt;=Projects!$C$23,67&lt;Projects!$C$23+Projects!$D$23),Projects!$B$23*INDEX(Curves!$B$4:$AR$4,1,67-Projects!$C$23+1),0)+IF(AND(Projects!$G$24="Yes",Projects!$M$24="Yes",67&gt;=Projects!$C$24,67&lt;Projects!$C$24+Projects!$D$24),Projects!$B$24*INDEX(Curves!$B$4:$AR$4,1,67-Projects!$C$24+1),0)+IF(AND(Projects!$G$25="Yes",Projects!$M$25="Yes",67&gt;=Projects!$C$25,67&lt;Projects!$C$25+Projects!$D$25),Projects!$B$25*INDEX(Curves!$B$4:$AR$4,1,67-Projects!$C$25+1),0)+IF(AND(Projects!$G$26="Yes",Projects!$M$26="Yes",67&gt;=Projects!$C$26,67&lt;Projects!$C$26+Projects!$D$26),Projects!$B$26*INDEX(Curves!$B$4:$AR$4,1,67-Projects!$C$26+1),0)+IF(AND(Projects!$G$27="Yes",Projects!$M$27="Yes",67&gt;=Projects!$C$27,67&lt;Projects!$C$27+Projects!$D$27),Projects!$B$27*INDEX(Curves!$B$4:$AR$4,1,67-Projects!$C$27+1),0)+IF(AND(Projects!$G$28="Yes",Projects!$M$28="Yes",67&gt;=Projects!$C$28,67&lt;Projects!$C$28+Projects!$D$28),Projects!$B$28*INDEX(Curves!$B$4:$AR$4,1,67-Projects!$C$28+1),0)+IF(AND(Projects!$G$29="Yes",Projects!$M$29="Yes",67&gt;=Projects!$C$29,67&lt;Projects!$C$29+Projects!$D$29),Projects!$B$29*INDEX(Curves!$B$4:$AR$4,1,67-Projects!$C$29+1),0)+IF(AND(Projects!$G$30="Yes",Projects!$M$30="Yes",67&gt;=Projects!$C$30,67&lt;Projects!$C$30+Projects!$D$30),Projects!$B$30*INDEX(Curves!$B$4:$AR$4,1,67-Projects!$C$30+1),0)+IF(AND(Projects!$G$31="Yes",Projects!$M$31="Yes",67&gt;=Projects!$C$31,67&lt;Projects!$C$31+Projects!$D$31),Projects!$B$31*INDEX(Curves!$B$4:$AR$4,1,67-Projects!$C$31+1),0)+IF(AND(Projects!$G$32="Yes",Projects!$M$32="Yes",67&gt;=Projects!$C$32,67&lt;Projects!$C$32+Projects!$D$32),Projects!$B$32*INDEX(Curves!$B$4:$AR$4,1,67-Projects!$C$32+1),0)+IF(AND(Projects!$G$33="Yes",Projects!$M$33="Yes",67&gt;=Projects!$C$33,67&lt;Projects!$C$33+Projects!$D$33),Projects!$B$33*INDEX(Curves!$B$4:$AR$4,1,67-Projects!$C$33+1),0)+IF(AND(Projects!$G$34="Yes",Projects!$M$34="Yes",67&gt;=Projects!$C$34,67&lt;Projects!$C$34+Projects!$D$34),Projects!$B$34*INDEX(Curves!$B$4:$AR$4,1,67-Projects!$C$34+1),0)+IF(AND(Projects!$G$35="Yes",Projects!$M$35="Yes",67&gt;=Projects!$C$35,67&lt;Projects!$C$35+Projects!$D$35),Projects!$B$35*INDEX(Curves!$B$4:$AR$4,1,67-Projects!$C$35+1),0)+IF(AND(Projects!$G$36="Yes",Projects!$M$36="Yes",67&gt;=Projects!$C$36,67&lt;Projects!$C$36+Projects!$D$36),Projects!$B$36*INDEX(Curves!$B$4:$AR$4,1,67-Projects!$C$36+1),0)+IF(AND(Projects!$G$37="Yes",Projects!$M$37="Yes",67&gt;=Projects!$C$37,67&lt;Projects!$C$37+Projects!$D$37),Projects!$B$37*INDEX(Curves!$B$4:$AR$4,1,67-Projects!$C$37+1),0)+IF(AND(Projects!$G$38="Yes",Projects!$M$38="Yes",67&gt;=Projects!$C$38,67&lt;Projects!$C$38+Projects!$D$38),Projects!$B$38*INDEX(Curves!$B$4:$AR$4,1,67-Projects!$C$38+1),0)+IF(AND(Projects!$G$39="Yes",Projects!$M$39="Yes",67&gt;=Projects!$C$39,67&lt;Projects!$C$39+Projects!$D$39),Projects!$B$39*INDEX(Curves!$B$4:$AR$4,1,67-Projects!$C$39+1),0)+IF(AND(Projects!$G$40="Yes",Projects!$M$40="Yes",67&gt;=Projects!$C$40,67&lt;Projects!$C$40+Projects!$D$40),Projects!$B$40*INDEX(Curves!$B$4:$AR$4,1,67-Projects!$C$40+1),0)+IF(AND(Projects!$G$41="Yes",Projects!$M$41="Yes",67&gt;=Projects!$C$41,67&lt;Projects!$C$41+Projects!$D$41),Projects!$B$41*INDEX(Curves!$B$4:$AR$4,1,67-Projects!$C$41+1),0)+IF(AND(Projects!$G$42="Yes",Projects!$M$42="Yes",67&gt;=Projects!$C$42,67&lt;Projects!$C$42+Projects!$D$42),Projects!$B$42*INDEX(Curves!$B$4:$AR$4,1,67-Projects!$C$42+1),0)+IF(AND(Projects!$G$43="Yes",Projects!$M$43="Yes",67&gt;=Projects!$C$43,67&lt;Projects!$C$43+Projects!$D$43),Projects!$B$43*INDEX(Curves!$B$4:$AR$4,1,67-Projects!$C$43+1),0)+IF(AND(Projects!$G$44="Yes",Projects!$M$44="Yes",67&gt;=Projects!$C$44,67&lt;Projects!$C$44+Projects!$D$44),Projects!$B$44*INDEX(Curves!$B$4:$AR$4,1,67-Projects!$C$44+1),0)+IF(AND(Projects!$G$45="Yes",Projects!$M$45="Yes",67&gt;=Projects!$C$45,67&lt;Projects!$C$45+Projects!$D$45),Projects!$B$45*INDEX(Curves!$B$4:$AR$4,1,67-Projects!$C$45+1),0)+IF(AND(Projects!$G$46="Yes",Projects!$M$46="Yes",67&gt;=Projects!$C$46,67&lt;Projects!$C$46+Projects!$D$46),Projects!$B$46*INDEX(Curves!$B$4:$AR$4,1,67-Projects!$C$46+1),0)</f>
        <v>0</v>
      </c>
      <c r="BU101" s="317" t="n">
        <f aca="false">IF(AND(Projects!$G$17="Yes",Projects!$M$17="Yes",68&gt;=Projects!$C$17,68&lt;Projects!$C$17+Projects!$D$17),Projects!$B$17*INDEX(Curves!$B$4:$AR$4,1,68-Projects!$C$17+1),0)+IF(AND(Projects!$G$18="Yes",Projects!$M$18="Yes",68&gt;=Projects!$C$18,68&lt;Projects!$C$18+Projects!$D$18),Projects!$B$18*INDEX(Curves!$B$4:$AR$4,1,68-Projects!$C$18+1),0)+IF(AND(Projects!$G$19="Yes",Projects!$M$19="Yes",68&gt;=Projects!$C$19,68&lt;Projects!$C$19+Projects!$D$19),Projects!$B$19*INDEX(Curves!$B$4:$AR$4,1,68-Projects!$C$19+1),0)+IF(AND(Projects!$G$20="Yes",Projects!$M$20="Yes",68&gt;=Projects!$C$20,68&lt;Projects!$C$20+Projects!$D$20),Projects!$B$20*INDEX(Curves!$B$4:$AR$4,1,68-Projects!$C$20+1),0)+IF(AND(Projects!$G$21="Yes",Projects!$M$21="Yes",68&gt;=Projects!$C$21,68&lt;Projects!$C$21+Projects!$D$21),Projects!$B$21*INDEX(Curves!$B$4:$AR$4,1,68-Projects!$C$21+1),0)+IF(AND(Projects!$G$22="Yes",Projects!$M$22="Yes",68&gt;=Projects!$C$22,68&lt;Projects!$C$22+Projects!$D$22),Projects!$B$22*INDEX(Curves!$B$4:$AR$4,1,68-Projects!$C$22+1),0)+IF(AND(Projects!$G$23="Yes",Projects!$M$23="Yes",68&gt;=Projects!$C$23,68&lt;Projects!$C$23+Projects!$D$23),Projects!$B$23*INDEX(Curves!$B$4:$AR$4,1,68-Projects!$C$23+1),0)+IF(AND(Projects!$G$24="Yes",Projects!$M$24="Yes",68&gt;=Projects!$C$24,68&lt;Projects!$C$24+Projects!$D$24),Projects!$B$24*INDEX(Curves!$B$4:$AR$4,1,68-Projects!$C$24+1),0)+IF(AND(Projects!$G$25="Yes",Projects!$M$25="Yes",68&gt;=Projects!$C$25,68&lt;Projects!$C$25+Projects!$D$25),Projects!$B$25*INDEX(Curves!$B$4:$AR$4,1,68-Projects!$C$25+1),0)+IF(AND(Projects!$G$26="Yes",Projects!$M$26="Yes",68&gt;=Projects!$C$26,68&lt;Projects!$C$26+Projects!$D$26),Projects!$B$26*INDEX(Curves!$B$4:$AR$4,1,68-Projects!$C$26+1),0)+IF(AND(Projects!$G$27="Yes",Projects!$M$27="Yes",68&gt;=Projects!$C$27,68&lt;Projects!$C$27+Projects!$D$27),Projects!$B$27*INDEX(Curves!$B$4:$AR$4,1,68-Projects!$C$27+1),0)+IF(AND(Projects!$G$28="Yes",Projects!$M$28="Yes",68&gt;=Projects!$C$28,68&lt;Projects!$C$28+Projects!$D$28),Projects!$B$28*INDEX(Curves!$B$4:$AR$4,1,68-Projects!$C$28+1),0)+IF(AND(Projects!$G$29="Yes",Projects!$M$29="Yes",68&gt;=Projects!$C$29,68&lt;Projects!$C$29+Projects!$D$29),Projects!$B$29*INDEX(Curves!$B$4:$AR$4,1,68-Projects!$C$29+1),0)+IF(AND(Projects!$G$30="Yes",Projects!$M$30="Yes",68&gt;=Projects!$C$30,68&lt;Projects!$C$30+Projects!$D$30),Projects!$B$30*INDEX(Curves!$B$4:$AR$4,1,68-Projects!$C$30+1),0)+IF(AND(Projects!$G$31="Yes",Projects!$M$31="Yes",68&gt;=Projects!$C$31,68&lt;Projects!$C$31+Projects!$D$31),Projects!$B$31*INDEX(Curves!$B$4:$AR$4,1,68-Projects!$C$31+1),0)+IF(AND(Projects!$G$32="Yes",Projects!$M$32="Yes",68&gt;=Projects!$C$32,68&lt;Projects!$C$32+Projects!$D$32),Projects!$B$32*INDEX(Curves!$B$4:$AR$4,1,68-Projects!$C$32+1),0)+IF(AND(Projects!$G$33="Yes",Projects!$M$33="Yes",68&gt;=Projects!$C$33,68&lt;Projects!$C$33+Projects!$D$33),Projects!$B$33*INDEX(Curves!$B$4:$AR$4,1,68-Projects!$C$33+1),0)+IF(AND(Projects!$G$34="Yes",Projects!$M$34="Yes",68&gt;=Projects!$C$34,68&lt;Projects!$C$34+Projects!$D$34),Projects!$B$34*INDEX(Curves!$B$4:$AR$4,1,68-Projects!$C$34+1),0)+IF(AND(Projects!$G$35="Yes",Projects!$M$35="Yes",68&gt;=Projects!$C$35,68&lt;Projects!$C$35+Projects!$D$35),Projects!$B$35*INDEX(Curves!$B$4:$AR$4,1,68-Projects!$C$35+1),0)+IF(AND(Projects!$G$36="Yes",Projects!$M$36="Yes",68&gt;=Projects!$C$36,68&lt;Projects!$C$36+Projects!$D$36),Projects!$B$36*INDEX(Curves!$B$4:$AR$4,1,68-Projects!$C$36+1),0)+IF(AND(Projects!$G$37="Yes",Projects!$M$37="Yes",68&gt;=Projects!$C$37,68&lt;Projects!$C$37+Projects!$D$37),Projects!$B$37*INDEX(Curves!$B$4:$AR$4,1,68-Projects!$C$37+1),0)+IF(AND(Projects!$G$38="Yes",Projects!$M$38="Yes",68&gt;=Projects!$C$38,68&lt;Projects!$C$38+Projects!$D$38),Projects!$B$38*INDEX(Curves!$B$4:$AR$4,1,68-Projects!$C$38+1),0)+IF(AND(Projects!$G$39="Yes",Projects!$M$39="Yes",68&gt;=Projects!$C$39,68&lt;Projects!$C$39+Projects!$D$39),Projects!$B$39*INDEX(Curves!$B$4:$AR$4,1,68-Projects!$C$39+1),0)+IF(AND(Projects!$G$40="Yes",Projects!$M$40="Yes",68&gt;=Projects!$C$40,68&lt;Projects!$C$40+Projects!$D$40),Projects!$B$40*INDEX(Curves!$B$4:$AR$4,1,68-Projects!$C$40+1),0)+IF(AND(Projects!$G$41="Yes",Projects!$M$41="Yes",68&gt;=Projects!$C$41,68&lt;Projects!$C$41+Projects!$D$41),Projects!$B$41*INDEX(Curves!$B$4:$AR$4,1,68-Projects!$C$41+1),0)+IF(AND(Projects!$G$42="Yes",Projects!$M$42="Yes",68&gt;=Projects!$C$42,68&lt;Projects!$C$42+Projects!$D$42),Projects!$B$42*INDEX(Curves!$B$4:$AR$4,1,68-Projects!$C$42+1),0)+IF(AND(Projects!$G$43="Yes",Projects!$M$43="Yes",68&gt;=Projects!$C$43,68&lt;Projects!$C$43+Projects!$D$43),Projects!$B$43*INDEX(Curves!$B$4:$AR$4,1,68-Projects!$C$43+1),0)+IF(AND(Projects!$G$44="Yes",Projects!$M$44="Yes",68&gt;=Projects!$C$44,68&lt;Projects!$C$44+Projects!$D$44),Projects!$B$44*INDEX(Curves!$B$4:$AR$4,1,68-Projects!$C$44+1),0)+IF(AND(Projects!$G$45="Yes",Projects!$M$45="Yes",68&gt;=Projects!$C$45,68&lt;Projects!$C$45+Projects!$D$45),Projects!$B$45*INDEX(Curves!$B$4:$AR$4,1,68-Projects!$C$45+1),0)+IF(AND(Projects!$G$46="Yes",Projects!$M$46="Yes",68&gt;=Projects!$C$46,68&lt;Projects!$C$46+Projects!$D$46),Projects!$B$46*INDEX(Curves!$B$4:$AR$4,1,68-Projects!$C$46+1),0)</f>
        <v>0</v>
      </c>
      <c r="BV101" s="317" t="n">
        <f aca="false">IF(AND(Projects!$G$17="Yes",Projects!$M$17="Yes",69&gt;=Projects!$C$17,69&lt;Projects!$C$17+Projects!$D$17),Projects!$B$17*INDEX(Curves!$B$4:$AR$4,1,69-Projects!$C$17+1),0)+IF(AND(Projects!$G$18="Yes",Projects!$M$18="Yes",69&gt;=Projects!$C$18,69&lt;Projects!$C$18+Projects!$D$18),Projects!$B$18*INDEX(Curves!$B$4:$AR$4,1,69-Projects!$C$18+1),0)+IF(AND(Projects!$G$19="Yes",Projects!$M$19="Yes",69&gt;=Projects!$C$19,69&lt;Projects!$C$19+Projects!$D$19),Projects!$B$19*INDEX(Curves!$B$4:$AR$4,1,69-Projects!$C$19+1),0)+IF(AND(Projects!$G$20="Yes",Projects!$M$20="Yes",69&gt;=Projects!$C$20,69&lt;Projects!$C$20+Projects!$D$20),Projects!$B$20*INDEX(Curves!$B$4:$AR$4,1,69-Projects!$C$20+1),0)+IF(AND(Projects!$G$21="Yes",Projects!$M$21="Yes",69&gt;=Projects!$C$21,69&lt;Projects!$C$21+Projects!$D$21),Projects!$B$21*INDEX(Curves!$B$4:$AR$4,1,69-Projects!$C$21+1),0)+IF(AND(Projects!$G$22="Yes",Projects!$M$22="Yes",69&gt;=Projects!$C$22,69&lt;Projects!$C$22+Projects!$D$22),Projects!$B$22*INDEX(Curves!$B$4:$AR$4,1,69-Projects!$C$22+1),0)+IF(AND(Projects!$G$23="Yes",Projects!$M$23="Yes",69&gt;=Projects!$C$23,69&lt;Projects!$C$23+Projects!$D$23),Projects!$B$23*INDEX(Curves!$B$4:$AR$4,1,69-Projects!$C$23+1),0)+IF(AND(Projects!$G$24="Yes",Projects!$M$24="Yes",69&gt;=Projects!$C$24,69&lt;Projects!$C$24+Projects!$D$24),Projects!$B$24*INDEX(Curves!$B$4:$AR$4,1,69-Projects!$C$24+1),0)+IF(AND(Projects!$G$25="Yes",Projects!$M$25="Yes",69&gt;=Projects!$C$25,69&lt;Projects!$C$25+Projects!$D$25),Projects!$B$25*INDEX(Curves!$B$4:$AR$4,1,69-Projects!$C$25+1),0)+IF(AND(Projects!$G$26="Yes",Projects!$M$26="Yes",69&gt;=Projects!$C$26,69&lt;Projects!$C$26+Projects!$D$26),Projects!$B$26*INDEX(Curves!$B$4:$AR$4,1,69-Projects!$C$26+1),0)+IF(AND(Projects!$G$27="Yes",Projects!$M$27="Yes",69&gt;=Projects!$C$27,69&lt;Projects!$C$27+Projects!$D$27),Projects!$B$27*INDEX(Curves!$B$4:$AR$4,1,69-Projects!$C$27+1),0)+IF(AND(Projects!$G$28="Yes",Projects!$M$28="Yes",69&gt;=Projects!$C$28,69&lt;Projects!$C$28+Projects!$D$28),Projects!$B$28*INDEX(Curves!$B$4:$AR$4,1,69-Projects!$C$28+1),0)+IF(AND(Projects!$G$29="Yes",Projects!$M$29="Yes",69&gt;=Projects!$C$29,69&lt;Projects!$C$29+Projects!$D$29),Projects!$B$29*INDEX(Curves!$B$4:$AR$4,1,69-Projects!$C$29+1),0)+IF(AND(Projects!$G$30="Yes",Projects!$M$30="Yes",69&gt;=Projects!$C$30,69&lt;Projects!$C$30+Projects!$D$30),Projects!$B$30*INDEX(Curves!$B$4:$AR$4,1,69-Projects!$C$30+1),0)+IF(AND(Projects!$G$31="Yes",Projects!$M$31="Yes",69&gt;=Projects!$C$31,69&lt;Projects!$C$31+Projects!$D$31),Projects!$B$31*INDEX(Curves!$B$4:$AR$4,1,69-Projects!$C$31+1),0)+IF(AND(Projects!$G$32="Yes",Projects!$M$32="Yes",69&gt;=Projects!$C$32,69&lt;Projects!$C$32+Projects!$D$32),Projects!$B$32*INDEX(Curves!$B$4:$AR$4,1,69-Projects!$C$32+1),0)+IF(AND(Projects!$G$33="Yes",Projects!$M$33="Yes",69&gt;=Projects!$C$33,69&lt;Projects!$C$33+Projects!$D$33),Projects!$B$33*INDEX(Curves!$B$4:$AR$4,1,69-Projects!$C$33+1),0)+IF(AND(Projects!$G$34="Yes",Projects!$M$34="Yes",69&gt;=Projects!$C$34,69&lt;Projects!$C$34+Projects!$D$34),Projects!$B$34*INDEX(Curves!$B$4:$AR$4,1,69-Projects!$C$34+1),0)+IF(AND(Projects!$G$35="Yes",Projects!$M$35="Yes",69&gt;=Projects!$C$35,69&lt;Projects!$C$35+Projects!$D$35),Projects!$B$35*INDEX(Curves!$B$4:$AR$4,1,69-Projects!$C$35+1),0)+IF(AND(Projects!$G$36="Yes",Projects!$M$36="Yes",69&gt;=Projects!$C$36,69&lt;Projects!$C$36+Projects!$D$36),Projects!$B$36*INDEX(Curves!$B$4:$AR$4,1,69-Projects!$C$36+1),0)+IF(AND(Projects!$G$37="Yes",Projects!$M$37="Yes",69&gt;=Projects!$C$37,69&lt;Projects!$C$37+Projects!$D$37),Projects!$B$37*INDEX(Curves!$B$4:$AR$4,1,69-Projects!$C$37+1),0)+IF(AND(Projects!$G$38="Yes",Projects!$M$38="Yes",69&gt;=Projects!$C$38,69&lt;Projects!$C$38+Projects!$D$38),Projects!$B$38*INDEX(Curves!$B$4:$AR$4,1,69-Projects!$C$38+1),0)+IF(AND(Projects!$G$39="Yes",Projects!$M$39="Yes",69&gt;=Projects!$C$39,69&lt;Projects!$C$39+Projects!$D$39),Projects!$B$39*INDEX(Curves!$B$4:$AR$4,1,69-Projects!$C$39+1),0)+IF(AND(Projects!$G$40="Yes",Projects!$M$40="Yes",69&gt;=Projects!$C$40,69&lt;Projects!$C$40+Projects!$D$40),Projects!$B$40*INDEX(Curves!$B$4:$AR$4,1,69-Projects!$C$40+1),0)+IF(AND(Projects!$G$41="Yes",Projects!$M$41="Yes",69&gt;=Projects!$C$41,69&lt;Projects!$C$41+Projects!$D$41),Projects!$B$41*INDEX(Curves!$B$4:$AR$4,1,69-Projects!$C$41+1),0)+IF(AND(Projects!$G$42="Yes",Projects!$M$42="Yes",69&gt;=Projects!$C$42,69&lt;Projects!$C$42+Projects!$D$42),Projects!$B$42*INDEX(Curves!$B$4:$AR$4,1,69-Projects!$C$42+1),0)+IF(AND(Projects!$G$43="Yes",Projects!$M$43="Yes",69&gt;=Projects!$C$43,69&lt;Projects!$C$43+Projects!$D$43),Projects!$B$43*INDEX(Curves!$B$4:$AR$4,1,69-Projects!$C$43+1),0)+IF(AND(Projects!$G$44="Yes",Projects!$M$44="Yes",69&gt;=Projects!$C$44,69&lt;Projects!$C$44+Projects!$D$44),Projects!$B$44*INDEX(Curves!$B$4:$AR$4,1,69-Projects!$C$44+1),0)+IF(AND(Projects!$G$45="Yes",Projects!$M$45="Yes",69&gt;=Projects!$C$45,69&lt;Projects!$C$45+Projects!$D$45),Projects!$B$45*INDEX(Curves!$B$4:$AR$4,1,69-Projects!$C$45+1),0)+IF(AND(Projects!$G$46="Yes",Projects!$M$46="Yes",69&gt;=Projects!$C$46,69&lt;Projects!$C$46+Projects!$D$46),Projects!$B$46*INDEX(Curves!$B$4:$AR$4,1,69-Projects!$C$46+1),0)</f>
        <v>0</v>
      </c>
      <c r="BW101" s="317" t="n">
        <f aca="false">IF(AND(Projects!$G$17="Yes",Projects!$M$17="Yes",70&gt;=Projects!$C$17,70&lt;Projects!$C$17+Projects!$D$17),Projects!$B$17*INDEX(Curves!$B$4:$AR$4,1,70-Projects!$C$17+1),0)+IF(AND(Projects!$G$18="Yes",Projects!$M$18="Yes",70&gt;=Projects!$C$18,70&lt;Projects!$C$18+Projects!$D$18),Projects!$B$18*INDEX(Curves!$B$4:$AR$4,1,70-Projects!$C$18+1),0)+IF(AND(Projects!$G$19="Yes",Projects!$M$19="Yes",70&gt;=Projects!$C$19,70&lt;Projects!$C$19+Projects!$D$19),Projects!$B$19*INDEX(Curves!$B$4:$AR$4,1,70-Projects!$C$19+1),0)+IF(AND(Projects!$G$20="Yes",Projects!$M$20="Yes",70&gt;=Projects!$C$20,70&lt;Projects!$C$20+Projects!$D$20),Projects!$B$20*INDEX(Curves!$B$4:$AR$4,1,70-Projects!$C$20+1),0)+IF(AND(Projects!$G$21="Yes",Projects!$M$21="Yes",70&gt;=Projects!$C$21,70&lt;Projects!$C$21+Projects!$D$21),Projects!$B$21*INDEX(Curves!$B$4:$AR$4,1,70-Projects!$C$21+1),0)+IF(AND(Projects!$G$22="Yes",Projects!$M$22="Yes",70&gt;=Projects!$C$22,70&lt;Projects!$C$22+Projects!$D$22),Projects!$B$22*INDEX(Curves!$B$4:$AR$4,1,70-Projects!$C$22+1),0)+IF(AND(Projects!$G$23="Yes",Projects!$M$23="Yes",70&gt;=Projects!$C$23,70&lt;Projects!$C$23+Projects!$D$23),Projects!$B$23*INDEX(Curves!$B$4:$AR$4,1,70-Projects!$C$23+1),0)+IF(AND(Projects!$G$24="Yes",Projects!$M$24="Yes",70&gt;=Projects!$C$24,70&lt;Projects!$C$24+Projects!$D$24),Projects!$B$24*INDEX(Curves!$B$4:$AR$4,1,70-Projects!$C$24+1),0)+IF(AND(Projects!$G$25="Yes",Projects!$M$25="Yes",70&gt;=Projects!$C$25,70&lt;Projects!$C$25+Projects!$D$25),Projects!$B$25*INDEX(Curves!$B$4:$AR$4,1,70-Projects!$C$25+1),0)+IF(AND(Projects!$G$26="Yes",Projects!$M$26="Yes",70&gt;=Projects!$C$26,70&lt;Projects!$C$26+Projects!$D$26),Projects!$B$26*INDEX(Curves!$B$4:$AR$4,1,70-Projects!$C$26+1),0)+IF(AND(Projects!$G$27="Yes",Projects!$M$27="Yes",70&gt;=Projects!$C$27,70&lt;Projects!$C$27+Projects!$D$27),Projects!$B$27*INDEX(Curves!$B$4:$AR$4,1,70-Projects!$C$27+1),0)+IF(AND(Projects!$G$28="Yes",Projects!$M$28="Yes",70&gt;=Projects!$C$28,70&lt;Projects!$C$28+Projects!$D$28),Projects!$B$28*INDEX(Curves!$B$4:$AR$4,1,70-Projects!$C$28+1),0)+IF(AND(Projects!$G$29="Yes",Projects!$M$29="Yes",70&gt;=Projects!$C$29,70&lt;Projects!$C$29+Projects!$D$29),Projects!$B$29*INDEX(Curves!$B$4:$AR$4,1,70-Projects!$C$29+1),0)+IF(AND(Projects!$G$30="Yes",Projects!$M$30="Yes",70&gt;=Projects!$C$30,70&lt;Projects!$C$30+Projects!$D$30),Projects!$B$30*INDEX(Curves!$B$4:$AR$4,1,70-Projects!$C$30+1),0)+IF(AND(Projects!$G$31="Yes",Projects!$M$31="Yes",70&gt;=Projects!$C$31,70&lt;Projects!$C$31+Projects!$D$31),Projects!$B$31*INDEX(Curves!$B$4:$AR$4,1,70-Projects!$C$31+1),0)+IF(AND(Projects!$G$32="Yes",Projects!$M$32="Yes",70&gt;=Projects!$C$32,70&lt;Projects!$C$32+Projects!$D$32),Projects!$B$32*INDEX(Curves!$B$4:$AR$4,1,70-Projects!$C$32+1),0)+IF(AND(Projects!$G$33="Yes",Projects!$M$33="Yes",70&gt;=Projects!$C$33,70&lt;Projects!$C$33+Projects!$D$33),Projects!$B$33*INDEX(Curves!$B$4:$AR$4,1,70-Projects!$C$33+1),0)+IF(AND(Projects!$G$34="Yes",Projects!$M$34="Yes",70&gt;=Projects!$C$34,70&lt;Projects!$C$34+Projects!$D$34),Projects!$B$34*INDEX(Curves!$B$4:$AR$4,1,70-Projects!$C$34+1),0)+IF(AND(Projects!$G$35="Yes",Projects!$M$35="Yes",70&gt;=Projects!$C$35,70&lt;Projects!$C$35+Projects!$D$35),Projects!$B$35*INDEX(Curves!$B$4:$AR$4,1,70-Projects!$C$35+1),0)+IF(AND(Projects!$G$36="Yes",Projects!$M$36="Yes",70&gt;=Projects!$C$36,70&lt;Projects!$C$36+Projects!$D$36),Projects!$B$36*INDEX(Curves!$B$4:$AR$4,1,70-Projects!$C$36+1),0)+IF(AND(Projects!$G$37="Yes",Projects!$M$37="Yes",70&gt;=Projects!$C$37,70&lt;Projects!$C$37+Projects!$D$37),Projects!$B$37*INDEX(Curves!$B$4:$AR$4,1,70-Projects!$C$37+1),0)+IF(AND(Projects!$G$38="Yes",Projects!$M$38="Yes",70&gt;=Projects!$C$38,70&lt;Projects!$C$38+Projects!$D$38),Projects!$B$38*INDEX(Curves!$B$4:$AR$4,1,70-Projects!$C$38+1),0)+IF(AND(Projects!$G$39="Yes",Projects!$M$39="Yes",70&gt;=Projects!$C$39,70&lt;Projects!$C$39+Projects!$D$39),Projects!$B$39*INDEX(Curves!$B$4:$AR$4,1,70-Projects!$C$39+1),0)+IF(AND(Projects!$G$40="Yes",Projects!$M$40="Yes",70&gt;=Projects!$C$40,70&lt;Projects!$C$40+Projects!$D$40),Projects!$B$40*INDEX(Curves!$B$4:$AR$4,1,70-Projects!$C$40+1),0)+IF(AND(Projects!$G$41="Yes",Projects!$M$41="Yes",70&gt;=Projects!$C$41,70&lt;Projects!$C$41+Projects!$D$41),Projects!$B$41*INDEX(Curves!$B$4:$AR$4,1,70-Projects!$C$41+1),0)+IF(AND(Projects!$G$42="Yes",Projects!$M$42="Yes",70&gt;=Projects!$C$42,70&lt;Projects!$C$42+Projects!$D$42),Projects!$B$42*INDEX(Curves!$B$4:$AR$4,1,70-Projects!$C$42+1),0)+IF(AND(Projects!$G$43="Yes",Projects!$M$43="Yes",70&gt;=Projects!$C$43,70&lt;Projects!$C$43+Projects!$D$43),Projects!$B$43*INDEX(Curves!$B$4:$AR$4,1,70-Projects!$C$43+1),0)+IF(AND(Projects!$G$44="Yes",Projects!$M$44="Yes",70&gt;=Projects!$C$44,70&lt;Projects!$C$44+Projects!$D$44),Projects!$B$44*INDEX(Curves!$B$4:$AR$4,1,70-Projects!$C$44+1),0)+IF(AND(Projects!$G$45="Yes",Projects!$M$45="Yes",70&gt;=Projects!$C$45,70&lt;Projects!$C$45+Projects!$D$45),Projects!$B$45*INDEX(Curves!$B$4:$AR$4,1,70-Projects!$C$45+1),0)+IF(AND(Projects!$G$46="Yes",Projects!$M$46="Yes",70&gt;=Projects!$C$46,70&lt;Projects!$C$46+Projects!$D$46),Projects!$B$46*INDEX(Curves!$B$4:$AR$4,1,70-Projects!$C$46+1),0)</f>
        <v>0</v>
      </c>
      <c r="BX101" s="317" t="n">
        <f aca="false">IF(AND(Projects!$G$17="Yes",Projects!$M$17="Yes",71&gt;=Projects!$C$17,71&lt;Projects!$C$17+Projects!$D$17),Projects!$B$17*INDEX(Curves!$B$4:$AR$4,1,71-Projects!$C$17+1),0)+IF(AND(Projects!$G$18="Yes",Projects!$M$18="Yes",71&gt;=Projects!$C$18,71&lt;Projects!$C$18+Projects!$D$18),Projects!$B$18*INDEX(Curves!$B$4:$AR$4,1,71-Projects!$C$18+1),0)+IF(AND(Projects!$G$19="Yes",Projects!$M$19="Yes",71&gt;=Projects!$C$19,71&lt;Projects!$C$19+Projects!$D$19),Projects!$B$19*INDEX(Curves!$B$4:$AR$4,1,71-Projects!$C$19+1),0)+IF(AND(Projects!$G$20="Yes",Projects!$M$20="Yes",71&gt;=Projects!$C$20,71&lt;Projects!$C$20+Projects!$D$20),Projects!$B$20*INDEX(Curves!$B$4:$AR$4,1,71-Projects!$C$20+1),0)+IF(AND(Projects!$G$21="Yes",Projects!$M$21="Yes",71&gt;=Projects!$C$21,71&lt;Projects!$C$21+Projects!$D$21),Projects!$B$21*INDEX(Curves!$B$4:$AR$4,1,71-Projects!$C$21+1),0)+IF(AND(Projects!$G$22="Yes",Projects!$M$22="Yes",71&gt;=Projects!$C$22,71&lt;Projects!$C$22+Projects!$D$22),Projects!$B$22*INDEX(Curves!$B$4:$AR$4,1,71-Projects!$C$22+1),0)+IF(AND(Projects!$G$23="Yes",Projects!$M$23="Yes",71&gt;=Projects!$C$23,71&lt;Projects!$C$23+Projects!$D$23),Projects!$B$23*INDEX(Curves!$B$4:$AR$4,1,71-Projects!$C$23+1),0)+IF(AND(Projects!$G$24="Yes",Projects!$M$24="Yes",71&gt;=Projects!$C$24,71&lt;Projects!$C$24+Projects!$D$24),Projects!$B$24*INDEX(Curves!$B$4:$AR$4,1,71-Projects!$C$24+1),0)+IF(AND(Projects!$G$25="Yes",Projects!$M$25="Yes",71&gt;=Projects!$C$25,71&lt;Projects!$C$25+Projects!$D$25),Projects!$B$25*INDEX(Curves!$B$4:$AR$4,1,71-Projects!$C$25+1),0)+IF(AND(Projects!$G$26="Yes",Projects!$M$26="Yes",71&gt;=Projects!$C$26,71&lt;Projects!$C$26+Projects!$D$26),Projects!$B$26*INDEX(Curves!$B$4:$AR$4,1,71-Projects!$C$26+1),0)+IF(AND(Projects!$G$27="Yes",Projects!$M$27="Yes",71&gt;=Projects!$C$27,71&lt;Projects!$C$27+Projects!$D$27),Projects!$B$27*INDEX(Curves!$B$4:$AR$4,1,71-Projects!$C$27+1),0)+IF(AND(Projects!$G$28="Yes",Projects!$M$28="Yes",71&gt;=Projects!$C$28,71&lt;Projects!$C$28+Projects!$D$28),Projects!$B$28*INDEX(Curves!$B$4:$AR$4,1,71-Projects!$C$28+1),0)+IF(AND(Projects!$G$29="Yes",Projects!$M$29="Yes",71&gt;=Projects!$C$29,71&lt;Projects!$C$29+Projects!$D$29),Projects!$B$29*INDEX(Curves!$B$4:$AR$4,1,71-Projects!$C$29+1),0)+IF(AND(Projects!$G$30="Yes",Projects!$M$30="Yes",71&gt;=Projects!$C$30,71&lt;Projects!$C$30+Projects!$D$30),Projects!$B$30*INDEX(Curves!$B$4:$AR$4,1,71-Projects!$C$30+1),0)+IF(AND(Projects!$G$31="Yes",Projects!$M$31="Yes",71&gt;=Projects!$C$31,71&lt;Projects!$C$31+Projects!$D$31),Projects!$B$31*INDEX(Curves!$B$4:$AR$4,1,71-Projects!$C$31+1),0)+IF(AND(Projects!$G$32="Yes",Projects!$M$32="Yes",71&gt;=Projects!$C$32,71&lt;Projects!$C$32+Projects!$D$32),Projects!$B$32*INDEX(Curves!$B$4:$AR$4,1,71-Projects!$C$32+1),0)+IF(AND(Projects!$G$33="Yes",Projects!$M$33="Yes",71&gt;=Projects!$C$33,71&lt;Projects!$C$33+Projects!$D$33),Projects!$B$33*INDEX(Curves!$B$4:$AR$4,1,71-Projects!$C$33+1),0)+IF(AND(Projects!$G$34="Yes",Projects!$M$34="Yes",71&gt;=Projects!$C$34,71&lt;Projects!$C$34+Projects!$D$34),Projects!$B$34*INDEX(Curves!$B$4:$AR$4,1,71-Projects!$C$34+1),0)+IF(AND(Projects!$G$35="Yes",Projects!$M$35="Yes",71&gt;=Projects!$C$35,71&lt;Projects!$C$35+Projects!$D$35),Projects!$B$35*INDEX(Curves!$B$4:$AR$4,1,71-Projects!$C$35+1),0)+IF(AND(Projects!$G$36="Yes",Projects!$M$36="Yes",71&gt;=Projects!$C$36,71&lt;Projects!$C$36+Projects!$D$36),Projects!$B$36*INDEX(Curves!$B$4:$AR$4,1,71-Projects!$C$36+1),0)+IF(AND(Projects!$G$37="Yes",Projects!$M$37="Yes",71&gt;=Projects!$C$37,71&lt;Projects!$C$37+Projects!$D$37),Projects!$B$37*INDEX(Curves!$B$4:$AR$4,1,71-Projects!$C$37+1),0)+IF(AND(Projects!$G$38="Yes",Projects!$M$38="Yes",71&gt;=Projects!$C$38,71&lt;Projects!$C$38+Projects!$D$38),Projects!$B$38*INDEX(Curves!$B$4:$AR$4,1,71-Projects!$C$38+1),0)+IF(AND(Projects!$G$39="Yes",Projects!$M$39="Yes",71&gt;=Projects!$C$39,71&lt;Projects!$C$39+Projects!$D$39),Projects!$B$39*INDEX(Curves!$B$4:$AR$4,1,71-Projects!$C$39+1),0)+IF(AND(Projects!$G$40="Yes",Projects!$M$40="Yes",71&gt;=Projects!$C$40,71&lt;Projects!$C$40+Projects!$D$40),Projects!$B$40*INDEX(Curves!$B$4:$AR$4,1,71-Projects!$C$40+1),0)+IF(AND(Projects!$G$41="Yes",Projects!$M$41="Yes",71&gt;=Projects!$C$41,71&lt;Projects!$C$41+Projects!$D$41),Projects!$B$41*INDEX(Curves!$B$4:$AR$4,1,71-Projects!$C$41+1),0)+IF(AND(Projects!$G$42="Yes",Projects!$M$42="Yes",71&gt;=Projects!$C$42,71&lt;Projects!$C$42+Projects!$D$42),Projects!$B$42*INDEX(Curves!$B$4:$AR$4,1,71-Projects!$C$42+1),0)+IF(AND(Projects!$G$43="Yes",Projects!$M$43="Yes",71&gt;=Projects!$C$43,71&lt;Projects!$C$43+Projects!$D$43),Projects!$B$43*INDEX(Curves!$B$4:$AR$4,1,71-Projects!$C$43+1),0)+IF(AND(Projects!$G$44="Yes",Projects!$M$44="Yes",71&gt;=Projects!$C$44,71&lt;Projects!$C$44+Projects!$D$44),Projects!$B$44*INDEX(Curves!$B$4:$AR$4,1,71-Projects!$C$44+1),0)+IF(AND(Projects!$G$45="Yes",Projects!$M$45="Yes",71&gt;=Projects!$C$45,71&lt;Projects!$C$45+Projects!$D$45),Projects!$B$45*INDEX(Curves!$B$4:$AR$4,1,71-Projects!$C$45+1),0)+IF(AND(Projects!$G$46="Yes",Projects!$M$46="Yes",71&gt;=Projects!$C$46,71&lt;Projects!$C$46+Projects!$D$46),Projects!$B$46*INDEX(Curves!$B$4:$AR$4,1,71-Projects!$C$46+1),0)</f>
        <v>0</v>
      </c>
      <c r="BY101" s="317" t="n">
        <f aca="false">IF(AND(Projects!$G$17="Yes",Projects!$M$17="Yes",72&gt;=Projects!$C$17,72&lt;Projects!$C$17+Projects!$D$17),Projects!$B$17*INDEX(Curves!$B$4:$AR$4,1,72-Projects!$C$17+1),0)+IF(AND(Projects!$G$18="Yes",Projects!$M$18="Yes",72&gt;=Projects!$C$18,72&lt;Projects!$C$18+Projects!$D$18),Projects!$B$18*INDEX(Curves!$B$4:$AR$4,1,72-Projects!$C$18+1),0)+IF(AND(Projects!$G$19="Yes",Projects!$M$19="Yes",72&gt;=Projects!$C$19,72&lt;Projects!$C$19+Projects!$D$19),Projects!$B$19*INDEX(Curves!$B$4:$AR$4,1,72-Projects!$C$19+1),0)+IF(AND(Projects!$G$20="Yes",Projects!$M$20="Yes",72&gt;=Projects!$C$20,72&lt;Projects!$C$20+Projects!$D$20),Projects!$B$20*INDEX(Curves!$B$4:$AR$4,1,72-Projects!$C$20+1),0)+IF(AND(Projects!$G$21="Yes",Projects!$M$21="Yes",72&gt;=Projects!$C$21,72&lt;Projects!$C$21+Projects!$D$21),Projects!$B$21*INDEX(Curves!$B$4:$AR$4,1,72-Projects!$C$21+1),0)+IF(AND(Projects!$G$22="Yes",Projects!$M$22="Yes",72&gt;=Projects!$C$22,72&lt;Projects!$C$22+Projects!$D$22),Projects!$B$22*INDEX(Curves!$B$4:$AR$4,1,72-Projects!$C$22+1),0)+IF(AND(Projects!$G$23="Yes",Projects!$M$23="Yes",72&gt;=Projects!$C$23,72&lt;Projects!$C$23+Projects!$D$23),Projects!$B$23*INDEX(Curves!$B$4:$AR$4,1,72-Projects!$C$23+1),0)+IF(AND(Projects!$G$24="Yes",Projects!$M$24="Yes",72&gt;=Projects!$C$24,72&lt;Projects!$C$24+Projects!$D$24),Projects!$B$24*INDEX(Curves!$B$4:$AR$4,1,72-Projects!$C$24+1),0)+IF(AND(Projects!$G$25="Yes",Projects!$M$25="Yes",72&gt;=Projects!$C$25,72&lt;Projects!$C$25+Projects!$D$25),Projects!$B$25*INDEX(Curves!$B$4:$AR$4,1,72-Projects!$C$25+1),0)+IF(AND(Projects!$G$26="Yes",Projects!$M$26="Yes",72&gt;=Projects!$C$26,72&lt;Projects!$C$26+Projects!$D$26),Projects!$B$26*INDEX(Curves!$B$4:$AR$4,1,72-Projects!$C$26+1),0)+IF(AND(Projects!$G$27="Yes",Projects!$M$27="Yes",72&gt;=Projects!$C$27,72&lt;Projects!$C$27+Projects!$D$27),Projects!$B$27*INDEX(Curves!$B$4:$AR$4,1,72-Projects!$C$27+1),0)+IF(AND(Projects!$G$28="Yes",Projects!$M$28="Yes",72&gt;=Projects!$C$28,72&lt;Projects!$C$28+Projects!$D$28),Projects!$B$28*INDEX(Curves!$B$4:$AR$4,1,72-Projects!$C$28+1),0)+IF(AND(Projects!$G$29="Yes",Projects!$M$29="Yes",72&gt;=Projects!$C$29,72&lt;Projects!$C$29+Projects!$D$29),Projects!$B$29*INDEX(Curves!$B$4:$AR$4,1,72-Projects!$C$29+1),0)+IF(AND(Projects!$G$30="Yes",Projects!$M$30="Yes",72&gt;=Projects!$C$30,72&lt;Projects!$C$30+Projects!$D$30),Projects!$B$30*INDEX(Curves!$B$4:$AR$4,1,72-Projects!$C$30+1),0)+IF(AND(Projects!$G$31="Yes",Projects!$M$31="Yes",72&gt;=Projects!$C$31,72&lt;Projects!$C$31+Projects!$D$31),Projects!$B$31*INDEX(Curves!$B$4:$AR$4,1,72-Projects!$C$31+1),0)+IF(AND(Projects!$G$32="Yes",Projects!$M$32="Yes",72&gt;=Projects!$C$32,72&lt;Projects!$C$32+Projects!$D$32),Projects!$B$32*INDEX(Curves!$B$4:$AR$4,1,72-Projects!$C$32+1),0)+IF(AND(Projects!$G$33="Yes",Projects!$M$33="Yes",72&gt;=Projects!$C$33,72&lt;Projects!$C$33+Projects!$D$33),Projects!$B$33*INDEX(Curves!$B$4:$AR$4,1,72-Projects!$C$33+1),0)+IF(AND(Projects!$G$34="Yes",Projects!$M$34="Yes",72&gt;=Projects!$C$34,72&lt;Projects!$C$34+Projects!$D$34),Projects!$B$34*INDEX(Curves!$B$4:$AR$4,1,72-Projects!$C$34+1),0)+IF(AND(Projects!$G$35="Yes",Projects!$M$35="Yes",72&gt;=Projects!$C$35,72&lt;Projects!$C$35+Projects!$D$35),Projects!$B$35*INDEX(Curves!$B$4:$AR$4,1,72-Projects!$C$35+1),0)+IF(AND(Projects!$G$36="Yes",Projects!$M$36="Yes",72&gt;=Projects!$C$36,72&lt;Projects!$C$36+Projects!$D$36),Projects!$B$36*INDEX(Curves!$B$4:$AR$4,1,72-Projects!$C$36+1),0)+IF(AND(Projects!$G$37="Yes",Projects!$M$37="Yes",72&gt;=Projects!$C$37,72&lt;Projects!$C$37+Projects!$D$37),Projects!$B$37*INDEX(Curves!$B$4:$AR$4,1,72-Projects!$C$37+1),0)+IF(AND(Projects!$G$38="Yes",Projects!$M$38="Yes",72&gt;=Projects!$C$38,72&lt;Projects!$C$38+Projects!$D$38),Projects!$B$38*INDEX(Curves!$B$4:$AR$4,1,72-Projects!$C$38+1),0)+IF(AND(Projects!$G$39="Yes",Projects!$M$39="Yes",72&gt;=Projects!$C$39,72&lt;Projects!$C$39+Projects!$D$39),Projects!$B$39*INDEX(Curves!$B$4:$AR$4,1,72-Projects!$C$39+1),0)+IF(AND(Projects!$G$40="Yes",Projects!$M$40="Yes",72&gt;=Projects!$C$40,72&lt;Projects!$C$40+Projects!$D$40),Projects!$B$40*INDEX(Curves!$B$4:$AR$4,1,72-Projects!$C$40+1),0)+IF(AND(Projects!$G$41="Yes",Projects!$M$41="Yes",72&gt;=Projects!$C$41,72&lt;Projects!$C$41+Projects!$D$41),Projects!$B$41*INDEX(Curves!$B$4:$AR$4,1,72-Projects!$C$41+1),0)+IF(AND(Projects!$G$42="Yes",Projects!$M$42="Yes",72&gt;=Projects!$C$42,72&lt;Projects!$C$42+Projects!$D$42),Projects!$B$42*INDEX(Curves!$B$4:$AR$4,1,72-Projects!$C$42+1),0)+IF(AND(Projects!$G$43="Yes",Projects!$M$43="Yes",72&gt;=Projects!$C$43,72&lt;Projects!$C$43+Projects!$D$43),Projects!$B$43*INDEX(Curves!$B$4:$AR$4,1,72-Projects!$C$43+1),0)+IF(AND(Projects!$G$44="Yes",Projects!$M$44="Yes",72&gt;=Projects!$C$44,72&lt;Projects!$C$44+Projects!$D$44),Projects!$B$44*INDEX(Curves!$B$4:$AR$4,1,72-Projects!$C$44+1),0)+IF(AND(Projects!$G$45="Yes",Projects!$M$45="Yes",72&gt;=Projects!$C$45,72&lt;Projects!$C$45+Projects!$D$45),Projects!$B$45*INDEX(Curves!$B$4:$AR$4,1,72-Projects!$C$45+1),0)+IF(AND(Projects!$G$46="Yes",Projects!$M$46="Yes",72&gt;=Projects!$C$46,72&lt;Projects!$C$46+Projects!$D$46),Projects!$B$46*INDEX(Curves!$B$4:$AR$4,1,72-Projects!$C$46+1),0)</f>
        <v>0</v>
      </c>
      <c r="BZ101" s="317" t="n">
        <f aca="false">IF(AND(Projects!$G$17="Yes",Projects!$M$17="Yes",73&gt;=Projects!$C$17,73&lt;Projects!$C$17+Projects!$D$17),Projects!$B$17*INDEX(Curves!$B$4:$AR$4,1,73-Projects!$C$17+1),0)+IF(AND(Projects!$G$18="Yes",Projects!$M$18="Yes",73&gt;=Projects!$C$18,73&lt;Projects!$C$18+Projects!$D$18),Projects!$B$18*INDEX(Curves!$B$4:$AR$4,1,73-Projects!$C$18+1),0)+IF(AND(Projects!$G$19="Yes",Projects!$M$19="Yes",73&gt;=Projects!$C$19,73&lt;Projects!$C$19+Projects!$D$19),Projects!$B$19*INDEX(Curves!$B$4:$AR$4,1,73-Projects!$C$19+1),0)+IF(AND(Projects!$G$20="Yes",Projects!$M$20="Yes",73&gt;=Projects!$C$20,73&lt;Projects!$C$20+Projects!$D$20),Projects!$B$20*INDEX(Curves!$B$4:$AR$4,1,73-Projects!$C$20+1),0)+IF(AND(Projects!$G$21="Yes",Projects!$M$21="Yes",73&gt;=Projects!$C$21,73&lt;Projects!$C$21+Projects!$D$21),Projects!$B$21*INDEX(Curves!$B$4:$AR$4,1,73-Projects!$C$21+1),0)+IF(AND(Projects!$G$22="Yes",Projects!$M$22="Yes",73&gt;=Projects!$C$22,73&lt;Projects!$C$22+Projects!$D$22),Projects!$B$22*INDEX(Curves!$B$4:$AR$4,1,73-Projects!$C$22+1),0)+IF(AND(Projects!$G$23="Yes",Projects!$M$23="Yes",73&gt;=Projects!$C$23,73&lt;Projects!$C$23+Projects!$D$23),Projects!$B$23*INDEX(Curves!$B$4:$AR$4,1,73-Projects!$C$23+1),0)+IF(AND(Projects!$G$24="Yes",Projects!$M$24="Yes",73&gt;=Projects!$C$24,73&lt;Projects!$C$24+Projects!$D$24),Projects!$B$24*INDEX(Curves!$B$4:$AR$4,1,73-Projects!$C$24+1),0)+IF(AND(Projects!$G$25="Yes",Projects!$M$25="Yes",73&gt;=Projects!$C$25,73&lt;Projects!$C$25+Projects!$D$25),Projects!$B$25*INDEX(Curves!$B$4:$AR$4,1,73-Projects!$C$25+1),0)+IF(AND(Projects!$G$26="Yes",Projects!$M$26="Yes",73&gt;=Projects!$C$26,73&lt;Projects!$C$26+Projects!$D$26),Projects!$B$26*INDEX(Curves!$B$4:$AR$4,1,73-Projects!$C$26+1),0)+IF(AND(Projects!$G$27="Yes",Projects!$M$27="Yes",73&gt;=Projects!$C$27,73&lt;Projects!$C$27+Projects!$D$27),Projects!$B$27*INDEX(Curves!$B$4:$AR$4,1,73-Projects!$C$27+1),0)+IF(AND(Projects!$G$28="Yes",Projects!$M$28="Yes",73&gt;=Projects!$C$28,73&lt;Projects!$C$28+Projects!$D$28),Projects!$B$28*INDEX(Curves!$B$4:$AR$4,1,73-Projects!$C$28+1),0)+IF(AND(Projects!$G$29="Yes",Projects!$M$29="Yes",73&gt;=Projects!$C$29,73&lt;Projects!$C$29+Projects!$D$29),Projects!$B$29*INDEX(Curves!$B$4:$AR$4,1,73-Projects!$C$29+1),0)+IF(AND(Projects!$G$30="Yes",Projects!$M$30="Yes",73&gt;=Projects!$C$30,73&lt;Projects!$C$30+Projects!$D$30),Projects!$B$30*INDEX(Curves!$B$4:$AR$4,1,73-Projects!$C$30+1),0)+IF(AND(Projects!$G$31="Yes",Projects!$M$31="Yes",73&gt;=Projects!$C$31,73&lt;Projects!$C$31+Projects!$D$31),Projects!$B$31*INDEX(Curves!$B$4:$AR$4,1,73-Projects!$C$31+1),0)+IF(AND(Projects!$G$32="Yes",Projects!$M$32="Yes",73&gt;=Projects!$C$32,73&lt;Projects!$C$32+Projects!$D$32),Projects!$B$32*INDEX(Curves!$B$4:$AR$4,1,73-Projects!$C$32+1),0)+IF(AND(Projects!$G$33="Yes",Projects!$M$33="Yes",73&gt;=Projects!$C$33,73&lt;Projects!$C$33+Projects!$D$33),Projects!$B$33*INDEX(Curves!$B$4:$AR$4,1,73-Projects!$C$33+1),0)+IF(AND(Projects!$G$34="Yes",Projects!$M$34="Yes",73&gt;=Projects!$C$34,73&lt;Projects!$C$34+Projects!$D$34),Projects!$B$34*INDEX(Curves!$B$4:$AR$4,1,73-Projects!$C$34+1),0)+IF(AND(Projects!$G$35="Yes",Projects!$M$35="Yes",73&gt;=Projects!$C$35,73&lt;Projects!$C$35+Projects!$D$35),Projects!$B$35*INDEX(Curves!$B$4:$AR$4,1,73-Projects!$C$35+1),0)+IF(AND(Projects!$G$36="Yes",Projects!$M$36="Yes",73&gt;=Projects!$C$36,73&lt;Projects!$C$36+Projects!$D$36),Projects!$B$36*INDEX(Curves!$B$4:$AR$4,1,73-Projects!$C$36+1),0)+IF(AND(Projects!$G$37="Yes",Projects!$M$37="Yes",73&gt;=Projects!$C$37,73&lt;Projects!$C$37+Projects!$D$37),Projects!$B$37*INDEX(Curves!$B$4:$AR$4,1,73-Projects!$C$37+1),0)+IF(AND(Projects!$G$38="Yes",Projects!$M$38="Yes",73&gt;=Projects!$C$38,73&lt;Projects!$C$38+Projects!$D$38),Projects!$B$38*INDEX(Curves!$B$4:$AR$4,1,73-Projects!$C$38+1),0)+IF(AND(Projects!$G$39="Yes",Projects!$M$39="Yes",73&gt;=Projects!$C$39,73&lt;Projects!$C$39+Projects!$D$39),Projects!$B$39*INDEX(Curves!$B$4:$AR$4,1,73-Projects!$C$39+1),0)+IF(AND(Projects!$G$40="Yes",Projects!$M$40="Yes",73&gt;=Projects!$C$40,73&lt;Projects!$C$40+Projects!$D$40),Projects!$B$40*INDEX(Curves!$B$4:$AR$4,1,73-Projects!$C$40+1),0)+IF(AND(Projects!$G$41="Yes",Projects!$M$41="Yes",73&gt;=Projects!$C$41,73&lt;Projects!$C$41+Projects!$D$41),Projects!$B$41*INDEX(Curves!$B$4:$AR$4,1,73-Projects!$C$41+1),0)+IF(AND(Projects!$G$42="Yes",Projects!$M$42="Yes",73&gt;=Projects!$C$42,73&lt;Projects!$C$42+Projects!$D$42),Projects!$B$42*INDEX(Curves!$B$4:$AR$4,1,73-Projects!$C$42+1),0)+IF(AND(Projects!$G$43="Yes",Projects!$M$43="Yes",73&gt;=Projects!$C$43,73&lt;Projects!$C$43+Projects!$D$43),Projects!$B$43*INDEX(Curves!$B$4:$AR$4,1,73-Projects!$C$43+1),0)+IF(AND(Projects!$G$44="Yes",Projects!$M$44="Yes",73&gt;=Projects!$C$44,73&lt;Projects!$C$44+Projects!$D$44),Projects!$B$44*INDEX(Curves!$B$4:$AR$4,1,73-Projects!$C$44+1),0)+IF(AND(Projects!$G$45="Yes",Projects!$M$45="Yes",73&gt;=Projects!$C$45,73&lt;Projects!$C$45+Projects!$D$45),Projects!$B$45*INDEX(Curves!$B$4:$AR$4,1,73-Projects!$C$45+1),0)+IF(AND(Projects!$G$46="Yes",Projects!$M$46="Yes",73&gt;=Projects!$C$46,73&lt;Projects!$C$46+Projects!$D$46),Projects!$B$46*INDEX(Curves!$B$4:$AR$4,1,73-Projects!$C$46+1),0)</f>
        <v>0</v>
      </c>
      <c r="CA101" s="317" t="n">
        <f aca="false">IF(AND(Projects!$G$17="Yes",Projects!$M$17="Yes",74&gt;=Projects!$C$17,74&lt;Projects!$C$17+Projects!$D$17),Projects!$B$17*INDEX(Curves!$B$4:$AR$4,1,74-Projects!$C$17+1),0)+IF(AND(Projects!$G$18="Yes",Projects!$M$18="Yes",74&gt;=Projects!$C$18,74&lt;Projects!$C$18+Projects!$D$18),Projects!$B$18*INDEX(Curves!$B$4:$AR$4,1,74-Projects!$C$18+1),0)+IF(AND(Projects!$G$19="Yes",Projects!$M$19="Yes",74&gt;=Projects!$C$19,74&lt;Projects!$C$19+Projects!$D$19),Projects!$B$19*INDEX(Curves!$B$4:$AR$4,1,74-Projects!$C$19+1),0)+IF(AND(Projects!$G$20="Yes",Projects!$M$20="Yes",74&gt;=Projects!$C$20,74&lt;Projects!$C$20+Projects!$D$20),Projects!$B$20*INDEX(Curves!$B$4:$AR$4,1,74-Projects!$C$20+1),0)+IF(AND(Projects!$G$21="Yes",Projects!$M$21="Yes",74&gt;=Projects!$C$21,74&lt;Projects!$C$21+Projects!$D$21),Projects!$B$21*INDEX(Curves!$B$4:$AR$4,1,74-Projects!$C$21+1),0)+IF(AND(Projects!$G$22="Yes",Projects!$M$22="Yes",74&gt;=Projects!$C$22,74&lt;Projects!$C$22+Projects!$D$22),Projects!$B$22*INDEX(Curves!$B$4:$AR$4,1,74-Projects!$C$22+1),0)+IF(AND(Projects!$G$23="Yes",Projects!$M$23="Yes",74&gt;=Projects!$C$23,74&lt;Projects!$C$23+Projects!$D$23),Projects!$B$23*INDEX(Curves!$B$4:$AR$4,1,74-Projects!$C$23+1),0)+IF(AND(Projects!$G$24="Yes",Projects!$M$24="Yes",74&gt;=Projects!$C$24,74&lt;Projects!$C$24+Projects!$D$24),Projects!$B$24*INDEX(Curves!$B$4:$AR$4,1,74-Projects!$C$24+1),0)+IF(AND(Projects!$G$25="Yes",Projects!$M$25="Yes",74&gt;=Projects!$C$25,74&lt;Projects!$C$25+Projects!$D$25),Projects!$B$25*INDEX(Curves!$B$4:$AR$4,1,74-Projects!$C$25+1),0)+IF(AND(Projects!$G$26="Yes",Projects!$M$26="Yes",74&gt;=Projects!$C$26,74&lt;Projects!$C$26+Projects!$D$26),Projects!$B$26*INDEX(Curves!$B$4:$AR$4,1,74-Projects!$C$26+1),0)+IF(AND(Projects!$G$27="Yes",Projects!$M$27="Yes",74&gt;=Projects!$C$27,74&lt;Projects!$C$27+Projects!$D$27),Projects!$B$27*INDEX(Curves!$B$4:$AR$4,1,74-Projects!$C$27+1),0)+IF(AND(Projects!$G$28="Yes",Projects!$M$28="Yes",74&gt;=Projects!$C$28,74&lt;Projects!$C$28+Projects!$D$28),Projects!$B$28*INDEX(Curves!$B$4:$AR$4,1,74-Projects!$C$28+1),0)+IF(AND(Projects!$G$29="Yes",Projects!$M$29="Yes",74&gt;=Projects!$C$29,74&lt;Projects!$C$29+Projects!$D$29),Projects!$B$29*INDEX(Curves!$B$4:$AR$4,1,74-Projects!$C$29+1),0)+IF(AND(Projects!$G$30="Yes",Projects!$M$30="Yes",74&gt;=Projects!$C$30,74&lt;Projects!$C$30+Projects!$D$30),Projects!$B$30*INDEX(Curves!$B$4:$AR$4,1,74-Projects!$C$30+1),0)+IF(AND(Projects!$G$31="Yes",Projects!$M$31="Yes",74&gt;=Projects!$C$31,74&lt;Projects!$C$31+Projects!$D$31),Projects!$B$31*INDEX(Curves!$B$4:$AR$4,1,74-Projects!$C$31+1),0)+IF(AND(Projects!$G$32="Yes",Projects!$M$32="Yes",74&gt;=Projects!$C$32,74&lt;Projects!$C$32+Projects!$D$32),Projects!$B$32*INDEX(Curves!$B$4:$AR$4,1,74-Projects!$C$32+1),0)+IF(AND(Projects!$G$33="Yes",Projects!$M$33="Yes",74&gt;=Projects!$C$33,74&lt;Projects!$C$33+Projects!$D$33),Projects!$B$33*INDEX(Curves!$B$4:$AR$4,1,74-Projects!$C$33+1),0)+IF(AND(Projects!$G$34="Yes",Projects!$M$34="Yes",74&gt;=Projects!$C$34,74&lt;Projects!$C$34+Projects!$D$34),Projects!$B$34*INDEX(Curves!$B$4:$AR$4,1,74-Projects!$C$34+1),0)+IF(AND(Projects!$G$35="Yes",Projects!$M$35="Yes",74&gt;=Projects!$C$35,74&lt;Projects!$C$35+Projects!$D$35),Projects!$B$35*INDEX(Curves!$B$4:$AR$4,1,74-Projects!$C$35+1),0)+IF(AND(Projects!$G$36="Yes",Projects!$M$36="Yes",74&gt;=Projects!$C$36,74&lt;Projects!$C$36+Projects!$D$36),Projects!$B$36*INDEX(Curves!$B$4:$AR$4,1,74-Projects!$C$36+1),0)+IF(AND(Projects!$G$37="Yes",Projects!$M$37="Yes",74&gt;=Projects!$C$37,74&lt;Projects!$C$37+Projects!$D$37),Projects!$B$37*INDEX(Curves!$B$4:$AR$4,1,74-Projects!$C$37+1),0)+IF(AND(Projects!$G$38="Yes",Projects!$M$38="Yes",74&gt;=Projects!$C$38,74&lt;Projects!$C$38+Projects!$D$38),Projects!$B$38*INDEX(Curves!$B$4:$AR$4,1,74-Projects!$C$38+1),0)+IF(AND(Projects!$G$39="Yes",Projects!$M$39="Yes",74&gt;=Projects!$C$39,74&lt;Projects!$C$39+Projects!$D$39),Projects!$B$39*INDEX(Curves!$B$4:$AR$4,1,74-Projects!$C$39+1),0)+IF(AND(Projects!$G$40="Yes",Projects!$M$40="Yes",74&gt;=Projects!$C$40,74&lt;Projects!$C$40+Projects!$D$40),Projects!$B$40*INDEX(Curves!$B$4:$AR$4,1,74-Projects!$C$40+1),0)+IF(AND(Projects!$G$41="Yes",Projects!$M$41="Yes",74&gt;=Projects!$C$41,74&lt;Projects!$C$41+Projects!$D$41),Projects!$B$41*INDEX(Curves!$B$4:$AR$4,1,74-Projects!$C$41+1),0)+IF(AND(Projects!$G$42="Yes",Projects!$M$42="Yes",74&gt;=Projects!$C$42,74&lt;Projects!$C$42+Projects!$D$42),Projects!$B$42*INDEX(Curves!$B$4:$AR$4,1,74-Projects!$C$42+1),0)+IF(AND(Projects!$G$43="Yes",Projects!$M$43="Yes",74&gt;=Projects!$C$43,74&lt;Projects!$C$43+Projects!$D$43),Projects!$B$43*INDEX(Curves!$B$4:$AR$4,1,74-Projects!$C$43+1),0)+IF(AND(Projects!$G$44="Yes",Projects!$M$44="Yes",74&gt;=Projects!$C$44,74&lt;Projects!$C$44+Projects!$D$44),Projects!$B$44*INDEX(Curves!$B$4:$AR$4,1,74-Projects!$C$44+1),0)+IF(AND(Projects!$G$45="Yes",Projects!$M$45="Yes",74&gt;=Projects!$C$45,74&lt;Projects!$C$45+Projects!$D$45),Projects!$B$45*INDEX(Curves!$B$4:$AR$4,1,74-Projects!$C$45+1),0)+IF(AND(Projects!$G$46="Yes",Projects!$M$46="Yes",74&gt;=Projects!$C$46,74&lt;Projects!$C$46+Projects!$D$46),Projects!$B$46*INDEX(Curves!$B$4:$AR$4,1,74-Projects!$C$46+1),0)</f>
        <v>0</v>
      </c>
      <c r="CB101" s="317" t="n">
        <f aca="false">IF(AND(Projects!$G$17="Yes",Projects!$M$17="Yes",75&gt;=Projects!$C$17,75&lt;Projects!$C$17+Projects!$D$17),Projects!$B$17*INDEX(Curves!$B$4:$AR$4,1,75-Projects!$C$17+1),0)+IF(AND(Projects!$G$18="Yes",Projects!$M$18="Yes",75&gt;=Projects!$C$18,75&lt;Projects!$C$18+Projects!$D$18),Projects!$B$18*INDEX(Curves!$B$4:$AR$4,1,75-Projects!$C$18+1),0)+IF(AND(Projects!$G$19="Yes",Projects!$M$19="Yes",75&gt;=Projects!$C$19,75&lt;Projects!$C$19+Projects!$D$19),Projects!$B$19*INDEX(Curves!$B$4:$AR$4,1,75-Projects!$C$19+1),0)+IF(AND(Projects!$G$20="Yes",Projects!$M$20="Yes",75&gt;=Projects!$C$20,75&lt;Projects!$C$20+Projects!$D$20),Projects!$B$20*INDEX(Curves!$B$4:$AR$4,1,75-Projects!$C$20+1),0)+IF(AND(Projects!$G$21="Yes",Projects!$M$21="Yes",75&gt;=Projects!$C$21,75&lt;Projects!$C$21+Projects!$D$21),Projects!$B$21*INDEX(Curves!$B$4:$AR$4,1,75-Projects!$C$21+1),0)+IF(AND(Projects!$G$22="Yes",Projects!$M$22="Yes",75&gt;=Projects!$C$22,75&lt;Projects!$C$22+Projects!$D$22),Projects!$B$22*INDEX(Curves!$B$4:$AR$4,1,75-Projects!$C$22+1),0)+IF(AND(Projects!$G$23="Yes",Projects!$M$23="Yes",75&gt;=Projects!$C$23,75&lt;Projects!$C$23+Projects!$D$23),Projects!$B$23*INDEX(Curves!$B$4:$AR$4,1,75-Projects!$C$23+1),0)+IF(AND(Projects!$G$24="Yes",Projects!$M$24="Yes",75&gt;=Projects!$C$24,75&lt;Projects!$C$24+Projects!$D$24),Projects!$B$24*INDEX(Curves!$B$4:$AR$4,1,75-Projects!$C$24+1),0)+IF(AND(Projects!$G$25="Yes",Projects!$M$25="Yes",75&gt;=Projects!$C$25,75&lt;Projects!$C$25+Projects!$D$25),Projects!$B$25*INDEX(Curves!$B$4:$AR$4,1,75-Projects!$C$25+1),0)+IF(AND(Projects!$G$26="Yes",Projects!$M$26="Yes",75&gt;=Projects!$C$26,75&lt;Projects!$C$26+Projects!$D$26),Projects!$B$26*INDEX(Curves!$B$4:$AR$4,1,75-Projects!$C$26+1),0)+IF(AND(Projects!$G$27="Yes",Projects!$M$27="Yes",75&gt;=Projects!$C$27,75&lt;Projects!$C$27+Projects!$D$27),Projects!$B$27*INDEX(Curves!$B$4:$AR$4,1,75-Projects!$C$27+1),0)+IF(AND(Projects!$G$28="Yes",Projects!$M$28="Yes",75&gt;=Projects!$C$28,75&lt;Projects!$C$28+Projects!$D$28),Projects!$B$28*INDEX(Curves!$B$4:$AR$4,1,75-Projects!$C$28+1),0)+IF(AND(Projects!$G$29="Yes",Projects!$M$29="Yes",75&gt;=Projects!$C$29,75&lt;Projects!$C$29+Projects!$D$29),Projects!$B$29*INDEX(Curves!$B$4:$AR$4,1,75-Projects!$C$29+1),0)+IF(AND(Projects!$G$30="Yes",Projects!$M$30="Yes",75&gt;=Projects!$C$30,75&lt;Projects!$C$30+Projects!$D$30),Projects!$B$30*INDEX(Curves!$B$4:$AR$4,1,75-Projects!$C$30+1),0)+IF(AND(Projects!$G$31="Yes",Projects!$M$31="Yes",75&gt;=Projects!$C$31,75&lt;Projects!$C$31+Projects!$D$31),Projects!$B$31*INDEX(Curves!$B$4:$AR$4,1,75-Projects!$C$31+1),0)+IF(AND(Projects!$G$32="Yes",Projects!$M$32="Yes",75&gt;=Projects!$C$32,75&lt;Projects!$C$32+Projects!$D$32),Projects!$B$32*INDEX(Curves!$B$4:$AR$4,1,75-Projects!$C$32+1),0)+IF(AND(Projects!$G$33="Yes",Projects!$M$33="Yes",75&gt;=Projects!$C$33,75&lt;Projects!$C$33+Projects!$D$33),Projects!$B$33*INDEX(Curves!$B$4:$AR$4,1,75-Projects!$C$33+1),0)+IF(AND(Projects!$G$34="Yes",Projects!$M$34="Yes",75&gt;=Projects!$C$34,75&lt;Projects!$C$34+Projects!$D$34),Projects!$B$34*INDEX(Curves!$B$4:$AR$4,1,75-Projects!$C$34+1),0)+IF(AND(Projects!$G$35="Yes",Projects!$M$35="Yes",75&gt;=Projects!$C$35,75&lt;Projects!$C$35+Projects!$D$35),Projects!$B$35*INDEX(Curves!$B$4:$AR$4,1,75-Projects!$C$35+1),0)+IF(AND(Projects!$G$36="Yes",Projects!$M$36="Yes",75&gt;=Projects!$C$36,75&lt;Projects!$C$36+Projects!$D$36),Projects!$B$36*INDEX(Curves!$B$4:$AR$4,1,75-Projects!$C$36+1),0)+IF(AND(Projects!$G$37="Yes",Projects!$M$37="Yes",75&gt;=Projects!$C$37,75&lt;Projects!$C$37+Projects!$D$37),Projects!$B$37*INDEX(Curves!$B$4:$AR$4,1,75-Projects!$C$37+1),0)+IF(AND(Projects!$G$38="Yes",Projects!$M$38="Yes",75&gt;=Projects!$C$38,75&lt;Projects!$C$38+Projects!$D$38),Projects!$B$38*INDEX(Curves!$B$4:$AR$4,1,75-Projects!$C$38+1),0)+IF(AND(Projects!$G$39="Yes",Projects!$M$39="Yes",75&gt;=Projects!$C$39,75&lt;Projects!$C$39+Projects!$D$39),Projects!$B$39*INDEX(Curves!$B$4:$AR$4,1,75-Projects!$C$39+1),0)+IF(AND(Projects!$G$40="Yes",Projects!$M$40="Yes",75&gt;=Projects!$C$40,75&lt;Projects!$C$40+Projects!$D$40),Projects!$B$40*INDEX(Curves!$B$4:$AR$4,1,75-Projects!$C$40+1),0)+IF(AND(Projects!$G$41="Yes",Projects!$M$41="Yes",75&gt;=Projects!$C$41,75&lt;Projects!$C$41+Projects!$D$41),Projects!$B$41*INDEX(Curves!$B$4:$AR$4,1,75-Projects!$C$41+1),0)+IF(AND(Projects!$G$42="Yes",Projects!$M$42="Yes",75&gt;=Projects!$C$42,75&lt;Projects!$C$42+Projects!$D$42),Projects!$B$42*INDEX(Curves!$B$4:$AR$4,1,75-Projects!$C$42+1),0)+IF(AND(Projects!$G$43="Yes",Projects!$M$43="Yes",75&gt;=Projects!$C$43,75&lt;Projects!$C$43+Projects!$D$43),Projects!$B$43*INDEX(Curves!$B$4:$AR$4,1,75-Projects!$C$43+1),0)+IF(AND(Projects!$G$44="Yes",Projects!$M$44="Yes",75&gt;=Projects!$C$44,75&lt;Projects!$C$44+Projects!$D$44),Projects!$B$44*INDEX(Curves!$B$4:$AR$4,1,75-Projects!$C$44+1),0)+IF(AND(Projects!$G$45="Yes",Projects!$M$45="Yes",75&gt;=Projects!$C$45,75&lt;Projects!$C$45+Projects!$D$45),Projects!$B$45*INDEX(Curves!$B$4:$AR$4,1,75-Projects!$C$45+1),0)+IF(AND(Projects!$G$46="Yes",Projects!$M$46="Yes",75&gt;=Projects!$C$46,75&lt;Projects!$C$46+Projects!$D$46),Projects!$B$46*INDEX(Curves!$B$4:$AR$4,1,75-Projects!$C$46+1),0)</f>
        <v>0</v>
      </c>
      <c r="CC101" s="317" t="n">
        <f aca="false">IF(AND(Projects!$G$17="Yes",Projects!$M$17="Yes",76&gt;=Projects!$C$17,76&lt;Projects!$C$17+Projects!$D$17),Projects!$B$17*INDEX(Curves!$B$4:$AR$4,1,76-Projects!$C$17+1),0)+IF(AND(Projects!$G$18="Yes",Projects!$M$18="Yes",76&gt;=Projects!$C$18,76&lt;Projects!$C$18+Projects!$D$18),Projects!$B$18*INDEX(Curves!$B$4:$AR$4,1,76-Projects!$C$18+1),0)+IF(AND(Projects!$G$19="Yes",Projects!$M$19="Yes",76&gt;=Projects!$C$19,76&lt;Projects!$C$19+Projects!$D$19),Projects!$B$19*INDEX(Curves!$B$4:$AR$4,1,76-Projects!$C$19+1),0)+IF(AND(Projects!$G$20="Yes",Projects!$M$20="Yes",76&gt;=Projects!$C$20,76&lt;Projects!$C$20+Projects!$D$20),Projects!$B$20*INDEX(Curves!$B$4:$AR$4,1,76-Projects!$C$20+1),0)+IF(AND(Projects!$G$21="Yes",Projects!$M$21="Yes",76&gt;=Projects!$C$21,76&lt;Projects!$C$21+Projects!$D$21),Projects!$B$21*INDEX(Curves!$B$4:$AR$4,1,76-Projects!$C$21+1),0)+IF(AND(Projects!$G$22="Yes",Projects!$M$22="Yes",76&gt;=Projects!$C$22,76&lt;Projects!$C$22+Projects!$D$22),Projects!$B$22*INDEX(Curves!$B$4:$AR$4,1,76-Projects!$C$22+1),0)+IF(AND(Projects!$G$23="Yes",Projects!$M$23="Yes",76&gt;=Projects!$C$23,76&lt;Projects!$C$23+Projects!$D$23),Projects!$B$23*INDEX(Curves!$B$4:$AR$4,1,76-Projects!$C$23+1),0)+IF(AND(Projects!$G$24="Yes",Projects!$M$24="Yes",76&gt;=Projects!$C$24,76&lt;Projects!$C$24+Projects!$D$24),Projects!$B$24*INDEX(Curves!$B$4:$AR$4,1,76-Projects!$C$24+1),0)+IF(AND(Projects!$G$25="Yes",Projects!$M$25="Yes",76&gt;=Projects!$C$25,76&lt;Projects!$C$25+Projects!$D$25),Projects!$B$25*INDEX(Curves!$B$4:$AR$4,1,76-Projects!$C$25+1),0)+IF(AND(Projects!$G$26="Yes",Projects!$M$26="Yes",76&gt;=Projects!$C$26,76&lt;Projects!$C$26+Projects!$D$26),Projects!$B$26*INDEX(Curves!$B$4:$AR$4,1,76-Projects!$C$26+1),0)+IF(AND(Projects!$G$27="Yes",Projects!$M$27="Yes",76&gt;=Projects!$C$27,76&lt;Projects!$C$27+Projects!$D$27),Projects!$B$27*INDEX(Curves!$B$4:$AR$4,1,76-Projects!$C$27+1),0)+IF(AND(Projects!$G$28="Yes",Projects!$M$28="Yes",76&gt;=Projects!$C$28,76&lt;Projects!$C$28+Projects!$D$28),Projects!$B$28*INDEX(Curves!$B$4:$AR$4,1,76-Projects!$C$28+1),0)+IF(AND(Projects!$G$29="Yes",Projects!$M$29="Yes",76&gt;=Projects!$C$29,76&lt;Projects!$C$29+Projects!$D$29),Projects!$B$29*INDEX(Curves!$B$4:$AR$4,1,76-Projects!$C$29+1),0)+IF(AND(Projects!$G$30="Yes",Projects!$M$30="Yes",76&gt;=Projects!$C$30,76&lt;Projects!$C$30+Projects!$D$30),Projects!$B$30*INDEX(Curves!$B$4:$AR$4,1,76-Projects!$C$30+1),0)+IF(AND(Projects!$G$31="Yes",Projects!$M$31="Yes",76&gt;=Projects!$C$31,76&lt;Projects!$C$31+Projects!$D$31),Projects!$B$31*INDEX(Curves!$B$4:$AR$4,1,76-Projects!$C$31+1),0)+IF(AND(Projects!$G$32="Yes",Projects!$M$32="Yes",76&gt;=Projects!$C$32,76&lt;Projects!$C$32+Projects!$D$32),Projects!$B$32*INDEX(Curves!$B$4:$AR$4,1,76-Projects!$C$32+1),0)+IF(AND(Projects!$G$33="Yes",Projects!$M$33="Yes",76&gt;=Projects!$C$33,76&lt;Projects!$C$33+Projects!$D$33),Projects!$B$33*INDEX(Curves!$B$4:$AR$4,1,76-Projects!$C$33+1),0)+IF(AND(Projects!$G$34="Yes",Projects!$M$34="Yes",76&gt;=Projects!$C$34,76&lt;Projects!$C$34+Projects!$D$34),Projects!$B$34*INDEX(Curves!$B$4:$AR$4,1,76-Projects!$C$34+1),0)+IF(AND(Projects!$G$35="Yes",Projects!$M$35="Yes",76&gt;=Projects!$C$35,76&lt;Projects!$C$35+Projects!$D$35),Projects!$B$35*INDEX(Curves!$B$4:$AR$4,1,76-Projects!$C$35+1),0)+IF(AND(Projects!$G$36="Yes",Projects!$M$36="Yes",76&gt;=Projects!$C$36,76&lt;Projects!$C$36+Projects!$D$36),Projects!$B$36*INDEX(Curves!$B$4:$AR$4,1,76-Projects!$C$36+1),0)+IF(AND(Projects!$G$37="Yes",Projects!$M$37="Yes",76&gt;=Projects!$C$37,76&lt;Projects!$C$37+Projects!$D$37),Projects!$B$37*INDEX(Curves!$B$4:$AR$4,1,76-Projects!$C$37+1),0)+IF(AND(Projects!$G$38="Yes",Projects!$M$38="Yes",76&gt;=Projects!$C$38,76&lt;Projects!$C$38+Projects!$D$38),Projects!$B$38*INDEX(Curves!$B$4:$AR$4,1,76-Projects!$C$38+1),0)+IF(AND(Projects!$G$39="Yes",Projects!$M$39="Yes",76&gt;=Projects!$C$39,76&lt;Projects!$C$39+Projects!$D$39),Projects!$B$39*INDEX(Curves!$B$4:$AR$4,1,76-Projects!$C$39+1),0)+IF(AND(Projects!$G$40="Yes",Projects!$M$40="Yes",76&gt;=Projects!$C$40,76&lt;Projects!$C$40+Projects!$D$40),Projects!$B$40*INDEX(Curves!$B$4:$AR$4,1,76-Projects!$C$40+1),0)+IF(AND(Projects!$G$41="Yes",Projects!$M$41="Yes",76&gt;=Projects!$C$41,76&lt;Projects!$C$41+Projects!$D$41),Projects!$B$41*INDEX(Curves!$B$4:$AR$4,1,76-Projects!$C$41+1),0)+IF(AND(Projects!$G$42="Yes",Projects!$M$42="Yes",76&gt;=Projects!$C$42,76&lt;Projects!$C$42+Projects!$D$42),Projects!$B$42*INDEX(Curves!$B$4:$AR$4,1,76-Projects!$C$42+1),0)+IF(AND(Projects!$G$43="Yes",Projects!$M$43="Yes",76&gt;=Projects!$C$43,76&lt;Projects!$C$43+Projects!$D$43),Projects!$B$43*INDEX(Curves!$B$4:$AR$4,1,76-Projects!$C$43+1),0)+IF(AND(Projects!$G$44="Yes",Projects!$M$44="Yes",76&gt;=Projects!$C$44,76&lt;Projects!$C$44+Projects!$D$44),Projects!$B$44*INDEX(Curves!$B$4:$AR$4,1,76-Projects!$C$44+1),0)+IF(AND(Projects!$G$45="Yes",Projects!$M$45="Yes",76&gt;=Projects!$C$45,76&lt;Projects!$C$45+Projects!$D$45),Projects!$B$45*INDEX(Curves!$B$4:$AR$4,1,76-Projects!$C$45+1),0)+IF(AND(Projects!$G$46="Yes",Projects!$M$46="Yes",76&gt;=Projects!$C$46,76&lt;Projects!$C$46+Projects!$D$46),Projects!$B$46*INDEX(Curves!$B$4:$AR$4,1,76-Projects!$C$46+1),0)</f>
        <v>0</v>
      </c>
      <c r="CD101" s="317" t="n">
        <f aca="false">IF(AND(Projects!$G$17="Yes",Projects!$M$17="Yes",77&gt;=Projects!$C$17,77&lt;Projects!$C$17+Projects!$D$17),Projects!$B$17*INDEX(Curves!$B$4:$AR$4,1,77-Projects!$C$17+1),0)+IF(AND(Projects!$G$18="Yes",Projects!$M$18="Yes",77&gt;=Projects!$C$18,77&lt;Projects!$C$18+Projects!$D$18),Projects!$B$18*INDEX(Curves!$B$4:$AR$4,1,77-Projects!$C$18+1),0)+IF(AND(Projects!$G$19="Yes",Projects!$M$19="Yes",77&gt;=Projects!$C$19,77&lt;Projects!$C$19+Projects!$D$19),Projects!$B$19*INDEX(Curves!$B$4:$AR$4,1,77-Projects!$C$19+1),0)+IF(AND(Projects!$G$20="Yes",Projects!$M$20="Yes",77&gt;=Projects!$C$20,77&lt;Projects!$C$20+Projects!$D$20),Projects!$B$20*INDEX(Curves!$B$4:$AR$4,1,77-Projects!$C$20+1),0)+IF(AND(Projects!$G$21="Yes",Projects!$M$21="Yes",77&gt;=Projects!$C$21,77&lt;Projects!$C$21+Projects!$D$21),Projects!$B$21*INDEX(Curves!$B$4:$AR$4,1,77-Projects!$C$21+1),0)+IF(AND(Projects!$G$22="Yes",Projects!$M$22="Yes",77&gt;=Projects!$C$22,77&lt;Projects!$C$22+Projects!$D$22),Projects!$B$22*INDEX(Curves!$B$4:$AR$4,1,77-Projects!$C$22+1),0)+IF(AND(Projects!$G$23="Yes",Projects!$M$23="Yes",77&gt;=Projects!$C$23,77&lt;Projects!$C$23+Projects!$D$23),Projects!$B$23*INDEX(Curves!$B$4:$AR$4,1,77-Projects!$C$23+1),0)+IF(AND(Projects!$G$24="Yes",Projects!$M$24="Yes",77&gt;=Projects!$C$24,77&lt;Projects!$C$24+Projects!$D$24),Projects!$B$24*INDEX(Curves!$B$4:$AR$4,1,77-Projects!$C$24+1),0)+IF(AND(Projects!$G$25="Yes",Projects!$M$25="Yes",77&gt;=Projects!$C$25,77&lt;Projects!$C$25+Projects!$D$25),Projects!$B$25*INDEX(Curves!$B$4:$AR$4,1,77-Projects!$C$25+1),0)+IF(AND(Projects!$G$26="Yes",Projects!$M$26="Yes",77&gt;=Projects!$C$26,77&lt;Projects!$C$26+Projects!$D$26),Projects!$B$26*INDEX(Curves!$B$4:$AR$4,1,77-Projects!$C$26+1),0)+IF(AND(Projects!$G$27="Yes",Projects!$M$27="Yes",77&gt;=Projects!$C$27,77&lt;Projects!$C$27+Projects!$D$27),Projects!$B$27*INDEX(Curves!$B$4:$AR$4,1,77-Projects!$C$27+1),0)+IF(AND(Projects!$G$28="Yes",Projects!$M$28="Yes",77&gt;=Projects!$C$28,77&lt;Projects!$C$28+Projects!$D$28),Projects!$B$28*INDEX(Curves!$B$4:$AR$4,1,77-Projects!$C$28+1),0)+IF(AND(Projects!$G$29="Yes",Projects!$M$29="Yes",77&gt;=Projects!$C$29,77&lt;Projects!$C$29+Projects!$D$29),Projects!$B$29*INDEX(Curves!$B$4:$AR$4,1,77-Projects!$C$29+1),0)+IF(AND(Projects!$G$30="Yes",Projects!$M$30="Yes",77&gt;=Projects!$C$30,77&lt;Projects!$C$30+Projects!$D$30),Projects!$B$30*INDEX(Curves!$B$4:$AR$4,1,77-Projects!$C$30+1),0)+IF(AND(Projects!$G$31="Yes",Projects!$M$31="Yes",77&gt;=Projects!$C$31,77&lt;Projects!$C$31+Projects!$D$31),Projects!$B$31*INDEX(Curves!$B$4:$AR$4,1,77-Projects!$C$31+1),0)+IF(AND(Projects!$G$32="Yes",Projects!$M$32="Yes",77&gt;=Projects!$C$32,77&lt;Projects!$C$32+Projects!$D$32),Projects!$B$32*INDEX(Curves!$B$4:$AR$4,1,77-Projects!$C$32+1),0)+IF(AND(Projects!$G$33="Yes",Projects!$M$33="Yes",77&gt;=Projects!$C$33,77&lt;Projects!$C$33+Projects!$D$33),Projects!$B$33*INDEX(Curves!$B$4:$AR$4,1,77-Projects!$C$33+1),0)+IF(AND(Projects!$G$34="Yes",Projects!$M$34="Yes",77&gt;=Projects!$C$34,77&lt;Projects!$C$34+Projects!$D$34),Projects!$B$34*INDEX(Curves!$B$4:$AR$4,1,77-Projects!$C$34+1),0)+IF(AND(Projects!$G$35="Yes",Projects!$M$35="Yes",77&gt;=Projects!$C$35,77&lt;Projects!$C$35+Projects!$D$35),Projects!$B$35*INDEX(Curves!$B$4:$AR$4,1,77-Projects!$C$35+1),0)+IF(AND(Projects!$G$36="Yes",Projects!$M$36="Yes",77&gt;=Projects!$C$36,77&lt;Projects!$C$36+Projects!$D$36),Projects!$B$36*INDEX(Curves!$B$4:$AR$4,1,77-Projects!$C$36+1),0)+IF(AND(Projects!$G$37="Yes",Projects!$M$37="Yes",77&gt;=Projects!$C$37,77&lt;Projects!$C$37+Projects!$D$37),Projects!$B$37*INDEX(Curves!$B$4:$AR$4,1,77-Projects!$C$37+1),0)+IF(AND(Projects!$G$38="Yes",Projects!$M$38="Yes",77&gt;=Projects!$C$38,77&lt;Projects!$C$38+Projects!$D$38),Projects!$B$38*INDEX(Curves!$B$4:$AR$4,1,77-Projects!$C$38+1),0)+IF(AND(Projects!$G$39="Yes",Projects!$M$39="Yes",77&gt;=Projects!$C$39,77&lt;Projects!$C$39+Projects!$D$39),Projects!$B$39*INDEX(Curves!$B$4:$AR$4,1,77-Projects!$C$39+1),0)+IF(AND(Projects!$G$40="Yes",Projects!$M$40="Yes",77&gt;=Projects!$C$40,77&lt;Projects!$C$40+Projects!$D$40),Projects!$B$40*INDEX(Curves!$B$4:$AR$4,1,77-Projects!$C$40+1),0)+IF(AND(Projects!$G$41="Yes",Projects!$M$41="Yes",77&gt;=Projects!$C$41,77&lt;Projects!$C$41+Projects!$D$41),Projects!$B$41*INDEX(Curves!$B$4:$AR$4,1,77-Projects!$C$41+1),0)+IF(AND(Projects!$G$42="Yes",Projects!$M$42="Yes",77&gt;=Projects!$C$42,77&lt;Projects!$C$42+Projects!$D$42),Projects!$B$42*INDEX(Curves!$B$4:$AR$4,1,77-Projects!$C$42+1),0)+IF(AND(Projects!$G$43="Yes",Projects!$M$43="Yes",77&gt;=Projects!$C$43,77&lt;Projects!$C$43+Projects!$D$43),Projects!$B$43*INDEX(Curves!$B$4:$AR$4,1,77-Projects!$C$43+1),0)+IF(AND(Projects!$G$44="Yes",Projects!$M$44="Yes",77&gt;=Projects!$C$44,77&lt;Projects!$C$44+Projects!$D$44),Projects!$B$44*INDEX(Curves!$B$4:$AR$4,1,77-Projects!$C$44+1),0)+IF(AND(Projects!$G$45="Yes",Projects!$M$45="Yes",77&gt;=Projects!$C$45,77&lt;Projects!$C$45+Projects!$D$45),Projects!$B$45*INDEX(Curves!$B$4:$AR$4,1,77-Projects!$C$45+1),0)+IF(AND(Projects!$G$46="Yes",Projects!$M$46="Yes",77&gt;=Projects!$C$46,77&lt;Projects!$C$46+Projects!$D$46),Projects!$B$46*INDEX(Curves!$B$4:$AR$4,1,77-Projects!$C$46+1),0)</f>
        <v>0</v>
      </c>
      <c r="CE101" s="317" t="n">
        <f aca="false">IF(AND(Projects!$G$17="Yes",Projects!$M$17="Yes",78&gt;=Projects!$C$17,78&lt;Projects!$C$17+Projects!$D$17),Projects!$B$17*INDEX(Curves!$B$4:$AR$4,1,78-Projects!$C$17+1),0)+IF(AND(Projects!$G$18="Yes",Projects!$M$18="Yes",78&gt;=Projects!$C$18,78&lt;Projects!$C$18+Projects!$D$18),Projects!$B$18*INDEX(Curves!$B$4:$AR$4,1,78-Projects!$C$18+1),0)+IF(AND(Projects!$G$19="Yes",Projects!$M$19="Yes",78&gt;=Projects!$C$19,78&lt;Projects!$C$19+Projects!$D$19),Projects!$B$19*INDEX(Curves!$B$4:$AR$4,1,78-Projects!$C$19+1),0)+IF(AND(Projects!$G$20="Yes",Projects!$M$20="Yes",78&gt;=Projects!$C$20,78&lt;Projects!$C$20+Projects!$D$20),Projects!$B$20*INDEX(Curves!$B$4:$AR$4,1,78-Projects!$C$20+1),0)+IF(AND(Projects!$G$21="Yes",Projects!$M$21="Yes",78&gt;=Projects!$C$21,78&lt;Projects!$C$21+Projects!$D$21),Projects!$B$21*INDEX(Curves!$B$4:$AR$4,1,78-Projects!$C$21+1),0)+IF(AND(Projects!$G$22="Yes",Projects!$M$22="Yes",78&gt;=Projects!$C$22,78&lt;Projects!$C$22+Projects!$D$22),Projects!$B$22*INDEX(Curves!$B$4:$AR$4,1,78-Projects!$C$22+1),0)+IF(AND(Projects!$G$23="Yes",Projects!$M$23="Yes",78&gt;=Projects!$C$23,78&lt;Projects!$C$23+Projects!$D$23),Projects!$B$23*INDEX(Curves!$B$4:$AR$4,1,78-Projects!$C$23+1),0)+IF(AND(Projects!$G$24="Yes",Projects!$M$24="Yes",78&gt;=Projects!$C$24,78&lt;Projects!$C$24+Projects!$D$24),Projects!$B$24*INDEX(Curves!$B$4:$AR$4,1,78-Projects!$C$24+1),0)+IF(AND(Projects!$G$25="Yes",Projects!$M$25="Yes",78&gt;=Projects!$C$25,78&lt;Projects!$C$25+Projects!$D$25),Projects!$B$25*INDEX(Curves!$B$4:$AR$4,1,78-Projects!$C$25+1),0)+IF(AND(Projects!$G$26="Yes",Projects!$M$26="Yes",78&gt;=Projects!$C$26,78&lt;Projects!$C$26+Projects!$D$26),Projects!$B$26*INDEX(Curves!$B$4:$AR$4,1,78-Projects!$C$26+1),0)+IF(AND(Projects!$G$27="Yes",Projects!$M$27="Yes",78&gt;=Projects!$C$27,78&lt;Projects!$C$27+Projects!$D$27),Projects!$B$27*INDEX(Curves!$B$4:$AR$4,1,78-Projects!$C$27+1),0)+IF(AND(Projects!$G$28="Yes",Projects!$M$28="Yes",78&gt;=Projects!$C$28,78&lt;Projects!$C$28+Projects!$D$28),Projects!$B$28*INDEX(Curves!$B$4:$AR$4,1,78-Projects!$C$28+1),0)+IF(AND(Projects!$G$29="Yes",Projects!$M$29="Yes",78&gt;=Projects!$C$29,78&lt;Projects!$C$29+Projects!$D$29),Projects!$B$29*INDEX(Curves!$B$4:$AR$4,1,78-Projects!$C$29+1),0)+IF(AND(Projects!$G$30="Yes",Projects!$M$30="Yes",78&gt;=Projects!$C$30,78&lt;Projects!$C$30+Projects!$D$30),Projects!$B$30*INDEX(Curves!$B$4:$AR$4,1,78-Projects!$C$30+1),0)+IF(AND(Projects!$G$31="Yes",Projects!$M$31="Yes",78&gt;=Projects!$C$31,78&lt;Projects!$C$31+Projects!$D$31),Projects!$B$31*INDEX(Curves!$B$4:$AR$4,1,78-Projects!$C$31+1),0)+IF(AND(Projects!$G$32="Yes",Projects!$M$32="Yes",78&gt;=Projects!$C$32,78&lt;Projects!$C$32+Projects!$D$32),Projects!$B$32*INDEX(Curves!$B$4:$AR$4,1,78-Projects!$C$32+1),0)+IF(AND(Projects!$G$33="Yes",Projects!$M$33="Yes",78&gt;=Projects!$C$33,78&lt;Projects!$C$33+Projects!$D$33),Projects!$B$33*INDEX(Curves!$B$4:$AR$4,1,78-Projects!$C$33+1),0)+IF(AND(Projects!$G$34="Yes",Projects!$M$34="Yes",78&gt;=Projects!$C$34,78&lt;Projects!$C$34+Projects!$D$34),Projects!$B$34*INDEX(Curves!$B$4:$AR$4,1,78-Projects!$C$34+1),0)+IF(AND(Projects!$G$35="Yes",Projects!$M$35="Yes",78&gt;=Projects!$C$35,78&lt;Projects!$C$35+Projects!$D$35),Projects!$B$35*INDEX(Curves!$B$4:$AR$4,1,78-Projects!$C$35+1),0)+IF(AND(Projects!$G$36="Yes",Projects!$M$36="Yes",78&gt;=Projects!$C$36,78&lt;Projects!$C$36+Projects!$D$36),Projects!$B$36*INDEX(Curves!$B$4:$AR$4,1,78-Projects!$C$36+1),0)+IF(AND(Projects!$G$37="Yes",Projects!$M$37="Yes",78&gt;=Projects!$C$37,78&lt;Projects!$C$37+Projects!$D$37),Projects!$B$37*INDEX(Curves!$B$4:$AR$4,1,78-Projects!$C$37+1),0)+IF(AND(Projects!$G$38="Yes",Projects!$M$38="Yes",78&gt;=Projects!$C$38,78&lt;Projects!$C$38+Projects!$D$38),Projects!$B$38*INDEX(Curves!$B$4:$AR$4,1,78-Projects!$C$38+1),0)+IF(AND(Projects!$G$39="Yes",Projects!$M$39="Yes",78&gt;=Projects!$C$39,78&lt;Projects!$C$39+Projects!$D$39),Projects!$B$39*INDEX(Curves!$B$4:$AR$4,1,78-Projects!$C$39+1),0)+IF(AND(Projects!$G$40="Yes",Projects!$M$40="Yes",78&gt;=Projects!$C$40,78&lt;Projects!$C$40+Projects!$D$40),Projects!$B$40*INDEX(Curves!$B$4:$AR$4,1,78-Projects!$C$40+1),0)+IF(AND(Projects!$G$41="Yes",Projects!$M$41="Yes",78&gt;=Projects!$C$41,78&lt;Projects!$C$41+Projects!$D$41),Projects!$B$41*INDEX(Curves!$B$4:$AR$4,1,78-Projects!$C$41+1),0)+IF(AND(Projects!$G$42="Yes",Projects!$M$42="Yes",78&gt;=Projects!$C$42,78&lt;Projects!$C$42+Projects!$D$42),Projects!$B$42*INDEX(Curves!$B$4:$AR$4,1,78-Projects!$C$42+1),0)+IF(AND(Projects!$G$43="Yes",Projects!$M$43="Yes",78&gt;=Projects!$C$43,78&lt;Projects!$C$43+Projects!$D$43),Projects!$B$43*INDEX(Curves!$B$4:$AR$4,1,78-Projects!$C$43+1),0)+IF(AND(Projects!$G$44="Yes",Projects!$M$44="Yes",78&gt;=Projects!$C$44,78&lt;Projects!$C$44+Projects!$D$44),Projects!$B$44*INDEX(Curves!$B$4:$AR$4,1,78-Projects!$C$44+1),0)+IF(AND(Projects!$G$45="Yes",Projects!$M$45="Yes",78&gt;=Projects!$C$45,78&lt;Projects!$C$45+Projects!$D$45),Projects!$B$45*INDEX(Curves!$B$4:$AR$4,1,78-Projects!$C$45+1),0)+IF(AND(Projects!$G$46="Yes",Projects!$M$46="Yes",78&gt;=Projects!$C$46,78&lt;Projects!$C$46+Projects!$D$46),Projects!$B$46*INDEX(Curves!$B$4:$AR$4,1,78-Projects!$C$46+1),0)</f>
        <v>0</v>
      </c>
      <c r="CF101" s="317" t="n">
        <f aca="false">IF(AND(Projects!$G$17="Yes",Projects!$M$17="Yes",79&gt;=Projects!$C$17,79&lt;Projects!$C$17+Projects!$D$17),Projects!$B$17*INDEX(Curves!$B$4:$AR$4,1,79-Projects!$C$17+1),0)+IF(AND(Projects!$G$18="Yes",Projects!$M$18="Yes",79&gt;=Projects!$C$18,79&lt;Projects!$C$18+Projects!$D$18),Projects!$B$18*INDEX(Curves!$B$4:$AR$4,1,79-Projects!$C$18+1),0)+IF(AND(Projects!$G$19="Yes",Projects!$M$19="Yes",79&gt;=Projects!$C$19,79&lt;Projects!$C$19+Projects!$D$19),Projects!$B$19*INDEX(Curves!$B$4:$AR$4,1,79-Projects!$C$19+1),0)+IF(AND(Projects!$G$20="Yes",Projects!$M$20="Yes",79&gt;=Projects!$C$20,79&lt;Projects!$C$20+Projects!$D$20),Projects!$B$20*INDEX(Curves!$B$4:$AR$4,1,79-Projects!$C$20+1),0)+IF(AND(Projects!$G$21="Yes",Projects!$M$21="Yes",79&gt;=Projects!$C$21,79&lt;Projects!$C$21+Projects!$D$21),Projects!$B$21*INDEX(Curves!$B$4:$AR$4,1,79-Projects!$C$21+1),0)+IF(AND(Projects!$G$22="Yes",Projects!$M$22="Yes",79&gt;=Projects!$C$22,79&lt;Projects!$C$22+Projects!$D$22),Projects!$B$22*INDEX(Curves!$B$4:$AR$4,1,79-Projects!$C$22+1),0)+IF(AND(Projects!$G$23="Yes",Projects!$M$23="Yes",79&gt;=Projects!$C$23,79&lt;Projects!$C$23+Projects!$D$23),Projects!$B$23*INDEX(Curves!$B$4:$AR$4,1,79-Projects!$C$23+1),0)+IF(AND(Projects!$G$24="Yes",Projects!$M$24="Yes",79&gt;=Projects!$C$24,79&lt;Projects!$C$24+Projects!$D$24),Projects!$B$24*INDEX(Curves!$B$4:$AR$4,1,79-Projects!$C$24+1),0)+IF(AND(Projects!$G$25="Yes",Projects!$M$25="Yes",79&gt;=Projects!$C$25,79&lt;Projects!$C$25+Projects!$D$25),Projects!$B$25*INDEX(Curves!$B$4:$AR$4,1,79-Projects!$C$25+1),0)+IF(AND(Projects!$G$26="Yes",Projects!$M$26="Yes",79&gt;=Projects!$C$26,79&lt;Projects!$C$26+Projects!$D$26),Projects!$B$26*INDEX(Curves!$B$4:$AR$4,1,79-Projects!$C$26+1),0)+IF(AND(Projects!$G$27="Yes",Projects!$M$27="Yes",79&gt;=Projects!$C$27,79&lt;Projects!$C$27+Projects!$D$27),Projects!$B$27*INDEX(Curves!$B$4:$AR$4,1,79-Projects!$C$27+1),0)+IF(AND(Projects!$G$28="Yes",Projects!$M$28="Yes",79&gt;=Projects!$C$28,79&lt;Projects!$C$28+Projects!$D$28),Projects!$B$28*INDEX(Curves!$B$4:$AR$4,1,79-Projects!$C$28+1),0)+IF(AND(Projects!$G$29="Yes",Projects!$M$29="Yes",79&gt;=Projects!$C$29,79&lt;Projects!$C$29+Projects!$D$29),Projects!$B$29*INDEX(Curves!$B$4:$AR$4,1,79-Projects!$C$29+1),0)+IF(AND(Projects!$G$30="Yes",Projects!$M$30="Yes",79&gt;=Projects!$C$30,79&lt;Projects!$C$30+Projects!$D$30),Projects!$B$30*INDEX(Curves!$B$4:$AR$4,1,79-Projects!$C$30+1),0)+IF(AND(Projects!$G$31="Yes",Projects!$M$31="Yes",79&gt;=Projects!$C$31,79&lt;Projects!$C$31+Projects!$D$31),Projects!$B$31*INDEX(Curves!$B$4:$AR$4,1,79-Projects!$C$31+1),0)+IF(AND(Projects!$G$32="Yes",Projects!$M$32="Yes",79&gt;=Projects!$C$32,79&lt;Projects!$C$32+Projects!$D$32),Projects!$B$32*INDEX(Curves!$B$4:$AR$4,1,79-Projects!$C$32+1),0)+IF(AND(Projects!$G$33="Yes",Projects!$M$33="Yes",79&gt;=Projects!$C$33,79&lt;Projects!$C$33+Projects!$D$33),Projects!$B$33*INDEX(Curves!$B$4:$AR$4,1,79-Projects!$C$33+1),0)+IF(AND(Projects!$G$34="Yes",Projects!$M$34="Yes",79&gt;=Projects!$C$34,79&lt;Projects!$C$34+Projects!$D$34),Projects!$B$34*INDEX(Curves!$B$4:$AR$4,1,79-Projects!$C$34+1),0)+IF(AND(Projects!$G$35="Yes",Projects!$M$35="Yes",79&gt;=Projects!$C$35,79&lt;Projects!$C$35+Projects!$D$35),Projects!$B$35*INDEX(Curves!$B$4:$AR$4,1,79-Projects!$C$35+1),0)+IF(AND(Projects!$G$36="Yes",Projects!$M$36="Yes",79&gt;=Projects!$C$36,79&lt;Projects!$C$36+Projects!$D$36),Projects!$B$36*INDEX(Curves!$B$4:$AR$4,1,79-Projects!$C$36+1),0)+IF(AND(Projects!$G$37="Yes",Projects!$M$37="Yes",79&gt;=Projects!$C$37,79&lt;Projects!$C$37+Projects!$D$37),Projects!$B$37*INDEX(Curves!$B$4:$AR$4,1,79-Projects!$C$37+1),0)+IF(AND(Projects!$G$38="Yes",Projects!$M$38="Yes",79&gt;=Projects!$C$38,79&lt;Projects!$C$38+Projects!$D$38),Projects!$B$38*INDEX(Curves!$B$4:$AR$4,1,79-Projects!$C$38+1),0)+IF(AND(Projects!$G$39="Yes",Projects!$M$39="Yes",79&gt;=Projects!$C$39,79&lt;Projects!$C$39+Projects!$D$39),Projects!$B$39*INDEX(Curves!$B$4:$AR$4,1,79-Projects!$C$39+1),0)+IF(AND(Projects!$G$40="Yes",Projects!$M$40="Yes",79&gt;=Projects!$C$40,79&lt;Projects!$C$40+Projects!$D$40),Projects!$B$40*INDEX(Curves!$B$4:$AR$4,1,79-Projects!$C$40+1),0)+IF(AND(Projects!$G$41="Yes",Projects!$M$41="Yes",79&gt;=Projects!$C$41,79&lt;Projects!$C$41+Projects!$D$41),Projects!$B$41*INDEX(Curves!$B$4:$AR$4,1,79-Projects!$C$41+1),0)+IF(AND(Projects!$G$42="Yes",Projects!$M$42="Yes",79&gt;=Projects!$C$42,79&lt;Projects!$C$42+Projects!$D$42),Projects!$B$42*INDEX(Curves!$B$4:$AR$4,1,79-Projects!$C$42+1),0)+IF(AND(Projects!$G$43="Yes",Projects!$M$43="Yes",79&gt;=Projects!$C$43,79&lt;Projects!$C$43+Projects!$D$43),Projects!$B$43*INDEX(Curves!$B$4:$AR$4,1,79-Projects!$C$43+1),0)+IF(AND(Projects!$G$44="Yes",Projects!$M$44="Yes",79&gt;=Projects!$C$44,79&lt;Projects!$C$44+Projects!$D$44),Projects!$B$44*INDEX(Curves!$B$4:$AR$4,1,79-Projects!$C$44+1),0)+IF(AND(Projects!$G$45="Yes",Projects!$M$45="Yes",79&gt;=Projects!$C$45,79&lt;Projects!$C$45+Projects!$D$45),Projects!$B$45*INDEX(Curves!$B$4:$AR$4,1,79-Projects!$C$45+1),0)+IF(AND(Projects!$G$46="Yes",Projects!$M$46="Yes",79&gt;=Projects!$C$46,79&lt;Projects!$C$46+Projects!$D$46),Projects!$B$46*INDEX(Curves!$B$4:$AR$4,1,79-Projects!$C$46+1),0)</f>
        <v>0</v>
      </c>
      <c r="CG101" s="317" t="n">
        <f aca="false">IF(AND(Projects!$G$17="Yes",Projects!$M$17="Yes",80&gt;=Projects!$C$17,80&lt;Projects!$C$17+Projects!$D$17),Projects!$B$17*INDEX(Curves!$B$4:$AR$4,1,80-Projects!$C$17+1),0)+IF(AND(Projects!$G$18="Yes",Projects!$M$18="Yes",80&gt;=Projects!$C$18,80&lt;Projects!$C$18+Projects!$D$18),Projects!$B$18*INDEX(Curves!$B$4:$AR$4,1,80-Projects!$C$18+1),0)+IF(AND(Projects!$G$19="Yes",Projects!$M$19="Yes",80&gt;=Projects!$C$19,80&lt;Projects!$C$19+Projects!$D$19),Projects!$B$19*INDEX(Curves!$B$4:$AR$4,1,80-Projects!$C$19+1),0)+IF(AND(Projects!$G$20="Yes",Projects!$M$20="Yes",80&gt;=Projects!$C$20,80&lt;Projects!$C$20+Projects!$D$20),Projects!$B$20*INDEX(Curves!$B$4:$AR$4,1,80-Projects!$C$20+1),0)+IF(AND(Projects!$G$21="Yes",Projects!$M$21="Yes",80&gt;=Projects!$C$21,80&lt;Projects!$C$21+Projects!$D$21),Projects!$B$21*INDEX(Curves!$B$4:$AR$4,1,80-Projects!$C$21+1),0)+IF(AND(Projects!$G$22="Yes",Projects!$M$22="Yes",80&gt;=Projects!$C$22,80&lt;Projects!$C$22+Projects!$D$22),Projects!$B$22*INDEX(Curves!$B$4:$AR$4,1,80-Projects!$C$22+1),0)+IF(AND(Projects!$G$23="Yes",Projects!$M$23="Yes",80&gt;=Projects!$C$23,80&lt;Projects!$C$23+Projects!$D$23),Projects!$B$23*INDEX(Curves!$B$4:$AR$4,1,80-Projects!$C$23+1),0)+IF(AND(Projects!$G$24="Yes",Projects!$M$24="Yes",80&gt;=Projects!$C$24,80&lt;Projects!$C$24+Projects!$D$24),Projects!$B$24*INDEX(Curves!$B$4:$AR$4,1,80-Projects!$C$24+1),0)+IF(AND(Projects!$G$25="Yes",Projects!$M$25="Yes",80&gt;=Projects!$C$25,80&lt;Projects!$C$25+Projects!$D$25),Projects!$B$25*INDEX(Curves!$B$4:$AR$4,1,80-Projects!$C$25+1),0)+IF(AND(Projects!$G$26="Yes",Projects!$M$26="Yes",80&gt;=Projects!$C$26,80&lt;Projects!$C$26+Projects!$D$26),Projects!$B$26*INDEX(Curves!$B$4:$AR$4,1,80-Projects!$C$26+1),0)+IF(AND(Projects!$G$27="Yes",Projects!$M$27="Yes",80&gt;=Projects!$C$27,80&lt;Projects!$C$27+Projects!$D$27),Projects!$B$27*INDEX(Curves!$B$4:$AR$4,1,80-Projects!$C$27+1),0)+IF(AND(Projects!$G$28="Yes",Projects!$M$28="Yes",80&gt;=Projects!$C$28,80&lt;Projects!$C$28+Projects!$D$28),Projects!$B$28*INDEX(Curves!$B$4:$AR$4,1,80-Projects!$C$28+1),0)+IF(AND(Projects!$G$29="Yes",Projects!$M$29="Yes",80&gt;=Projects!$C$29,80&lt;Projects!$C$29+Projects!$D$29),Projects!$B$29*INDEX(Curves!$B$4:$AR$4,1,80-Projects!$C$29+1),0)+IF(AND(Projects!$G$30="Yes",Projects!$M$30="Yes",80&gt;=Projects!$C$30,80&lt;Projects!$C$30+Projects!$D$30),Projects!$B$30*INDEX(Curves!$B$4:$AR$4,1,80-Projects!$C$30+1),0)+IF(AND(Projects!$G$31="Yes",Projects!$M$31="Yes",80&gt;=Projects!$C$31,80&lt;Projects!$C$31+Projects!$D$31),Projects!$B$31*INDEX(Curves!$B$4:$AR$4,1,80-Projects!$C$31+1),0)+IF(AND(Projects!$G$32="Yes",Projects!$M$32="Yes",80&gt;=Projects!$C$32,80&lt;Projects!$C$32+Projects!$D$32),Projects!$B$32*INDEX(Curves!$B$4:$AR$4,1,80-Projects!$C$32+1),0)+IF(AND(Projects!$G$33="Yes",Projects!$M$33="Yes",80&gt;=Projects!$C$33,80&lt;Projects!$C$33+Projects!$D$33),Projects!$B$33*INDEX(Curves!$B$4:$AR$4,1,80-Projects!$C$33+1),0)+IF(AND(Projects!$G$34="Yes",Projects!$M$34="Yes",80&gt;=Projects!$C$34,80&lt;Projects!$C$34+Projects!$D$34),Projects!$B$34*INDEX(Curves!$B$4:$AR$4,1,80-Projects!$C$34+1),0)+IF(AND(Projects!$G$35="Yes",Projects!$M$35="Yes",80&gt;=Projects!$C$35,80&lt;Projects!$C$35+Projects!$D$35),Projects!$B$35*INDEX(Curves!$B$4:$AR$4,1,80-Projects!$C$35+1),0)+IF(AND(Projects!$G$36="Yes",Projects!$M$36="Yes",80&gt;=Projects!$C$36,80&lt;Projects!$C$36+Projects!$D$36),Projects!$B$36*INDEX(Curves!$B$4:$AR$4,1,80-Projects!$C$36+1),0)+IF(AND(Projects!$G$37="Yes",Projects!$M$37="Yes",80&gt;=Projects!$C$37,80&lt;Projects!$C$37+Projects!$D$37),Projects!$B$37*INDEX(Curves!$B$4:$AR$4,1,80-Projects!$C$37+1),0)+IF(AND(Projects!$G$38="Yes",Projects!$M$38="Yes",80&gt;=Projects!$C$38,80&lt;Projects!$C$38+Projects!$D$38),Projects!$B$38*INDEX(Curves!$B$4:$AR$4,1,80-Projects!$C$38+1),0)+IF(AND(Projects!$G$39="Yes",Projects!$M$39="Yes",80&gt;=Projects!$C$39,80&lt;Projects!$C$39+Projects!$D$39),Projects!$B$39*INDEX(Curves!$B$4:$AR$4,1,80-Projects!$C$39+1),0)+IF(AND(Projects!$G$40="Yes",Projects!$M$40="Yes",80&gt;=Projects!$C$40,80&lt;Projects!$C$40+Projects!$D$40),Projects!$B$40*INDEX(Curves!$B$4:$AR$4,1,80-Projects!$C$40+1),0)+IF(AND(Projects!$G$41="Yes",Projects!$M$41="Yes",80&gt;=Projects!$C$41,80&lt;Projects!$C$41+Projects!$D$41),Projects!$B$41*INDEX(Curves!$B$4:$AR$4,1,80-Projects!$C$41+1),0)+IF(AND(Projects!$G$42="Yes",Projects!$M$42="Yes",80&gt;=Projects!$C$42,80&lt;Projects!$C$42+Projects!$D$42),Projects!$B$42*INDEX(Curves!$B$4:$AR$4,1,80-Projects!$C$42+1),0)+IF(AND(Projects!$G$43="Yes",Projects!$M$43="Yes",80&gt;=Projects!$C$43,80&lt;Projects!$C$43+Projects!$D$43),Projects!$B$43*INDEX(Curves!$B$4:$AR$4,1,80-Projects!$C$43+1),0)+IF(AND(Projects!$G$44="Yes",Projects!$M$44="Yes",80&gt;=Projects!$C$44,80&lt;Projects!$C$44+Projects!$D$44),Projects!$B$44*INDEX(Curves!$B$4:$AR$4,1,80-Projects!$C$44+1),0)+IF(AND(Projects!$G$45="Yes",Projects!$M$45="Yes",80&gt;=Projects!$C$45,80&lt;Projects!$C$45+Projects!$D$45),Projects!$B$45*INDEX(Curves!$B$4:$AR$4,1,80-Projects!$C$45+1),0)+IF(AND(Projects!$G$46="Yes",Projects!$M$46="Yes",80&gt;=Projects!$C$46,80&lt;Projects!$C$46+Projects!$D$46),Projects!$B$46*INDEX(Curves!$B$4:$AR$4,1,80-Projects!$C$46+1),0)</f>
        <v>0</v>
      </c>
      <c r="CH101" s="317" t="n">
        <f aca="false">IF(AND(Projects!$G$17="Yes",Projects!$M$17="Yes",81&gt;=Projects!$C$17,81&lt;Projects!$C$17+Projects!$D$17),Projects!$B$17*INDEX(Curves!$B$4:$AR$4,1,81-Projects!$C$17+1),0)+IF(AND(Projects!$G$18="Yes",Projects!$M$18="Yes",81&gt;=Projects!$C$18,81&lt;Projects!$C$18+Projects!$D$18),Projects!$B$18*INDEX(Curves!$B$4:$AR$4,1,81-Projects!$C$18+1),0)+IF(AND(Projects!$G$19="Yes",Projects!$M$19="Yes",81&gt;=Projects!$C$19,81&lt;Projects!$C$19+Projects!$D$19),Projects!$B$19*INDEX(Curves!$B$4:$AR$4,1,81-Projects!$C$19+1),0)+IF(AND(Projects!$G$20="Yes",Projects!$M$20="Yes",81&gt;=Projects!$C$20,81&lt;Projects!$C$20+Projects!$D$20),Projects!$B$20*INDEX(Curves!$B$4:$AR$4,1,81-Projects!$C$20+1),0)+IF(AND(Projects!$G$21="Yes",Projects!$M$21="Yes",81&gt;=Projects!$C$21,81&lt;Projects!$C$21+Projects!$D$21),Projects!$B$21*INDEX(Curves!$B$4:$AR$4,1,81-Projects!$C$21+1),0)+IF(AND(Projects!$G$22="Yes",Projects!$M$22="Yes",81&gt;=Projects!$C$22,81&lt;Projects!$C$22+Projects!$D$22),Projects!$B$22*INDEX(Curves!$B$4:$AR$4,1,81-Projects!$C$22+1),0)+IF(AND(Projects!$G$23="Yes",Projects!$M$23="Yes",81&gt;=Projects!$C$23,81&lt;Projects!$C$23+Projects!$D$23),Projects!$B$23*INDEX(Curves!$B$4:$AR$4,1,81-Projects!$C$23+1),0)+IF(AND(Projects!$G$24="Yes",Projects!$M$24="Yes",81&gt;=Projects!$C$24,81&lt;Projects!$C$24+Projects!$D$24),Projects!$B$24*INDEX(Curves!$B$4:$AR$4,1,81-Projects!$C$24+1),0)+IF(AND(Projects!$G$25="Yes",Projects!$M$25="Yes",81&gt;=Projects!$C$25,81&lt;Projects!$C$25+Projects!$D$25),Projects!$B$25*INDEX(Curves!$B$4:$AR$4,1,81-Projects!$C$25+1),0)+IF(AND(Projects!$G$26="Yes",Projects!$M$26="Yes",81&gt;=Projects!$C$26,81&lt;Projects!$C$26+Projects!$D$26),Projects!$B$26*INDEX(Curves!$B$4:$AR$4,1,81-Projects!$C$26+1),0)+IF(AND(Projects!$G$27="Yes",Projects!$M$27="Yes",81&gt;=Projects!$C$27,81&lt;Projects!$C$27+Projects!$D$27),Projects!$B$27*INDEX(Curves!$B$4:$AR$4,1,81-Projects!$C$27+1),0)+IF(AND(Projects!$G$28="Yes",Projects!$M$28="Yes",81&gt;=Projects!$C$28,81&lt;Projects!$C$28+Projects!$D$28),Projects!$B$28*INDEX(Curves!$B$4:$AR$4,1,81-Projects!$C$28+1),0)+IF(AND(Projects!$G$29="Yes",Projects!$M$29="Yes",81&gt;=Projects!$C$29,81&lt;Projects!$C$29+Projects!$D$29),Projects!$B$29*INDEX(Curves!$B$4:$AR$4,1,81-Projects!$C$29+1),0)+IF(AND(Projects!$G$30="Yes",Projects!$M$30="Yes",81&gt;=Projects!$C$30,81&lt;Projects!$C$30+Projects!$D$30),Projects!$B$30*INDEX(Curves!$B$4:$AR$4,1,81-Projects!$C$30+1),0)+IF(AND(Projects!$G$31="Yes",Projects!$M$31="Yes",81&gt;=Projects!$C$31,81&lt;Projects!$C$31+Projects!$D$31),Projects!$B$31*INDEX(Curves!$B$4:$AR$4,1,81-Projects!$C$31+1),0)+IF(AND(Projects!$G$32="Yes",Projects!$M$32="Yes",81&gt;=Projects!$C$32,81&lt;Projects!$C$32+Projects!$D$32),Projects!$B$32*INDEX(Curves!$B$4:$AR$4,1,81-Projects!$C$32+1),0)+IF(AND(Projects!$G$33="Yes",Projects!$M$33="Yes",81&gt;=Projects!$C$33,81&lt;Projects!$C$33+Projects!$D$33),Projects!$B$33*INDEX(Curves!$B$4:$AR$4,1,81-Projects!$C$33+1),0)+IF(AND(Projects!$G$34="Yes",Projects!$M$34="Yes",81&gt;=Projects!$C$34,81&lt;Projects!$C$34+Projects!$D$34),Projects!$B$34*INDEX(Curves!$B$4:$AR$4,1,81-Projects!$C$34+1),0)+IF(AND(Projects!$G$35="Yes",Projects!$M$35="Yes",81&gt;=Projects!$C$35,81&lt;Projects!$C$35+Projects!$D$35),Projects!$B$35*INDEX(Curves!$B$4:$AR$4,1,81-Projects!$C$35+1),0)+IF(AND(Projects!$G$36="Yes",Projects!$M$36="Yes",81&gt;=Projects!$C$36,81&lt;Projects!$C$36+Projects!$D$36),Projects!$B$36*INDEX(Curves!$B$4:$AR$4,1,81-Projects!$C$36+1),0)+IF(AND(Projects!$G$37="Yes",Projects!$M$37="Yes",81&gt;=Projects!$C$37,81&lt;Projects!$C$37+Projects!$D$37),Projects!$B$37*INDEX(Curves!$B$4:$AR$4,1,81-Projects!$C$37+1),0)+IF(AND(Projects!$G$38="Yes",Projects!$M$38="Yes",81&gt;=Projects!$C$38,81&lt;Projects!$C$38+Projects!$D$38),Projects!$B$38*INDEX(Curves!$B$4:$AR$4,1,81-Projects!$C$38+1),0)+IF(AND(Projects!$G$39="Yes",Projects!$M$39="Yes",81&gt;=Projects!$C$39,81&lt;Projects!$C$39+Projects!$D$39),Projects!$B$39*INDEX(Curves!$B$4:$AR$4,1,81-Projects!$C$39+1),0)+IF(AND(Projects!$G$40="Yes",Projects!$M$40="Yes",81&gt;=Projects!$C$40,81&lt;Projects!$C$40+Projects!$D$40),Projects!$B$40*INDEX(Curves!$B$4:$AR$4,1,81-Projects!$C$40+1),0)+IF(AND(Projects!$G$41="Yes",Projects!$M$41="Yes",81&gt;=Projects!$C$41,81&lt;Projects!$C$41+Projects!$D$41),Projects!$B$41*INDEX(Curves!$B$4:$AR$4,1,81-Projects!$C$41+1),0)+IF(AND(Projects!$G$42="Yes",Projects!$M$42="Yes",81&gt;=Projects!$C$42,81&lt;Projects!$C$42+Projects!$D$42),Projects!$B$42*INDEX(Curves!$B$4:$AR$4,1,81-Projects!$C$42+1),0)+IF(AND(Projects!$G$43="Yes",Projects!$M$43="Yes",81&gt;=Projects!$C$43,81&lt;Projects!$C$43+Projects!$D$43),Projects!$B$43*INDEX(Curves!$B$4:$AR$4,1,81-Projects!$C$43+1),0)+IF(AND(Projects!$G$44="Yes",Projects!$M$44="Yes",81&gt;=Projects!$C$44,81&lt;Projects!$C$44+Projects!$D$44),Projects!$B$44*INDEX(Curves!$B$4:$AR$4,1,81-Projects!$C$44+1),0)+IF(AND(Projects!$G$45="Yes",Projects!$M$45="Yes",81&gt;=Projects!$C$45,81&lt;Projects!$C$45+Projects!$D$45),Projects!$B$45*INDEX(Curves!$B$4:$AR$4,1,81-Projects!$C$45+1),0)+IF(AND(Projects!$G$46="Yes",Projects!$M$46="Yes",81&gt;=Projects!$C$46,81&lt;Projects!$C$46+Projects!$D$46),Projects!$B$46*INDEX(Curves!$B$4:$AR$4,1,81-Projects!$C$46+1),0)</f>
        <v>0</v>
      </c>
      <c r="CI101" s="317" t="n">
        <f aca="false">IF(AND(Projects!$G$17="Yes",Projects!$M$17="Yes",82&gt;=Projects!$C$17,82&lt;Projects!$C$17+Projects!$D$17),Projects!$B$17*INDEX(Curves!$B$4:$AR$4,1,82-Projects!$C$17+1),0)+IF(AND(Projects!$G$18="Yes",Projects!$M$18="Yes",82&gt;=Projects!$C$18,82&lt;Projects!$C$18+Projects!$D$18),Projects!$B$18*INDEX(Curves!$B$4:$AR$4,1,82-Projects!$C$18+1),0)+IF(AND(Projects!$G$19="Yes",Projects!$M$19="Yes",82&gt;=Projects!$C$19,82&lt;Projects!$C$19+Projects!$D$19),Projects!$B$19*INDEX(Curves!$B$4:$AR$4,1,82-Projects!$C$19+1),0)+IF(AND(Projects!$G$20="Yes",Projects!$M$20="Yes",82&gt;=Projects!$C$20,82&lt;Projects!$C$20+Projects!$D$20),Projects!$B$20*INDEX(Curves!$B$4:$AR$4,1,82-Projects!$C$20+1),0)+IF(AND(Projects!$G$21="Yes",Projects!$M$21="Yes",82&gt;=Projects!$C$21,82&lt;Projects!$C$21+Projects!$D$21),Projects!$B$21*INDEX(Curves!$B$4:$AR$4,1,82-Projects!$C$21+1),0)+IF(AND(Projects!$G$22="Yes",Projects!$M$22="Yes",82&gt;=Projects!$C$22,82&lt;Projects!$C$22+Projects!$D$22),Projects!$B$22*INDEX(Curves!$B$4:$AR$4,1,82-Projects!$C$22+1),0)+IF(AND(Projects!$G$23="Yes",Projects!$M$23="Yes",82&gt;=Projects!$C$23,82&lt;Projects!$C$23+Projects!$D$23),Projects!$B$23*INDEX(Curves!$B$4:$AR$4,1,82-Projects!$C$23+1),0)+IF(AND(Projects!$G$24="Yes",Projects!$M$24="Yes",82&gt;=Projects!$C$24,82&lt;Projects!$C$24+Projects!$D$24),Projects!$B$24*INDEX(Curves!$B$4:$AR$4,1,82-Projects!$C$24+1),0)+IF(AND(Projects!$G$25="Yes",Projects!$M$25="Yes",82&gt;=Projects!$C$25,82&lt;Projects!$C$25+Projects!$D$25),Projects!$B$25*INDEX(Curves!$B$4:$AR$4,1,82-Projects!$C$25+1),0)+IF(AND(Projects!$G$26="Yes",Projects!$M$26="Yes",82&gt;=Projects!$C$26,82&lt;Projects!$C$26+Projects!$D$26),Projects!$B$26*INDEX(Curves!$B$4:$AR$4,1,82-Projects!$C$26+1),0)+IF(AND(Projects!$G$27="Yes",Projects!$M$27="Yes",82&gt;=Projects!$C$27,82&lt;Projects!$C$27+Projects!$D$27),Projects!$B$27*INDEX(Curves!$B$4:$AR$4,1,82-Projects!$C$27+1),0)+IF(AND(Projects!$G$28="Yes",Projects!$M$28="Yes",82&gt;=Projects!$C$28,82&lt;Projects!$C$28+Projects!$D$28),Projects!$B$28*INDEX(Curves!$B$4:$AR$4,1,82-Projects!$C$28+1),0)+IF(AND(Projects!$G$29="Yes",Projects!$M$29="Yes",82&gt;=Projects!$C$29,82&lt;Projects!$C$29+Projects!$D$29),Projects!$B$29*INDEX(Curves!$B$4:$AR$4,1,82-Projects!$C$29+1),0)+IF(AND(Projects!$G$30="Yes",Projects!$M$30="Yes",82&gt;=Projects!$C$30,82&lt;Projects!$C$30+Projects!$D$30),Projects!$B$30*INDEX(Curves!$B$4:$AR$4,1,82-Projects!$C$30+1),0)+IF(AND(Projects!$G$31="Yes",Projects!$M$31="Yes",82&gt;=Projects!$C$31,82&lt;Projects!$C$31+Projects!$D$31),Projects!$B$31*INDEX(Curves!$B$4:$AR$4,1,82-Projects!$C$31+1),0)+IF(AND(Projects!$G$32="Yes",Projects!$M$32="Yes",82&gt;=Projects!$C$32,82&lt;Projects!$C$32+Projects!$D$32),Projects!$B$32*INDEX(Curves!$B$4:$AR$4,1,82-Projects!$C$32+1),0)+IF(AND(Projects!$G$33="Yes",Projects!$M$33="Yes",82&gt;=Projects!$C$33,82&lt;Projects!$C$33+Projects!$D$33),Projects!$B$33*INDEX(Curves!$B$4:$AR$4,1,82-Projects!$C$33+1),0)+IF(AND(Projects!$G$34="Yes",Projects!$M$34="Yes",82&gt;=Projects!$C$34,82&lt;Projects!$C$34+Projects!$D$34),Projects!$B$34*INDEX(Curves!$B$4:$AR$4,1,82-Projects!$C$34+1),0)+IF(AND(Projects!$G$35="Yes",Projects!$M$35="Yes",82&gt;=Projects!$C$35,82&lt;Projects!$C$35+Projects!$D$35),Projects!$B$35*INDEX(Curves!$B$4:$AR$4,1,82-Projects!$C$35+1),0)+IF(AND(Projects!$G$36="Yes",Projects!$M$36="Yes",82&gt;=Projects!$C$36,82&lt;Projects!$C$36+Projects!$D$36),Projects!$B$36*INDEX(Curves!$B$4:$AR$4,1,82-Projects!$C$36+1),0)+IF(AND(Projects!$G$37="Yes",Projects!$M$37="Yes",82&gt;=Projects!$C$37,82&lt;Projects!$C$37+Projects!$D$37),Projects!$B$37*INDEX(Curves!$B$4:$AR$4,1,82-Projects!$C$37+1),0)+IF(AND(Projects!$G$38="Yes",Projects!$M$38="Yes",82&gt;=Projects!$C$38,82&lt;Projects!$C$38+Projects!$D$38),Projects!$B$38*INDEX(Curves!$B$4:$AR$4,1,82-Projects!$C$38+1),0)+IF(AND(Projects!$G$39="Yes",Projects!$M$39="Yes",82&gt;=Projects!$C$39,82&lt;Projects!$C$39+Projects!$D$39),Projects!$B$39*INDEX(Curves!$B$4:$AR$4,1,82-Projects!$C$39+1),0)+IF(AND(Projects!$G$40="Yes",Projects!$M$40="Yes",82&gt;=Projects!$C$40,82&lt;Projects!$C$40+Projects!$D$40),Projects!$B$40*INDEX(Curves!$B$4:$AR$4,1,82-Projects!$C$40+1),0)+IF(AND(Projects!$G$41="Yes",Projects!$M$41="Yes",82&gt;=Projects!$C$41,82&lt;Projects!$C$41+Projects!$D$41),Projects!$B$41*INDEX(Curves!$B$4:$AR$4,1,82-Projects!$C$41+1),0)+IF(AND(Projects!$G$42="Yes",Projects!$M$42="Yes",82&gt;=Projects!$C$42,82&lt;Projects!$C$42+Projects!$D$42),Projects!$B$42*INDEX(Curves!$B$4:$AR$4,1,82-Projects!$C$42+1),0)+IF(AND(Projects!$G$43="Yes",Projects!$M$43="Yes",82&gt;=Projects!$C$43,82&lt;Projects!$C$43+Projects!$D$43),Projects!$B$43*INDEX(Curves!$B$4:$AR$4,1,82-Projects!$C$43+1),0)+IF(AND(Projects!$G$44="Yes",Projects!$M$44="Yes",82&gt;=Projects!$C$44,82&lt;Projects!$C$44+Projects!$D$44),Projects!$B$44*INDEX(Curves!$B$4:$AR$4,1,82-Projects!$C$44+1),0)+IF(AND(Projects!$G$45="Yes",Projects!$M$45="Yes",82&gt;=Projects!$C$45,82&lt;Projects!$C$45+Projects!$D$45),Projects!$B$45*INDEX(Curves!$B$4:$AR$4,1,82-Projects!$C$45+1),0)+IF(AND(Projects!$G$46="Yes",Projects!$M$46="Yes",82&gt;=Projects!$C$46,82&lt;Projects!$C$46+Projects!$D$46),Projects!$B$46*INDEX(Curves!$B$4:$AR$4,1,82-Projects!$C$46+1),0)</f>
        <v>0</v>
      </c>
      <c r="CJ101" s="317" t="n">
        <f aca="false">IF(AND(Projects!$G$17="Yes",Projects!$M$17="Yes",83&gt;=Projects!$C$17,83&lt;Projects!$C$17+Projects!$D$17),Projects!$B$17*INDEX(Curves!$B$4:$AR$4,1,83-Projects!$C$17+1),0)+IF(AND(Projects!$G$18="Yes",Projects!$M$18="Yes",83&gt;=Projects!$C$18,83&lt;Projects!$C$18+Projects!$D$18),Projects!$B$18*INDEX(Curves!$B$4:$AR$4,1,83-Projects!$C$18+1),0)+IF(AND(Projects!$G$19="Yes",Projects!$M$19="Yes",83&gt;=Projects!$C$19,83&lt;Projects!$C$19+Projects!$D$19),Projects!$B$19*INDEX(Curves!$B$4:$AR$4,1,83-Projects!$C$19+1),0)+IF(AND(Projects!$G$20="Yes",Projects!$M$20="Yes",83&gt;=Projects!$C$20,83&lt;Projects!$C$20+Projects!$D$20),Projects!$B$20*INDEX(Curves!$B$4:$AR$4,1,83-Projects!$C$20+1),0)+IF(AND(Projects!$G$21="Yes",Projects!$M$21="Yes",83&gt;=Projects!$C$21,83&lt;Projects!$C$21+Projects!$D$21),Projects!$B$21*INDEX(Curves!$B$4:$AR$4,1,83-Projects!$C$21+1),0)+IF(AND(Projects!$G$22="Yes",Projects!$M$22="Yes",83&gt;=Projects!$C$22,83&lt;Projects!$C$22+Projects!$D$22),Projects!$B$22*INDEX(Curves!$B$4:$AR$4,1,83-Projects!$C$22+1),0)+IF(AND(Projects!$G$23="Yes",Projects!$M$23="Yes",83&gt;=Projects!$C$23,83&lt;Projects!$C$23+Projects!$D$23),Projects!$B$23*INDEX(Curves!$B$4:$AR$4,1,83-Projects!$C$23+1),0)+IF(AND(Projects!$G$24="Yes",Projects!$M$24="Yes",83&gt;=Projects!$C$24,83&lt;Projects!$C$24+Projects!$D$24),Projects!$B$24*INDEX(Curves!$B$4:$AR$4,1,83-Projects!$C$24+1),0)+IF(AND(Projects!$G$25="Yes",Projects!$M$25="Yes",83&gt;=Projects!$C$25,83&lt;Projects!$C$25+Projects!$D$25),Projects!$B$25*INDEX(Curves!$B$4:$AR$4,1,83-Projects!$C$25+1),0)+IF(AND(Projects!$G$26="Yes",Projects!$M$26="Yes",83&gt;=Projects!$C$26,83&lt;Projects!$C$26+Projects!$D$26),Projects!$B$26*INDEX(Curves!$B$4:$AR$4,1,83-Projects!$C$26+1),0)+IF(AND(Projects!$G$27="Yes",Projects!$M$27="Yes",83&gt;=Projects!$C$27,83&lt;Projects!$C$27+Projects!$D$27),Projects!$B$27*INDEX(Curves!$B$4:$AR$4,1,83-Projects!$C$27+1),0)+IF(AND(Projects!$G$28="Yes",Projects!$M$28="Yes",83&gt;=Projects!$C$28,83&lt;Projects!$C$28+Projects!$D$28),Projects!$B$28*INDEX(Curves!$B$4:$AR$4,1,83-Projects!$C$28+1),0)+IF(AND(Projects!$G$29="Yes",Projects!$M$29="Yes",83&gt;=Projects!$C$29,83&lt;Projects!$C$29+Projects!$D$29),Projects!$B$29*INDEX(Curves!$B$4:$AR$4,1,83-Projects!$C$29+1),0)+IF(AND(Projects!$G$30="Yes",Projects!$M$30="Yes",83&gt;=Projects!$C$30,83&lt;Projects!$C$30+Projects!$D$30),Projects!$B$30*INDEX(Curves!$B$4:$AR$4,1,83-Projects!$C$30+1),0)+IF(AND(Projects!$G$31="Yes",Projects!$M$31="Yes",83&gt;=Projects!$C$31,83&lt;Projects!$C$31+Projects!$D$31),Projects!$B$31*INDEX(Curves!$B$4:$AR$4,1,83-Projects!$C$31+1),0)+IF(AND(Projects!$G$32="Yes",Projects!$M$32="Yes",83&gt;=Projects!$C$32,83&lt;Projects!$C$32+Projects!$D$32),Projects!$B$32*INDEX(Curves!$B$4:$AR$4,1,83-Projects!$C$32+1),0)+IF(AND(Projects!$G$33="Yes",Projects!$M$33="Yes",83&gt;=Projects!$C$33,83&lt;Projects!$C$33+Projects!$D$33),Projects!$B$33*INDEX(Curves!$B$4:$AR$4,1,83-Projects!$C$33+1),0)+IF(AND(Projects!$G$34="Yes",Projects!$M$34="Yes",83&gt;=Projects!$C$34,83&lt;Projects!$C$34+Projects!$D$34),Projects!$B$34*INDEX(Curves!$B$4:$AR$4,1,83-Projects!$C$34+1),0)+IF(AND(Projects!$G$35="Yes",Projects!$M$35="Yes",83&gt;=Projects!$C$35,83&lt;Projects!$C$35+Projects!$D$35),Projects!$B$35*INDEX(Curves!$B$4:$AR$4,1,83-Projects!$C$35+1),0)+IF(AND(Projects!$G$36="Yes",Projects!$M$36="Yes",83&gt;=Projects!$C$36,83&lt;Projects!$C$36+Projects!$D$36),Projects!$B$36*INDEX(Curves!$B$4:$AR$4,1,83-Projects!$C$36+1),0)+IF(AND(Projects!$G$37="Yes",Projects!$M$37="Yes",83&gt;=Projects!$C$37,83&lt;Projects!$C$37+Projects!$D$37),Projects!$B$37*INDEX(Curves!$B$4:$AR$4,1,83-Projects!$C$37+1),0)+IF(AND(Projects!$G$38="Yes",Projects!$M$38="Yes",83&gt;=Projects!$C$38,83&lt;Projects!$C$38+Projects!$D$38),Projects!$B$38*INDEX(Curves!$B$4:$AR$4,1,83-Projects!$C$38+1),0)+IF(AND(Projects!$G$39="Yes",Projects!$M$39="Yes",83&gt;=Projects!$C$39,83&lt;Projects!$C$39+Projects!$D$39),Projects!$B$39*INDEX(Curves!$B$4:$AR$4,1,83-Projects!$C$39+1),0)+IF(AND(Projects!$G$40="Yes",Projects!$M$40="Yes",83&gt;=Projects!$C$40,83&lt;Projects!$C$40+Projects!$D$40),Projects!$B$40*INDEX(Curves!$B$4:$AR$4,1,83-Projects!$C$40+1),0)+IF(AND(Projects!$G$41="Yes",Projects!$M$41="Yes",83&gt;=Projects!$C$41,83&lt;Projects!$C$41+Projects!$D$41),Projects!$B$41*INDEX(Curves!$B$4:$AR$4,1,83-Projects!$C$41+1),0)+IF(AND(Projects!$G$42="Yes",Projects!$M$42="Yes",83&gt;=Projects!$C$42,83&lt;Projects!$C$42+Projects!$D$42),Projects!$B$42*INDEX(Curves!$B$4:$AR$4,1,83-Projects!$C$42+1),0)+IF(AND(Projects!$G$43="Yes",Projects!$M$43="Yes",83&gt;=Projects!$C$43,83&lt;Projects!$C$43+Projects!$D$43),Projects!$B$43*INDEX(Curves!$B$4:$AR$4,1,83-Projects!$C$43+1),0)+IF(AND(Projects!$G$44="Yes",Projects!$M$44="Yes",83&gt;=Projects!$C$44,83&lt;Projects!$C$44+Projects!$D$44),Projects!$B$44*INDEX(Curves!$B$4:$AR$4,1,83-Projects!$C$44+1),0)+IF(AND(Projects!$G$45="Yes",Projects!$M$45="Yes",83&gt;=Projects!$C$45,83&lt;Projects!$C$45+Projects!$D$45),Projects!$B$45*INDEX(Curves!$B$4:$AR$4,1,83-Projects!$C$45+1),0)+IF(AND(Projects!$G$46="Yes",Projects!$M$46="Yes",83&gt;=Projects!$C$46,83&lt;Projects!$C$46+Projects!$D$46),Projects!$B$46*INDEX(Curves!$B$4:$AR$4,1,83-Projects!$C$46+1),0)</f>
        <v>0</v>
      </c>
      <c r="CK101" s="317" t="n">
        <f aca="false">IF(AND(Projects!$G$17="Yes",Projects!$M$17="Yes",84&gt;=Projects!$C$17,84&lt;Projects!$C$17+Projects!$D$17),Projects!$B$17*INDEX(Curves!$B$4:$AR$4,1,84-Projects!$C$17+1),0)+IF(AND(Projects!$G$18="Yes",Projects!$M$18="Yes",84&gt;=Projects!$C$18,84&lt;Projects!$C$18+Projects!$D$18),Projects!$B$18*INDEX(Curves!$B$4:$AR$4,1,84-Projects!$C$18+1),0)+IF(AND(Projects!$G$19="Yes",Projects!$M$19="Yes",84&gt;=Projects!$C$19,84&lt;Projects!$C$19+Projects!$D$19),Projects!$B$19*INDEX(Curves!$B$4:$AR$4,1,84-Projects!$C$19+1),0)+IF(AND(Projects!$G$20="Yes",Projects!$M$20="Yes",84&gt;=Projects!$C$20,84&lt;Projects!$C$20+Projects!$D$20),Projects!$B$20*INDEX(Curves!$B$4:$AR$4,1,84-Projects!$C$20+1),0)+IF(AND(Projects!$G$21="Yes",Projects!$M$21="Yes",84&gt;=Projects!$C$21,84&lt;Projects!$C$21+Projects!$D$21),Projects!$B$21*INDEX(Curves!$B$4:$AR$4,1,84-Projects!$C$21+1),0)+IF(AND(Projects!$G$22="Yes",Projects!$M$22="Yes",84&gt;=Projects!$C$22,84&lt;Projects!$C$22+Projects!$D$22),Projects!$B$22*INDEX(Curves!$B$4:$AR$4,1,84-Projects!$C$22+1),0)+IF(AND(Projects!$G$23="Yes",Projects!$M$23="Yes",84&gt;=Projects!$C$23,84&lt;Projects!$C$23+Projects!$D$23),Projects!$B$23*INDEX(Curves!$B$4:$AR$4,1,84-Projects!$C$23+1),0)+IF(AND(Projects!$G$24="Yes",Projects!$M$24="Yes",84&gt;=Projects!$C$24,84&lt;Projects!$C$24+Projects!$D$24),Projects!$B$24*INDEX(Curves!$B$4:$AR$4,1,84-Projects!$C$24+1),0)+IF(AND(Projects!$G$25="Yes",Projects!$M$25="Yes",84&gt;=Projects!$C$25,84&lt;Projects!$C$25+Projects!$D$25),Projects!$B$25*INDEX(Curves!$B$4:$AR$4,1,84-Projects!$C$25+1),0)+IF(AND(Projects!$G$26="Yes",Projects!$M$26="Yes",84&gt;=Projects!$C$26,84&lt;Projects!$C$26+Projects!$D$26),Projects!$B$26*INDEX(Curves!$B$4:$AR$4,1,84-Projects!$C$26+1),0)+IF(AND(Projects!$G$27="Yes",Projects!$M$27="Yes",84&gt;=Projects!$C$27,84&lt;Projects!$C$27+Projects!$D$27),Projects!$B$27*INDEX(Curves!$B$4:$AR$4,1,84-Projects!$C$27+1),0)+IF(AND(Projects!$G$28="Yes",Projects!$M$28="Yes",84&gt;=Projects!$C$28,84&lt;Projects!$C$28+Projects!$D$28),Projects!$B$28*INDEX(Curves!$B$4:$AR$4,1,84-Projects!$C$28+1),0)+IF(AND(Projects!$G$29="Yes",Projects!$M$29="Yes",84&gt;=Projects!$C$29,84&lt;Projects!$C$29+Projects!$D$29),Projects!$B$29*INDEX(Curves!$B$4:$AR$4,1,84-Projects!$C$29+1),0)+IF(AND(Projects!$G$30="Yes",Projects!$M$30="Yes",84&gt;=Projects!$C$30,84&lt;Projects!$C$30+Projects!$D$30),Projects!$B$30*INDEX(Curves!$B$4:$AR$4,1,84-Projects!$C$30+1),0)+IF(AND(Projects!$G$31="Yes",Projects!$M$31="Yes",84&gt;=Projects!$C$31,84&lt;Projects!$C$31+Projects!$D$31),Projects!$B$31*INDEX(Curves!$B$4:$AR$4,1,84-Projects!$C$31+1),0)+IF(AND(Projects!$G$32="Yes",Projects!$M$32="Yes",84&gt;=Projects!$C$32,84&lt;Projects!$C$32+Projects!$D$32),Projects!$B$32*INDEX(Curves!$B$4:$AR$4,1,84-Projects!$C$32+1),0)+IF(AND(Projects!$G$33="Yes",Projects!$M$33="Yes",84&gt;=Projects!$C$33,84&lt;Projects!$C$33+Projects!$D$33),Projects!$B$33*INDEX(Curves!$B$4:$AR$4,1,84-Projects!$C$33+1),0)+IF(AND(Projects!$G$34="Yes",Projects!$M$34="Yes",84&gt;=Projects!$C$34,84&lt;Projects!$C$34+Projects!$D$34),Projects!$B$34*INDEX(Curves!$B$4:$AR$4,1,84-Projects!$C$34+1),0)+IF(AND(Projects!$G$35="Yes",Projects!$M$35="Yes",84&gt;=Projects!$C$35,84&lt;Projects!$C$35+Projects!$D$35),Projects!$B$35*INDEX(Curves!$B$4:$AR$4,1,84-Projects!$C$35+1),0)+IF(AND(Projects!$G$36="Yes",Projects!$M$36="Yes",84&gt;=Projects!$C$36,84&lt;Projects!$C$36+Projects!$D$36),Projects!$B$36*INDEX(Curves!$B$4:$AR$4,1,84-Projects!$C$36+1),0)+IF(AND(Projects!$G$37="Yes",Projects!$M$37="Yes",84&gt;=Projects!$C$37,84&lt;Projects!$C$37+Projects!$D$37),Projects!$B$37*INDEX(Curves!$B$4:$AR$4,1,84-Projects!$C$37+1),0)+IF(AND(Projects!$G$38="Yes",Projects!$M$38="Yes",84&gt;=Projects!$C$38,84&lt;Projects!$C$38+Projects!$D$38),Projects!$B$38*INDEX(Curves!$B$4:$AR$4,1,84-Projects!$C$38+1),0)+IF(AND(Projects!$G$39="Yes",Projects!$M$39="Yes",84&gt;=Projects!$C$39,84&lt;Projects!$C$39+Projects!$D$39),Projects!$B$39*INDEX(Curves!$B$4:$AR$4,1,84-Projects!$C$39+1),0)+IF(AND(Projects!$G$40="Yes",Projects!$M$40="Yes",84&gt;=Projects!$C$40,84&lt;Projects!$C$40+Projects!$D$40),Projects!$B$40*INDEX(Curves!$B$4:$AR$4,1,84-Projects!$C$40+1),0)+IF(AND(Projects!$G$41="Yes",Projects!$M$41="Yes",84&gt;=Projects!$C$41,84&lt;Projects!$C$41+Projects!$D$41),Projects!$B$41*INDEX(Curves!$B$4:$AR$4,1,84-Projects!$C$41+1),0)+IF(AND(Projects!$G$42="Yes",Projects!$M$42="Yes",84&gt;=Projects!$C$42,84&lt;Projects!$C$42+Projects!$D$42),Projects!$B$42*INDEX(Curves!$B$4:$AR$4,1,84-Projects!$C$42+1),0)+IF(AND(Projects!$G$43="Yes",Projects!$M$43="Yes",84&gt;=Projects!$C$43,84&lt;Projects!$C$43+Projects!$D$43),Projects!$B$43*INDEX(Curves!$B$4:$AR$4,1,84-Projects!$C$43+1),0)+IF(AND(Projects!$G$44="Yes",Projects!$M$44="Yes",84&gt;=Projects!$C$44,84&lt;Projects!$C$44+Projects!$D$44),Projects!$B$44*INDEX(Curves!$B$4:$AR$4,1,84-Projects!$C$44+1),0)+IF(AND(Projects!$G$45="Yes",Projects!$M$45="Yes",84&gt;=Projects!$C$45,84&lt;Projects!$C$45+Projects!$D$45),Projects!$B$45*INDEX(Curves!$B$4:$AR$4,1,84-Projects!$C$45+1),0)+IF(AND(Projects!$G$46="Yes",Projects!$M$46="Yes",84&gt;=Projects!$C$46,84&lt;Projects!$C$46+Projects!$D$46),Projects!$B$46*INDEX(Curves!$B$4:$AR$4,1,84-Projects!$C$46+1),0)</f>
        <v>0</v>
      </c>
      <c r="CL101" s="317" t="n">
        <f aca="false">IF(AND(Projects!$G$17="Yes",Projects!$M$17="Yes",85&gt;=Projects!$C$17,85&lt;Projects!$C$17+Projects!$D$17),Projects!$B$17*INDEX(Curves!$B$4:$AR$4,1,85-Projects!$C$17+1),0)+IF(AND(Projects!$G$18="Yes",Projects!$M$18="Yes",85&gt;=Projects!$C$18,85&lt;Projects!$C$18+Projects!$D$18),Projects!$B$18*INDEX(Curves!$B$4:$AR$4,1,85-Projects!$C$18+1),0)+IF(AND(Projects!$G$19="Yes",Projects!$M$19="Yes",85&gt;=Projects!$C$19,85&lt;Projects!$C$19+Projects!$D$19),Projects!$B$19*INDEX(Curves!$B$4:$AR$4,1,85-Projects!$C$19+1),0)+IF(AND(Projects!$G$20="Yes",Projects!$M$20="Yes",85&gt;=Projects!$C$20,85&lt;Projects!$C$20+Projects!$D$20),Projects!$B$20*INDEX(Curves!$B$4:$AR$4,1,85-Projects!$C$20+1),0)+IF(AND(Projects!$G$21="Yes",Projects!$M$21="Yes",85&gt;=Projects!$C$21,85&lt;Projects!$C$21+Projects!$D$21),Projects!$B$21*INDEX(Curves!$B$4:$AR$4,1,85-Projects!$C$21+1),0)+IF(AND(Projects!$G$22="Yes",Projects!$M$22="Yes",85&gt;=Projects!$C$22,85&lt;Projects!$C$22+Projects!$D$22),Projects!$B$22*INDEX(Curves!$B$4:$AR$4,1,85-Projects!$C$22+1),0)+IF(AND(Projects!$G$23="Yes",Projects!$M$23="Yes",85&gt;=Projects!$C$23,85&lt;Projects!$C$23+Projects!$D$23),Projects!$B$23*INDEX(Curves!$B$4:$AR$4,1,85-Projects!$C$23+1),0)+IF(AND(Projects!$G$24="Yes",Projects!$M$24="Yes",85&gt;=Projects!$C$24,85&lt;Projects!$C$24+Projects!$D$24),Projects!$B$24*INDEX(Curves!$B$4:$AR$4,1,85-Projects!$C$24+1),0)+IF(AND(Projects!$G$25="Yes",Projects!$M$25="Yes",85&gt;=Projects!$C$25,85&lt;Projects!$C$25+Projects!$D$25),Projects!$B$25*INDEX(Curves!$B$4:$AR$4,1,85-Projects!$C$25+1),0)+IF(AND(Projects!$G$26="Yes",Projects!$M$26="Yes",85&gt;=Projects!$C$26,85&lt;Projects!$C$26+Projects!$D$26),Projects!$B$26*INDEX(Curves!$B$4:$AR$4,1,85-Projects!$C$26+1),0)+IF(AND(Projects!$G$27="Yes",Projects!$M$27="Yes",85&gt;=Projects!$C$27,85&lt;Projects!$C$27+Projects!$D$27),Projects!$B$27*INDEX(Curves!$B$4:$AR$4,1,85-Projects!$C$27+1),0)+IF(AND(Projects!$G$28="Yes",Projects!$M$28="Yes",85&gt;=Projects!$C$28,85&lt;Projects!$C$28+Projects!$D$28),Projects!$B$28*INDEX(Curves!$B$4:$AR$4,1,85-Projects!$C$28+1),0)+IF(AND(Projects!$G$29="Yes",Projects!$M$29="Yes",85&gt;=Projects!$C$29,85&lt;Projects!$C$29+Projects!$D$29),Projects!$B$29*INDEX(Curves!$B$4:$AR$4,1,85-Projects!$C$29+1),0)+IF(AND(Projects!$G$30="Yes",Projects!$M$30="Yes",85&gt;=Projects!$C$30,85&lt;Projects!$C$30+Projects!$D$30),Projects!$B$30*INDEX(Curves!$B$4:$AR$4,1,85-Projects!$C$30+1),0)+IF(AND(Projects!$G$31="Yes",Projects!$M$31="Yes",85&gt;=Projects!$C$31,85&lt;Projects!$C$31+Projects!$D$31),Projects!$B$31*INDEX(Curves!$B$4:$AR$4,1,85-Projects!$C$31+1),0)+IF(AND(Projects!$G$32="Yes",Projects!$M$32="Yes",85&gt;=Projects!$C$32,85&lt;Projects!$C$32+Projects!$D$32),Projects!$B$32*INDEX(Curves!$B$4:$AR$4,1,85-Projects!$C$32+1),0)+IF(AND(Projects!$G$33="Yes",Projects!$M$33="Yes",85&gt;=Projects!$C$33,85&lt;Projects!$C$33+Projects!$D$33),Projects!$B$33*INDEX(Curves!$B$4:$AR$4,1,85-Projects!$C$33+1),0)+IF(AND(Projects!$G$34="Yes",Projects!$M$34="Yes",85&gt;=Projects!$C$34,85&lt;Projects!$C$34+Projects!$D$34),Projects!$B$34*INDEX(Curves!$B$4:$AR$4,1,85-Projects!$C$34+1),0)+IF(AND(Projects!$G$35="Yes",Projects!$M$35="Yes",85&gt;=Projects!$C$35,85&lt;Projects!$C$35+Projects!$D$35),Projects!$B$35*INDEX(Curves!$B$4:$AR$4,1,85-Projects!$C$35+1),0)+IF(AND(Projects!$G$36="Yes",Projects!$M$36="Yes",85&gt;=Projects!$C$36,85&lt;Projects!$C$36+Projects!$D$36),Projects!$B$36*INDEX(Curves!$B$4:$AR$4,1,85-Projects!$C$36+1),0)+IF(AND(Projects!$G$37="Yes",Projects!$M$37="Yes",85&gt;=Projects!$C$37,85&lt;Projects!$C$37+Projects!$D$37),Projects!$B$37*INDEX(Curves!$B$4:$AR$4,1,85-Projects!$C$37+1),0)+IF(AND(Projects!$G$38="Yes",Projects!$M$38="Yes",85&gt;=Projects!$C$38,85&lt;Projects!$C$38+Projects!$D$38),Projects!$B$38*INDEX(Curves!$B$4:$AR$4,1,85-Projects!$C$38+1),0)+IF(AND(Projects!$G$39="Yes",Projects!$M$39="Yes",85&gt;=Projects!$C$39,85&lt;Projects!$C$39+Projects!$D$39),Projects!$B$39*INDEX(Curves!$B$4:$AR$4,1,85-Projects!$C$39+1),0)+IF(AND(Projects!$G$40="Yes",Projects!$M$40="Yes",85&gt;=Projects!$C$40,85&lt;Projects!$C$40+Projects!$D$40),Projects!$B$40*INDEX(Curves!$B$4:$AR$4,1,85-Projects!$C$40+1),0)+IF(AND(Projects!$G$41="Yes",Projects!$M$41="Yes",85&gt;=Projects!$C$41,85&lt;Projects!$C$41+Projects!$D$41),Projects!$B$41*INDEX(Curves!$B$4:$AR$4,1,85-Projects!$C$41+1),0)+IF(AND(Projects!$G$42="Yes",Projects!$M$42="Yes",85&gt;=Projects!$C$42,85&lt;Projects!$C$42+Projects!$D$42),Projects!$B$42*INDEX(Curves!$B$4:$AR$4,1,85-Projects!$C$42+1),0)+IF(AND(Projects!$G$43="Yes",Projects!$M$43="Yes",85&gt;=Projects!$C$43,85&lt;Projects!$C$43+Projects!$D$43),Projects!$B$43*INDEX(Curves!$B$4:$AR$4,1,85-Projects!$C$43+1),0)+IF(AND(Projects!$G$44="Yes",Projects!$M$44="Yes",85&gt;=Projects!$C$44,85&lt;Projects!$C$44+Projects!$D$44),Projects!$B$44*INDEX(Curves!$B$4:$AR$4,1,85-Projects!$C$44+1),0)+IF(AND(Projects!$G$45="Yes",Projects!$M$45="Yes",85&gt;=Projects!$C$45,85&lt;Projects!$C$45+Projects!$D$45),Projects!$B$45*INDEX(Curves!$B$4:$AR$4,1,85-Projects!$C$45+1),0)+IF(AND(Projects!$G$46="Yes",Projects!$M$46="Yes",85&gt;=Projects!$C$46,85&lt;Projects!$C$46+Projects!$D$46),Projects!$B$46*INDEX(Curves!$B$4:$AR$4,1,85-Projects!$C$46+1),0)</f>
        <v>0</v>
      </c>
      <c r="CM101" s="317" t="n">
        <f aca="false">IF(AND(Projects!$G$17="Yes",Projects!$M$17="Yes",86&gt;=Projects!$C$17,86&lt;Projects!$C$17+Projects!$D$17),Projects!$B$17*INDEX(Curves!$B$4:$AR$4,1,86-Projects!$C$17+1),0)+IF(AND(Projects!$G$18="Yes",Projects!$M$18="Yes",86&gt;=Projects!$C$18,86&lt;Projects!$C$18+Projects!$D$18),Projects!$B$18*INDEX(Curves!$B$4:$AR$4,1,86-Projects!$C$18+1),0)+IF(AND(Projects!$G$19="Yes",Projects!$M$19="Yes",86&gt;=Projects!$C$19,86&lt;Projects!$C$19+Projects!$D$19),Projects!$B$19*INDEX(Curves!$B$4:$AR$4,1,86-Projects!$C$19+1),0)+IF(AND(Projects!$G$20="Yes",Projects!$M$20="Yes",86&gt;=Projects!$C$20,86&lt;Projects!$C$20+Projects!$D$20),Projects!$B$20*INDEX(Curves!$B$4:$AR$4,1,86-Projects!$C$20+1),0)+IF(AND(Projects!$G$21="Yes",Projects!$M$21="Yes",86&gt;=Projects!$C$21,86&lt;Projects!$C$21+Projects!$D$21),Projects!$B$21*INDEX(Curves!$B$4:$AR$4,1,86-Projects!$C$21+1),0)+IF(AND(Projects!$G$22="Yes",Projects!$M$22="Yes",86&gt;=Projects!$C$22,86&lt;Projects!$C$22+Projects!$D$22),Projects!$B$22*INDEX(Curves!$B$4:$AR$4,1,86-Projects!$C$22+1),0)+IF(AND(Projects!$G$23="Yes",Projects!$M$23="Yes",86&gt;=Projects!$C$23,86&lt;Projects!$C$23+Projects!$D$23),Projects!$B$23*INDEX(Curves!$B$4:$AR$4,1,86-Projects!$C$23+1),0)+IF(AND(Projects!$G$24="Yes",Projects!$M$24="Yes",86&gt;=Projects!$C$24,86&lt;Projects!$C$24+Projects!$D$24),Projects!$B$24*INDEX(Curves!$B$4:$AR$4,1,86-Projects!$C$24+1),0)+IF(AND(Projects!$G$25="Yes",Projects!$M$25="Yes",86&gt;=Projects!$C$25,86&lt;Projects!$C$25+Projects!$D$25),Projects!$B$25*INDEX(Curves!$B$4:$AR$4,1,86-Projects!$C$25+1),0)+IF(AND(Projects!$G$26="Yes",Projects!$M$26="Yes",86&gt;=Projects!$C$26,86&lt;Projects!$C$26+Projects!$D$26),Projects!$B$26*INDEX(Curves!$B$4:$AR$4,1,86-Projects!$C$26+1),0)+IF(AND(Projects!$G$27="Yes",Projects!$M$27="Yes",86&gt;=Projects!$C$27,86&lt;Projects!$C$27+Projects!$D$27),Projects!$B$27*INDEX(Curves!$B$4:$AR$4,1,86-Projects!$C$27+1),0)+IF(AND(Projects!$G$28="Yes",Projects!$M$28="Yes",86&gt;=Projects!$C$28,86&lt;Projects!$C$28+Projects!$D$28),Projects!$B$28*INDEX(Curves!$B$4:$AR$4,1,86-Projects!$C$28+1),0)+IF(AND(Projects!$G$29="Yes",Projects!$M$29="Yes",86&gt;=Projects!$C$29,86&lt;Projects!$C$29+Projects!$D$29),Projects!$B$29*INDEX(Curves!$B$4:$AR$4,1,86-Projects!$C$29+1),0)+IF(AND(Projects!$G$30="Yes",Projects!$M$30="Yes",86&gt;=Projects!$C$30,86&lt;Projects!$C$30+Projects!$D$30),Projects!$B$30*INDEX(Curves!$B$4:$AR$4,1,86-Projects!$C$30+1),0)+IF(AND(Projects!$G$31="Yes",Projects!$M$31="Yes",86&gt;=Projects!$C$31,86&lt;Projects!$C$31+Projects!$D$31),Projects!$B$31*INDEX(Curves!$B$4:$AR$4,1,86-Projects!$C$31+1),0)+IF(AND(Projects!$G$32="Yes",Projects!$M$32="Yes",86&gt;=Projects!$C$32,86&lt;Projects!$C$32+Projects!$D$32),Projects!$B$32*INDEX(Curves!$B$4:$AR$4,1,86-Projects!$C$32+1),0)+IF(AND(Projects!$G$33="Yes",Projects!$M$33="Yes",86&gt;=Projects!$C$33,86&lt;Projects!$C$33+Projects!$D$33),Projects!$B$33*INDEX(Curves!$B$4:$AR$4,1,86-Projects!$C$33+1),0)+IF(AND(Projects!$G$34="Yes",Projects!$M$34="Yes",86&gt;=Projects!$C$34,86&lt;Projects!$C$34+Projects!$D$34),Projects!$B$34*INDEX(Curves!$B$4:$AR$4,1,86-Projects!$C$34+1),0)+IF(AND(Projects!$G$35="Yes",Projects!$M$35="Yes",86&gt;=Projects!$C$35,86&lt;Projects!$C$35+Projects!$D$35),Projects!$B$35*INDEX(Curves!$B$4:$AR$4,1,86-Projects!$C$35+1),0)+IF(AND(Projects!$G$36="Yes",Projects!$M$36="Yes",86&gt;=Projects!$C$36,86&lt;Projects!$C$36+Projects!$D$36),Projects!$B$36*INDEX(Curves!$B$4:$AR$4,1,86-Projects!$C$36+1),0)+IF(AND(Projects!$G$37="Yes",Projects!$M$37="Yes",86&gt;=Projects!$C$37,86&lt;Projects!$C$37+Projects!$D$37),Projects!$B$37*INDEX(Curves!$B$4:$AR$4,1,86-Projects!$C$37+1),0)+IF(AND(Projects!$G$38="Yes",Projects!$M$38="Yes",86&gt;=Projects!$C$38,86&lt;Projects!$C$38+Projects!$D$38),Projects!$B$38*INDEX(Curves!$B$4:$AR$4,1,86-Projects!$C$38+1),0)+IF(AND(Projects!$G$39="Yes",Projects!$M$39="Yes",86&gt;=Projects!$C$39,86&lt;Projects!$C$39+Projects!$D$39),Projects!$B$39*INDEX(Curves!$B$4:$AR$4,1,86-Projects!$C$39+1),0)+IF(AND(Projects!$G$40="Yes",Projects!$M$40="Yes",86&gt;=Projects!$C$40,86&lt;Projects!$C$40+Projects!$D$40),Projects!$B$40*INDEX(Curves!$B$4:$AR$4,1,86-Projects!$C$40+1),0)+IF(AND(Projects!$G$41="Yes",Projects!$M$41="Yes",86&gt;=Projects!$C$41,86&lt;Projects!$C$41+Projects!$D$41),Projects!$B$41*INDEX(Curves!$B$4:$AR$4,1,86-Projects!$C$41+1),0)+IF(AND(Projects!$G$42="Yes",Projects!$M$42="Yes",86&gt;=Projects!$C$42,86&lt;Projects!$C$42+Projects!$D$42),Projects!$B$42*INDEX(Curves!$B$4:$AR$4,1,86-Projects!$C$42+1),0)+IF(AND(Projects!$G$43="Yes",Projects!$M$43="Yes",86&gt;=Projects!$C$43,86&lt;Projects!$C$43+Projects!$D$43),Projects!$B$43*INDEX(Curves!$B$4:$AR$4,1,86-Projects!$C$43+1),0)+IF(AND(Projects!$G$44="Yes",Projects!$M$44="Yes",86&gt;=Projects!$C$44,86&lt;Projects!$C$44+Projects!$D$44),Projects!$B$44*INDEX(Curves!$B$4:$AR$4,1,86-Projects!$C$44+1),0)+IF(AND(Projects!$G$45="Yes",Projects!$M$45="Yes",86&gt;=Projects!$C$45,86&lt;Projects!$C$45+Projects!$D$45),Projects!$B$45*INDEX(Curves!$B$4:$AR$4,1,86-Projects!$C$45+1),0)+IF(AND(Projects!$G$46="Yes",Projects!$M$46="Yes",86&gt;=Projects!$C$46,86&lt;Projects!$C$46+Projects!$D$46),Projects!$B$46*INDEX(Curves!$B$4:$AR$4,1,86-Projects!$C$46+1),0)</f>
        <v>0</v>
      </c>
      <c r="CN101" s="317" t="n">
        <f aca="false">IF(AND(Projects!$G$17="Yes",Projects!$M$17="Yes",87&gt;=Projects!$C$17,87&lt;Projects!$C$17+Projects!$D$17),Projects!$B$17*INDEX(Curves!$B$4:$AR$4,1,87-Projects!$C$17+1),0)+IF(AND(Projects!$G$18="Yes",Projects!$M$18="Yes",87&gt;=Projects!$C$18,87&lt;Projects!$C$18+Projects!$D$18),Projects!$B$18*INDEX(Curves!$B$4:$AR$4,1,87-Projects!$C$18+1),0)+IF(AND(Projects!$G$19="Yes",Projects!$M$19="Yes",87&gt;=Projects!$C$19,87&lt;Projects!$C$19+Projects!$D$19),Projects!$B$19*INDEX(Curves!$B$4:$AR$4,1,87-Projects!$C$19+1),0)+IF(AND(Projects!$G$20="Yes",Projects!$M$20="Yes",87&gt;=Projects!$C$20,87&lt;Projects!$C$20+Projects!$D$20),Projects!$B$20*INDEX(Curves!$B$4:$AR$4,1,87-Projects!$C$20+1),0)+IF(AND(Projects!$G$21="Yes",Projects!$M$21="Yes",87&gt;=Projects!$C$21,87&lt;Projects!$C$21+Projects!$D$21),Projects!$B$21*INDEX(Curves!$B$4:$AR$4,1,87-Projects!$C$21+1),0)+IF(AND(Projects!$G$22="Yes",Projects!$M$22="Yes",87&gt;=Projects!$C$22,87&lt;Projects!$C$22+Projects!$D$22),Projects!$B$22*INDEX(Curves!$B$4:$AR$4,1,87-Projects!$C$22+1),0)+IF(AND(Projects!$G$23="Yes",Projects!$M$23="Yes",87&gt;=Projects!$C$23,87&lt;Projects!$C$23+Projects!$D$23),Projects!$B$23*INDEX(Curves!$B$4:$AR$4,1,87-Projects!$C$23+1),0)+IF(AND(Projects!$G$24="Yes",Projects!$M$24="Yes",87&gt;=Projects!$C$24,87&lt;Projects!$C$24+Projects!$D$24),Projects!$B$24*INDEX(Curves!$B$4:$AR$4,1,87-Projects!$C$24+1),0)+IF(AND(Projects!$G$25="Yes",Projects!$M$25="Yes",87&gt;=Projects!$C$25,87&lt;Projects!$C$25+Projects!$D$25),Projects!$B$25*INDEX(Curves!$B$4:$AR$4,1,87-Projects!$C$25+1),0)+IF(AND(Projects!$G$26="Yes",Projects!$M$26="Yes",87&gt;=Projects!$C$26,87&lt;Projects!$C$26+Projects!$D$26),Projects!$B$26*INDEX(Curves!$B$4:$AR$4,1,87-Projects!$C$26+1),0)+IF(AND(Projects!$G$27="Yes",Projects!$M$27="Yes",87&gt;=Projects!$C$27,87&lt;Projects!$C$27+Projects!$D$27),Projects!$B$27*INDEX(Curves!$B$4:$AR$4,1,87-Projects!$C$27+1),0)+IF(AND(Projects!$G$28="Yes",Projects!$M$28="Yes",87&gt;=Projects!$C$28,87&lt;Projects!$C$28+Projects!$D$28),Projects!$B$28*INDEX(Curves!$B$4:$AR$4,1,87-Projects!$C$28+1),0)+IF(AND(Projects!$G$29="Yes",Projects!$M$29="Yes",87&gt;=Projects!$C$29,87&lt;Projects!$C$29+Projects!$D$29),Projects!$B$29*INDEX(Curves!$B$4:$AR$4,1,87-Projects!$C$29+1),0)+IF(AND(Projects!$G$30="Yes",Projects!$M$30="Yes",87&gt;=Projects!$C$30,87&lt;Projects!$C$30+Projects!$D$30),Projects!$B$30*INDEX(Curves!$B$4:$AR$4,1,87-Projects!$C$30+1),0)+IF(AND(Projects!$G$31="Yes",Projects!$M$31="Yes",87&gt;=Projects!$C$31,87&lt;Projects!$C$31+Projects!$D$31),Projects!$B$31*INDEX(Curves!$B$4:$AR$4,1,87-Projects!$C$31+1),0)+IF(AND(Projects!$G$32="Yes",Projects!$M$32="Yes",87&gt;=Projects!$C$32,87&lt;Projects!$C$32+Projects!$D$32),Projects!$B$32*INDEX(Curves!$B$4:$AR$4,1,87-Projects!$C$32+1),0)+IF(AND(Projects!$G$33="Yes",Projects!$M$33="Yes",87&gt;=Projects!$C$33,87&lt;Projects!$C$33+Projects!$D$33),Projects!$B$33*INDEX(Curves!$B$4:$AR$4,1,87-Projects!$C$33+1),0)+IF(AND(Projects!$G$34="Yes",Projects!$M$34="Yes",87&gt;=Projects!$C$34,87&lt;Projects!$C$34+Projects!$D$34),Projects!$B$34*INDEX(Curves!$B$4:$AR$4,1,87-Projects!$C$34+1),0)+IF(AND(Projects!$G$35="Yes",Projects!$M$35="Yes",87&gt;=Projects!$C$35,87&lt;Projects!$C$35+Projects!$D$35),Projects!$B$35*INDEX(Curves!$B$4:$AR$4,1,87-Projects!$C$35+1),0)+IF(AND(Projects!$G$36="Yes",Projects!$M$36="Yes",87&gt;=Projects!$C$36,87&lt;Projects!$C$36+Projects!$D$36),Projects!$B$36*INDEX(Curves!$B$4:$AR$4,1,87-Projects!$C$36+1),0)+IF(AND(Projects!$G$37="Yes",Projects!$M$37="Yes",87&gt;=Projects!$C$37,87&lt;Projects!$C$37+Projects!$D$37),Projects!$B$37*INDEX(Curves!$B$4:$AR$4,1,87-Projects!$C$37+1),0)+IF(AND(Projects!$G$38="Yes",Projects!$M$38="Yes",87&gt;=Projects!$C$38,87&lt;Projects!$C$38+Projects!$D$38),Projects!$B$38*INDEX(Curves!$B$4:$AR$4,1,87-Projects!$C$38+1),0)+IF(AND(Projects!$G$39="Yes",Projects!$M$39="Yes",87&gt;=Projects!$C$39,87&lt;Projects!$C$39+Projects!$D$39),Projects!$B$39*INDEX(Curves!$B$4:$AR$4,1,87-Projects!$C$39+1),0)+IF(AND(Projects!$G$40="Yes",Projects!$M$40="Yes",87&gt;=Projects!$C$40,87&lt;Projects!$C$40+Projects!$D$40),Projects!$B$40*INDEX(Curves!$B$4:$AR$4,1,87-Projects!$C$40+1),0)+IF(AND(Projects!$G$41="Yes",Projects!$M$41="Yes",87&gt;=Projects!$C$41,87&lt;Projects!$C$41+Projects!$D$41),Projects!$B$41*INDEX(Curves!$B$4:$AR$4,1,87-Projects!$C$41+1),0)+IF(AND(Projects!$G$42="Yes",Projects!$M$42="Yes",87&gt;=Projects!$C$42,87&lt;Projects!$C$42+Projects!$D$42),Projects!$B$42*INDEX(Curves!$B$4:$AR$4,1,87-Projects!$C$42+1),0)+IF(AND(Projects!$G$43="Yes",Projects!$M$43="Yes",87&gt;=Projects!$C$43,87&lt;Projects!$C$43+Projects!$D$43),Projects!$B$43*INDEX(Curves!$B$4:$AR$4,1,87-Projects!$C$43+1),0)+IF(AND(Projects!$G$44="Yes",Projects!$M$44="Yes",87&gt;=Projects!$C$44,87&lt;Projects!$C$44+Projects!$D$44),Projects!$B$44*INDEX(Curves!$B$4:$AR$4,1,87-Projects!$C$44+1),0)+IF(AND(Projects!$G$45="Yes",Projects!$M$45="Yes",87&gt;=Projects!$C$45,87&lt;Projects!$C$45+Projects!$D$45),Projects!$B$45*INDEX(Curves!$B$4:$AR$4,1,87-Projects!$C$45+1),0)+IF(AND(Projects!$G$46="Yes",Projects!$M$46="Yes",87&gt;=Projects!$C$46,87&lt;Projects!$C$46+Projects!$D$46),Projects!$B$46*INDEX(Curves!$B$4:$AR$4,1,87-Projects!$C$46+1),0)</f>
        <v>0</v>
      </c>
      <c r="CO101" s="317" t="n">
        <f aca="false">IF(AND(Projects!$G$17="Yes",Projects!$M$17="Yes",88&gt;=Projects!$C$17,88&lt;Projects!$C$17+Projects!$D$17),Projects!$B$17*INDEX(Curves!$B$4:$AR$4,1,88-Projects!$C$17+1),0)+IF(AND(Projects!$G$18="Yes",Projects!$M$18="Yes",88&gt;=Projects!$C$18,88&lt;Projects!$C$18+Projects!$D$18),Projects!$B$18*INDEX(Curves!$B$4:$AR$4,1,88-Projects!$C$18+1),0)+IF(AND(Projects!$G$19="Yes",Projects!$M$19="Yes",88&gt;=Projects!$C$19,88&lt;Projects!$C$19+Projects!$D$19),Projects!$B$19*INDEX(Curves!$B$4:$AR$4,1,88-Projects!$C$19+1),0)+IF(AND(Projects!$G$20="Yes",Projects!$M$20="Yes",88&gt;=Projects!$C$20,88&lt;Projects!$C$20+Projects!$D$20),Projects!$B$20*INDEX(Curves!$B$4:$AR$4,1,88-Projects!$C$20+1),0)+IF(AND(Projects!$G$21="Yes",Projects!$M$21="Yes",88&gt;=Projects!$C$21,88&lt;Projects!$C$21+Projects!$D$21),Projects!$B$21*INDEX(Curves!$B$4:$AR$4,1,88-Projects!$C$21+1),0)+IF(AND(Projects!$G$22="Yes",Projects!$M$22="Yes",88&gt;=Projects!$C$22,88&lt;Projects!$C$22+Projects!$D$22),Projects!$B$22*INDEX(Curves!$B$4:$AR$4,1,88-Projects!$C$22+1),0)+IF(AND(Projects!$G$23="Yes",Projects!$M$23="Yes",88&gt;=Projects!$C$23,88&lt;Projects!$C$23+Projects!$D$23),Projects!$B$23*INDEX(Curves!$B$4:$AR$4,1,88-Projects!$C$23+1),0)+IF(AND(Projects!$G$24="Yes",Projects!$M$24="Yes",88&gt;=Projects!$C$24,88&lt;Projects!$C$24+Projects!$D$24),Projects!$B$24*INDEX(Curves!$B$4:$AR$4,1,88-Projects!$C$24+1),0)+IF(AND(Projects!$G$25="Yes",Projects!$M$25="Yes",88&gt;=Projects!$C$25,88&lt;Projects!$C$25+Projects!$D$25),Projects!$B$25*INDEX(Curves!$B$4:$AR$4,1,88-Projects!$C$25+1),0)+IF(AND(Projects!$G$26="Yes",Projects!$M$26="Yes",88&gt;=Projects!$C$26,88&lt;Projects!$C$26+Projects!$D$26),Projects!$B$26*INDEX(Curves!$B$4:$AR$4,1,88-Projects!$C$26+1),0)+IF(AND(Projects!$G$27="Yes",Projects!$M$27="Yes",88&gt;=Projects!$C$27,88&lt;Projects!$C$27+Projects!$D$27),Projects!$B$27*INDEX(Curves!$B$4:$AR$4,1,88-Projects!$C$27+1),0)+IF(AND(Projects!$G$28="Yes",Projects!$M$28="Yes",88&gt;=Projects!$C$28,88&lt;Projects!$C$28+Projects!$D$28),Projects!$B$28*INDEX(Curves!$B$4:$AR$4,1,88-Projects!$C$28+1),0)+IF(AND(Projects!$G$29="Yes",Projects!$M$29="Yes",88&gt;=Projects!$C$29,88&lt;Projects!$C$29+Projects!$D$29),Projects!$B$29*INDEX(Curves!$B$4:$AR$4,1,88-Projects!$C$29+1),0)+IF(AND(Projects!$G$30="Yes",Projects!$M$30="Yes",88&gt;=Projects!$C$30,88&lt;Projects!$C$30+Projects!$D$30),Projects!$B$30*INDEX(Curves!$B$4:$AR$4,1,88-Projects!$C$30+1),0)+IF(AND(Projects!$G$31="Yes",Projects!$M$31="Yes",88&gt;=Projects!$C$31,88&lt;Projects!$C$31+Projects!$D$31),Projects!$B$31*INDEX(Curves!$B$4:$AR$4,1,88-Projects!$C$31+1),0)+IF(AND(Projects!$G$32="Yes",Projects!$M$32="Yes",88&gt;=Projects!$C$32,88&lt;Projects!$C$32+Projects!$D$32),Projects!$B$32*INDEX(Curves!$B$4:$AR$4,1,88-Projects!$C$32+1),0)+IF(AND(Projects!$G$33="Yes",Projects!$M$33="Yes",88&gt;=Projects!$C$33,88&lt;Projects!$C$33+Projects!$D$33),Projects!$B$33*INDEX(Curves!$B$4:$AR$4,1,88-Projects!$C$33+1),0)+IF(AND(Projects!$G$34="Yes",Projects!$M$34="Yes",88&gt;=Projects!$C$34,88&lt;Projects!$C$34+Projects!$D$34),Projects!$B$34*INDEX(Curves!$B$4:$AR$4,1,88-Projects!$C$34+1),0)+IF(AND(Projects!$G$35="Yes",Projects!$M$35="Yes",88&gt;=Projects!$C$35,88&lt;Projects!$C$35+Projects!$D$35),Projects!$B$35*INDEX(Curves!$B$4:$AR$4,1,88-Projects!$C$35+1),0)+IF(AND(Projects!$G$36="Yes",Projects!$M$36="Yes",88&gt;=Projects!$C$36,88&lt;Projects!$C$36+Projects!$D$36),Projects!$B$36*INDEX(Curves!$B$4:$AR$4,1,88-Projects!$C$36+1),0)+IF(AND(Projects!$G$37="Yes",Projects!$M$37="Yes",88&gt;=Projects!$C$37,88&lt;Projects!$C$37+Projects!$D$37),Projects!$B$37*INDEX(Curves!$B$4:$AR$4,1,88-Projects!$C$37+1),0)+IF(AND(Projects!$G$38="Yes",Projects!$M$38="Yes",88&gt;=Projects!$C$38,88&lt;Projects!$C$38+Projects!$D$38),Projects!$B$38*INDEX(Curves!$B$4:$AR$4,1,88-Projects!$C$38+1),0)+IF(AND(Projects!$G$39="Yes",Projects!$M$39="Yes",88&gt;=Projects!$C$39,88&lt;Projects!$C$39+Projects!$D$39),Projects!$B$39*INDEX(Curves!$B$4:$AR$4,1,88-Projects!$C$39+1),0)+IF(AND(Projects!$G$40="Yes",Projects!$M$40="Yes",88&gt;=Projects!$C$40,88&lt;Projects!$C$40+Projects!$D$40),Projects!$B$40*INDEX(Curves!$B$4:$AR$4,1,88-Projects!$C$40+1),0)+IF(AND(Projects!$G$41="Yes",Projects!$M$41="Yes",88&gt;=Projects!$C$41,88&lt;Projects!$C$41+Projects!$D$41),Projects!$B$41*INDEX(Curves!$B$4:$AR$4,1,88-Projects!$C$41+1),0)+IF(AND(Projects!$G$42="Yes",Projects!$M$42="Yes",88&gt;=Projects!$C$42,88&lt;Projects!$C$42+Projects!$D$42),Projects!$B$42*INDEX(Curves!$B$4:$AR$4,1,88-Projects!$C$42+1),0)+IF(AND(Projects!$G$43="Yes",Projects!$M$43="Yes",88&gt;=Projects!$C$43,88&lt;Projects!$C$43+Projects!$D$43),Projects!$B$43*INDEX(Curves!$B$4:$AR$4,1,88-Projects!$C$43+1),0)+IF(AND(Projects!$G$44="Yes",Projects!$M$44="Yes",88&gt;=Projects!$C$44,88&lt;Projects!$C$44+Projects!$D$44),Projects!$B$44*INDEX(Curves!$B$4:$AR$4,1,88-Projects!$C$44+1),0)+IF(AND(Projects!$G$45="Yes",Projects!$M$45="Yes",88&gt;=Projects!$C$45,88&lt;Projects!$C$45+Projects!$D$45),Projects!$B$45*INDEX(Curves!$B$4:$AR$4,1,88-Projects!$C$45+1),0)+IF(AND(Projects!$G$46="Yes",Projects!$M$46="Yes",88&gt;=Projects!$C$46,88&lt;Projects!$C$46+Projects!$D$46),Projects!$B$46*INDEX(Curves!$B$4:$AR$4,1,88-Projects!$C$46+1),0)</f>
        <v>0</v>
      </c>
      <c r="CP101" s="317" t="n">
        <f aca="false">IF(AND(Projects!$G$17="Yes",Projects!$M$17="Yes",89&gt;=Projects!$C$17,89&lt;Projects!$C$17+Projects!$D$17),Projects!$B$17*INDEX(Curves!$B$4:$AR$4,1,89-Projects!$C$17+1),0)+IF(AND(Projects!$G$18="Yes",Projects!$M$18="Yes",89&gt;=Projects!$C$18,89&lt;Projects!$C$18+Projects!$D$18),Projects!$B$18*INDEX(Curves!$B$4:$AR$4,1,89-Projects!$C$18+1),0)+IF(AND(Projects!$G$19="Yes",Projects!$M$19="Yes",89&gt;=Projects!$C$19,89&lt;Projects!$C$19+Projects!$D$19),Projects!$B$19*INDEX(Curves!$B$4:$AR$4,1,89-Projects!$C$19+1),0)+IF(AND(Projects!$G$20="Yes",Projects!$M$20="Yes",89&gt;=Projects!$C$20,89&lt;Projects!$C$20+Projects!$D$20),Projects!$B$20*INDEX(Curves!$B$4:$AR$4,1,89-Projects!$C$20+1),0)+IF(AND(Projects!$G$21="Yes",Projects!$M$21="Yes",89&gt;=Projects!$C$21,89&lt;Projects!$C$21+Projects!$D$21),Projects!$B$21*INDEX(Curves!$B$4:$AR$4,1,89-Projects!$C$21+1),0)+IF(AND(Projects!$G$22="Yes",Projects!$M$22="Yes",89&gt;=Projects!$C$22,89&lt;Projects!$C$22+Projects!$D$22),Projects!$B$22*INDEX(Curves!$B$4:$AR$4,1,89-Projects!$C$22+1),0)+IF(AND(Projects!$G$23="Yes",Projects!$M$23="Yes",89&gt;=Projects!$C$23,89&lt;Projects!$C$23+Projects!$D$23),Projects!$B$23*INDEX(Curves!$B$4:$AR$4,1,89-Projects!$C$23+1),0)+IF(AND(Projects!$G$24="Yes",Projects!$M$24="Yes",89&gt;=Projects!$C$24,89&lt;Projects!$C$24+Projects!$D$24),Projects!$B$24*INDEX(Curves!$B$4:$AR$4,1,89-Projects!$C$24+1),0)+IF(AND(Projects!$G$25="Yes",Projects!$M$25="Yes",89&gt;=Projects!$C$25,89&lt;Projects!$C$25+Projects!$D$25),Projects!$B$25*INDEX(Curves!$B$4:$AR$4,1,89-Projects!$C$25+1),0)+IF(AND(Projects!$G$26="Yes",Projects!$M$26="Yes",89&gt;=Projects!$C$26,89&lt;Projects!$C$26+Projects!$D$26),Projects!$B$26*INDEX(Curves!$B$4:$AR$4,1,89-Projects!$C$26+1),0)+IF(AND(Projects!$G$27="Yes",Projects!$M$27="Yes",89&gt;=Projects!$C$27,89&lt;Projects!$C$27+Projects!$D$27),Projects!$B$27*INDEX(Curves!$B$4:$AR$4,1,89-Projects!$C$27+1),0)+IF(AND(Projects!$G$28="Yes",Projects!$M$28="Yes",89&gt;=Projects!$C$28,89&lt;Projects!$C$28+Projects!$D$28),Projects!$B$28*INDEX(Curves!$B$4:$AR$4,1,89-Projects!$C$28+1),0)+IF(AND(Projects!$G$29="Yes",Projects!$M$29="Yes",89&gt;=Projects!$C$29,89&lt;Projects!$C$29+Projects!$D$29),Projects!$B$29*INDEX(Curves!$B$4:$AR$4,1,89-Projects!$C$29+1),0)+IF(AND(Projects!$G$30="Yes",Projects!$M$30="Yes",89&gt;=Projects!$C$30,89&lt;Projects!$C$30+Projects!$D$30),Projects!$B$30*INDEX(Curves!$B$4:$AR$4,1,89-Projects!$C$30+1),0)+IF(AND(Projects!$G$31="Yes",Projects!$M$31="Yes",89&gt;=Projects!$C$31,89&lt;Projects!$C$31+Projects!$D$31),Projects!$B$31*INDEX(Curves!$B$4:$AR$4,1,89-Projects!$C$31+1),0)+IF(AND(Projects!$G$32="Yes",Projects!$M$32="Yes",89&gt;=Projects!$C$32,89&lt;Projects!$C$32+Projects!$D$32),Projects!$B$32*INDEX(Curves!$B$4:$AR$4,1,89-Projects!$C$32+1),0)+IF(AND(Projects!$G$33="Yes",Projects!$M$33="Yes",89&gt;=Projects!$C$33,89&lt;Projects!$C$33+Projects!$D$33),Projects!$B$33*INDEX(Curves!$B$4:$AR$4,1,89-Projects!$C$33+1),0)+IF(AND(Projects!$G$34="Yes",Projects!$M$34="Yes",89&gt;=Projects!$C$34,89&lt;Projects!$C$34+Projects!$D$34),Projects!$B$34*INDEX(Curves!$B$4:$AR$4,1,89-Projects!$C$34+1),0)+IF(AND(Projects!$G$35="Yes",Projects!$M$35="Yes",89&gt;=Projects!$C$35,89&lt;Projects!$C$35+Projects!$D$35),Projects!$B$35*INDEX(Curves!$B$4:$AR$4,1,89-Projects!$C$35+1),0)+IF(AND(Projects!$G$36="Yes",Projects!$M$36="Yes",89&gt;=Projects!$C$36,89&lt;Projects!$C$36+Projects!$D$36),Projects!$B$36*INDEX(Curves!$B$4:$AR$4,1,89-Projects!$C$36+1),0)+IF(AND(Projects!$G$37="Yes",Projects!$M$37="Yes",89&gt;=Projects!$C$37,89&lt;Projects!$C$37+Projects!$D$37),Projects!$B$37*INDEX(Curves!$B$4:$AR$4,1,89-Projects!$C$37+1),0)+IF(AND(Projects!$G$38="Yes",Projects!$M$38="Yes",89&gt;=Projects!$C$38,89&lt;Projects!$C$38+Projects!$D$38),Projects!$B$38*INDEX(Curves!$B$4:$AR$4,1,89-Projects!$C$38+1),0)+IF(AND(Projects!$G$39="Yes",Projects!$M$39="Yes",89&gt;=Projects!$C$39,89&lt;Projects!$C$39+Projects!$D$39),Projects!$B$39*INDEX(Curves!$B$4:$AR$4,1,89-Projects!$C$39+1),0)+IF(AND(Projects!$G$40="Yes",Projects!$M$40="Yes",89&gt;=Projects!$C$40,89&lt;Projects!$C$40+Projects!$D$40),Projects!$B$40*INDEX(Curves!$B$4:$AR$4,1,89-Projects!$C$40+1),0)+IF(AND(Projects!$G$41="Yes",Projects!$M$41="Yes",89&gt;=Projects!$C$41,89&lt;Projects!$C$41+Projects!$D$41),Projects!$B$41*INDEX(Curves!$B$4:$AR$4,1,89-Projects!$C$41+1),0)+IF(AND(Projects!$G$42="Yes",Projects!$M$42="Yes",89&gt;=Projects!$C$42,89&lt;Projects!$C$42+Projects!$D$42),Projects!$B$42*INDEX(Curves!$B$4:$AR$4,1,89-Projects!$C$42+1),0)+IF(AND(Projects!$G$43="Yes",Projects!$M$43="Yes",89&gt;=Projects!$C$43,89&lt;Projects!$C$43+Projects!$D$43),Projects!$B$43*INDEX(Curves!$B$4:$AR$4,1,89-Projects!$C$43+1),0)+IF(AND(Projects!$G$44="Yes",Projects!$M$44="Yes",89&gt;=Projects!$C$44,89&lt;Projects!$C$44+Projects!$D$44),Projects!$B$44*INDEX(Curves!$B$4:$AR$4,1,89-Projects!$C$44+1),0)+IF(AND(Projects!$G$45="Yes",Projects!$M$45="Yes",89&gt;=Projects!$C$45,89&lt;Projects!$C$45+Projects!$D$45),Projects!$B$45*INDEX(Curves!$B$4:$AR$4,1,89-Projects!$C$45+1),0)+IF(AND(Projects!$G$46="Yes",Projects!$M$46="Yes",89&gt;=Projects!$C$46,89&lt;Projects!$C$46+Projects!$D$46),Projects!$B$46*INDEX(Curves!$B$4:$AR$4,1,89-Projects!$C$46+1),0)</f>
        <v>0</v>
      </c>
      <c r="CQ101" s="317" t="n">
        <f aca="false">IF(AND(Projects!$G$17="Yes",Projects!$M$17="Yes",90&gt;=Projects!$C$17,90&lt;Projects!$C$17+Projects!$D$17),Projects!$B$17*INDEX(Curves!$B$4:$AR$4,1,90-Projects!$C$17+1),0)+IF(AND(Projects!$G$18="Yes",Projects!$M$18="Yes",90&gt;=Projects!$C$18,90&lt;Projects!$C$18+Projects!$D$18),Projects!$B$18*INDEX(Curves!$B$4:$AR$4,1,90-Projects!$C$18+1),0)+IF(AND(Projects!$G$19="Yes",Projects!$M$19="Yes",90&gt;=Projects!$C$19,90&lt;Projects!$C$19+Projects!$D$19),Projects!$B$19*INDEX(Curves!$B$4:$AR$4,1,90-Projects!$C$19+1),0)+IF(AND(Projects!$G$20="Yes",Projects!$M$20="Yes",90&gt;=Projects!$C$20,90&lt;Projects!$C$20+Projects!$D$20),Projects!$B$20*INDEX(Curves!$B$4:$AR$4,1,90-Projects!$C$20+1),0)+IF(AND(Projects!$G$21="Yes",Projects!$M$21="Yes",90&gt;=Projects!$C$21,90&lt;Projects!$C$21+Projects!$D$21),Projects!$B$21*INDEX(Curves!$B$4:$AR$4,1,90-Projects!$C$21+1),0)+IF(AND(Projects!$G$22="Yes",Projects!$M$22="Yes",90&gt;=Projects!$C$22,90&lt;Projects!$C$22+Projects!$D$22),Projects!$B$22*INDEX(Curves!$B$4:$AR$4,1,90-Projects!$C$22+1),0)+IF(AND(Projects!$G$23="Yes",Projects!$M$23="Yes",90&gt;=Projects!$C$23,90&lt;Projects!$C$23+Projects!$D$23),Projects!$B$23*INDEX(Curves!$B$4:$AR$4,1,90-Projects!$C$23+1),0)+IF(AND(Projects!$G$24="Yes",Projects!$M$24="Yes",90&gt;=Projects!$C$24,90&lt;Projects!$C$24+Projects!$D$24),Projects!$B$24*INDEX(Curves!$B$4:$AR$4,1,90-Projects!$C$24+1),0)+IF(AND(Projects!$G$25="Yes",Projects!$M$25="Yes",90&gt;=Projects!$C$25,90&lt;Projects!$C$25+Projects!$D$25),Projects!$B$25*INDEX(Curves!$B$4:$AR$4,1,90-Projects!$C$25+1),0)+IF(AND(Projects!$G$26="Yes",Projects!$M$26="Yes",90&gt;=Projects!$C$26,90&lt;Projects!$C$26+Projects!$D$26),Projects!$B$26*INDEX(Curves!$B$4:$AR$4,1,90-Projects!$C$26+1),0)+IF(AND(Projects!$G$27="Yes",Projects!$M$27="Yes",90&gt;=Projects!$C$27,90&lt;Projects!$C$27+Projects!$D$27),Projects!$B$27*INDEX(Curves!$B$4:$AR$4,1,90-Projects!$C$27+1),0)+IF(AND(Projects!$G$28="Yes",Projects!$M$28="Yes",90&gt;=Projects!$C$28,90&lt;Projects!$C$28+Projects!$D$28),Projects!$B$28*INDEX(Curves!$B$4:$AR$4,1,90-Projects!$C$28+1),0)+IF(AND(Projects!$G$29="Yes",Projects!$M$29="Yes",90&gt;=Projects!$C$29,90&lt;Projects!$C$29+Projects!$D$29),Projects!$B$29*INDEX(Curves!$B$4:$AR$4,1,90-Projects!$C$29+1),0)+IF(AND(Projects!$G$30="Yes",Projects!$M$30="Yes",90&gt;=Projects!$C$30,90&lt;Projects!$C$30+Projects!$D$30),Projects!$B$30*INDEX(Curves!$B$4:$AR$4,1,90-Projects!$C$30+1),0)+IF(AND(Projects!$G$31="Yes",Projects!$M$31="Yes",90&gt;=Projects!$C$31,90&lt;Projects!$C$31+Projects!$D$31),Projects!$B$31*INDEX(Curves!$B$4:$AR$4,1,90-Projects!$C$31+1),0)+IF(AND(Projects!$G$32="Yes",Projects!$M$32="Yes",90&gt;=Projects!$C$32,90&lt;Projects!$C$32+Projects!$D$32),Projects!$B$32*INDEX(Curves!$B$4:$AR$4,1,90-Projects!$C$32+1),0)+IF(AND(Projects!$G$33="Yes",Projects!$M$33="Yes",90&gt;=Projects!$C$33,90&lt;Projects!$C$33+Projects!$D$33),Projects!$B$33*INDEX(Curves!$B$4:$AR$4,1,90-Projects!$C$33+1),0)+IF(AND(Projects!$G$34="Yes",Projects!$M$34="Yes",90&gt;=Projects!$C$34,90&lt;Projects!$C$34+Projects!$D$34),Projects!$B$34*INDEX(Curves!$B$4:$AR$4,1,90-Projects!$C$34+1),0)+IF(AND(Projects!$G$35="Yes",Projects!$M$35="Yes",90&gt;=Projects!$C$35,90&lt;Projects!$C$35+Projects!$D$35),Projects!$B$35*INDEX(Curves!$B$4:$AR$4,1,90-Projects!$C$35+1),0)+IF(AND(Projects!$G$36="Yes",Projects!$M$36="Yes",90&gt;=Projects!$C$36,90&lt;Projects!$C$36+Projects!$D$36),Projects!$B$36*INDEX(Curves!$B$4:$AR$4,1,90-Projects!$C$36+1),0)+IF(AND(Projects!$G$37="Yes",Projects!$M$37="Yes",90&gt;=Projects!$C$37,90&lt;Projects!$C$37+Projects!$D$37),Projects!$B$37*INDEX(Curves!$B$4:$AR$4,1,90-Projects!$C$37+1),0)+IF(AND(Projects!$G$38="Yes",Projects!$M$38="Yes",90&gt;=Projects!$C$38,90&lt;Projects!$C$38+Projects!$D$38),Projects!$B$38*INDEX(Curves!$B$4:$AR$4,1,90-Projects!$C$38+1),0)+IF(AND(Projects!$G$39="Yes",Projects!$M$39="Yes",90&gt;=Projects!$C$39,90&lt;Projects!$C$39+Projects!$D$39),Projects!$B$39*INDEX(Curves!$B$4:$AR$4,1,90-Projects!$C$39+1),0)+IF(AND(Projects!$G$40="Yes",Projects!$M$40="Yes",90&gt;=Projects!$C$40,90&lt;Projects!$C$40+Projects!$D$40),Projects!$B$40*INDEX(Curves!$B$4:$AR$4,1,90-Projects!$C$40+1),0)+IF(AND(Projects!$G$41="Yes",Projects!$M$41="Yes",90&gt;=Projects!$C$41,90&lt;Projects!$C$41+Projects!$D$41),Projects!$B$41*INDEX(Curves!$B$4:$AR$4,1,90-Projects!$C$41+1),0)+IF(AND(Projects!$G$42="Yes",Projects!$M$42="Yes",90&gt;=Projects!$C$42,90&lt;Projects!$C$42+Projects!$D$42),Projects!$B$42*INDEX(Curves!$B$4:$AR$4,1,90-Projects!$C$42+1),0)+IF(AND(Projects!$G$43="Yes",Projects!$M$43="Yes",90&gt;=Projects!$C$43,90&lt;Projects!$C$43+Projects!$D$43),Projects!$B$43*INDEX(Curves!$B$4:$AR$4,1,90-Projects!$C$43+1),0)+IF(AND(Projects!$G$44="Yes",Projects!$M$44="Yes",90&gt;=Projects!$C$44,90&lt;Projects!$C$44+Projects!$D$44),Projects!$B$44*INDEX(Curves!$B$4:$AR$4,1,90-Projects!$C$44+1),0)+IF(AND(Projects!$G$45="Yes",Projects!$M$45="Yes",90&gt;=Projects!$C$45,90&lt;Projects!$C$45+Projects!$D$45),Projects!$B$45*INDEX(Curves!$B$4:$AR$4,1,90-Projects!$C$45+1),0)+IF(AND(Projects!$G$46="Yes",Projects!$M$46="Yes",90&gt;=Projects!$C$46,90&lt;Projects!$C$46+Projects!$D$46),Projects!$B$46*INDEX(Curves!$B$4:$AR$4,1,90-Projects!$C$46+1),0)</f>
        <v>0</v>
      </c>
      <c r="CR101" s="317" t="n">
        <f aca="false">IF(AND(Projects!$G$17="Yes",Projects!$M$17="Yes",91&gt;=Projects!$C$17,91&lt;Projects!$C$17+Projects!$D$17),Projects!$B$17*INDEX(Curves!$B$4:$AR$4,1,91-Projects!$C$17+1),0)+IF(AND(Projects!$G$18="Yes",Projects!$M$18="Yes",91&gt;=Projects!$C$18,91&lt;Projects!$C$18+Projects!$D$18),Projects!$B$18*INDEX(Curves!$B$4:$AR$4,1,91-Projects!$C$18+1),0)+IF(AND(Projects!$G$19="Yes",Projects!$M$19="Yes",91&gt;=Projects!$C$19,91&lt;Projects!$C$19+Projects!$D$19),Projects!$B$19*INDEX(Curves!$B$4:$AR$4,1,91-Projects!$C$19+1),0)+IF(AND(Projects!$G$20="Yes",Projects!$M$20="Yes",91&gt;=Projects!$C$20,91&lt;Projects!$C$20+Projects!$D$20),Projects!$B$20*INDEX(Curves!$B$4:$AR$4,1,91-Projects!$C$20+1),0)+IF(AND(Projects!$G$21="Yes",Projects!$M$21="Yes",91&gt;=Projects!$C$21,91&lt;Projects!$C$21+Projects!$D$21),Projects!$B$21*INDEX(Curves!$B$4:$AR$4,1,91-Projects!$C$21+1),0)+IF(AND(Projects!$G$22="Yes",Projects!$M$22="Yes",91&gt;=Projects!$C$22,91&lt;Projects!$C$22+Projects!$D$22),Projects!$B$22*INDEX(Curves!$B$4:$AR$4,1,91-Projects!$C$22+1),0)+IF(AND(Projects!$G$23="Yes",Projects!$M$23="Yes",91&gt;=Projects!$C$23,91&lt;Projects!$C$23+Projects!$D$23),Projects!$B$23*INDEX(Curves!$B$4:$AR$4,1,91-Projects!$C$23+1),0)+IF(AND(Projects!$G$24="Yes",Projects!$M$24="Yes",91&gt;=Projects!$C$24,91&lt;Projects!$C$24+Projects!$D$24),Projects!$B$24*INDEX(Curves!$B$4:$AR$4,1,91-Projects!$C$24+1),0)+IF(AND(Projects!$G$25="Yes",Projects!$M$25="Yes",91&gt;=Projects!$C$25,91&lt;Projects!$C$25+Projects!$D$25),Projects!$B$25*INDEX(Curves!$B$4:$AR$4,1,91-Projects!$C$25+1),0)+IF(AND(Projects!$G$26="Yes",Projects!$M$26="Yes",91&gt;=Projects!$C$26,91&lt;Projects!$C$26+Projects!$D$26),Projects!$B$26*INDEX(Curves!$B$4:$AR$4,1,91-Projects!$C$26+1),0)+IF(AND(Projects!$G$27="Yes",Projects!$M$27="Yes",91&gt;=Projects!$C$27,91&lt;Projects!$C$27+Projects!$D$27),Projects!$B$27*INDEX(Curves!$B$4:$AR$4,1,91-Projects!$C$27+1),0)+IF(AND(Projects!$G$28="Yes",Projects!$M$28="Yes",91&gt;=Projects!$C$28,91&lt;Projects!$C$28+Projects!$D$28),Projects!$B$28*INDEX(Curves!$B$4:$AR$4,1,91-Projects!$C$28+1),0)+IF(AND(Projects!$G$29="Yes",Projects!$M$29="Yes",91&gt;=Projects!$C$29,91&lt;Projects!$C$29+Projects!$D$29),Projects!$B$29*INDEX(Curves!$B$4:$AR$4,1,91-Projects!$C$29+1),0)+IF(AND(Projects!$G$30="Yes",Projects!$M$30="Yes",91&gt;=Projects!$C$30,91&lt;Projects!$C$30+Projects!$D$30),Projects!$B$30*INDEX(Curves!$B$4:$AR$4,1,91-Projects!$C$30+1),0)+IF(AND(Projects!$G$31="Yes",Projects!$M$31="Yes",91&gt;=Projects!$C$31,91&lt;Projects!$C$31+Projects!$D$31),Projects!$B$31*INDEX(Curves!$B$4:$AR$4,1,91-Projects!$C$31+1),0)+IF(AND(Projects!$G$32="Yes",Projects!$M$32="Yes",91&gt;=Projects!$C$32,91&lt;Projects!$C$32+Projects!$D$32),Projects!$B$32*INDEX(Curves!$B$4:$AR$4,1,91-Projects!$C$32+1),0)+IF(AND(Projects!$G$33="Yes",Projects!$M$33="Yes",91&gt;=Projects!$C$33,91&lt;Projects!$C$33+Projects!$D$33),Projects!$B$33*INDEX(Curves!$B$4:$AR$4,1,91-Projects!$C$33+1),0)+IF(AND(Projects!$G$34="Yes",Projects!$M$34="Yes",91&gt;=Projects!$C$34,91&lt;Projects!$C$34+Projects!$D$34),Projects!$B$34*INDEX(Curves!$B$4:$AR$4,1,91-Projects!$C$34+1),0)+IF(AND(Projects!$G$35="Yes",Projects!$M$35="Yes",91&gt;=Projects!$C$35,91&lt;Projects!$C$35+Projects!$D$35),Projects!$B$35*INDEX(Curves!$B$4:$AR$4,1,91-Projects!$C$35+1),0)+IF(AND(Projects!$G$36="Yes",Projects!$M$36="Yes",91&gt;=Projects!$C$36,91&lt;Projects!$C$36+Projects!$D$36),Projects!$B$36*INDEX(Curves!$B$4:$AR$4,1,91-Projects!$C$36+1),0)+IF(AND(Projects!$G$37="Yes",Projects!$M$37="Yes",91&gt;=Projects!$C$37,91&lt;Projects!$C$37+Projects!$D$37),Projects!$B$37*INDEX(Curves!$B$4:$AR$4,1,91-Projects!$C$37+1),0)+IF(AND(Projects!$G$38="Yes",Projects!$M$38="Yes",91&gt;=Projects!$C$38,91&lt;Projects!$C$38+Projects!$D$38),Projects!$B$38*INDEX(Curves!$B$4:$AR$4,1,91-Projects!$C$38+1),0)+IF(AND(Projects!$G$39="Yes",Projects!$M$39="Yes",91&gt;=Projects!$C$39,91&lt;Projects!$C$39+Projects!$D$39),Projects!$B$39*INDEX(Curves!$B$4:$AR$4,1,91-Projects!$C$39+1),0)+IF(AND(Projects!$G$40="Yes",Projects!$M$40="Yes",91&gt;=Projects!$C$40,91&lt;Projects!$C$40+Projects!$D$40),Projects!$B$40*INDEX(Curves!$B$4:$AR$4,1,91-Projects!$C$40+1),0)+IF(AND(Projects!$G$41="Yes",Projects!$M$41="Yes",91&gt;=Projects!$C$41,91&lt;Projects!$C$41+Projects!$D$41),Projects!$B$41*INDEX(Curves!$B$4:$AR$4,1,91-Projects!$C$41+1),0)+IF(AND(Projects!$G$42="Yes",Projects!$M$42="Yes",91&gt;=Projects!$C$42,91&lt;Projects!$C$42+Projects!$D$42),Projects!$B$42*INDEX(Curves!$B$4:$AR$4,1,91-Projects!$C$42+1),0)+IF(AND(Projects!$G$43="Yes",Projects!$M$43="Yes",91&gt;=Projects!$C$43,91&lt;Projects!$C$43+Projects!$D$43),Projects!$B$43*INDEX(Curves!$B$4:$AR$4,1,91-Projects!$C$43+1),0)+IF(AND(Projects!$G$44="Yes",Projects!$M$44="Yes",91&gt;=Projects!$C$44,91&lt;Projects!$C$44+Projects!$D$44),Projects!$B$44*INDEX(Curves!$B$4:$AR$4,1,91-Projects!$C$44+1),0)+IF(AND(Projects!$G$45="Yes",Projects!$M$45="Yes",91&gt;=Projects!$C$45,91&lt;Projects!$C$45+Projects!$D$45),Projects!$B$45*INDEX(Curves!$B$4:$AR$4,1,91-Projects!$C$45+1),0)+IF(AND(Projects!$G$46="Yes",Projects!$M$46="Yes",91&gt;=Projects!$C$46,91&lt;Projects!$C$46+Projects!$D$46),Projects!$B$46*INDEX(Curves!$B$4:$AR$4,1,91-Projects!$C$46+1),0)</f>
        <v>0</v>
      </c>
      <c r="CS101" s="317" t="n">
        <f aca="false">IF(AND(Projects!$G$17="Yes",Projects!$M$17="Yes",92&gt;=Projects!$C$17,92&lt;Projects!$C$17+Projects!$D$17),Projects!$B$17*INDEX(Curves!$B$4:$AR$4,1,92-Projects!$C$17+1),0)+IF(AND(Projects!$G$18="Yes",Projects!$M$18="Yes",92&gt;=Projects!$C$18,92&lt;Projects!$C$18+Projects!$D$18),Projects!$B$18*INDEX(Curves!$B$4:$AR$4,1,92-Projects!$C$18+1),0)+IF(AND(Projects!$G$19="Yes",Projects!$M$19="Yes",92&gt;=Projects!$C$19,92&lt;Projects!$C$19+Projects!$D$19),Projects!$B$19*INDEX(Curves!$B$4:$AR$4,1,92-Projects!$C$19+1),0)+IF(AND(Projects!$G$20="Yes",Projects!$M$20="Yes",92&gt;=Projects!$C$20,92&lt;Projects!$C$20+Projects!$D$20),Projects!$B$20*INDEX(Curves!$B$4:$AR$4,1,92-Projects!$C$20+1),0)+IF(AND(Projects!$G$21="Yes",Projects!$M$21="Yes",92&gt;=Projects!$C$21,92&lt;Projects!$C$21+Projects!$D$21),Projects!$B$21*INDEX(Curves!$B$4:$AR$4,1,92-Projects!$C$21+1),0)+IF(AND(Projects!$G$22="Yes",Projects!$M$22="Yes",92&gt;=Projects!$C$22,92&lt;Projects!$C$22+Projects!$D$22),Projects!$B$22*INDEX(Curves!$B$4:$AR$4,1,92-Projects!$C$22+1),0)+IF(AND(Projects!$G$23="Yes",Projects!$M$23="Yes",92&gt;=Projects!$C$23,92&lt;Projects!$C$23+Projects!$D$23),Projects!$B$23*INDEX(Curves!$B$4:$AR$4,1,92-Projects!$C$23+1),0)+IF(AND(Projects!$G$24="Yes",Projects!$M$24="Yes",92&gt;=Projects!$C$24,92&lt;Projects!$C$24+Projects!$D$24),Projects!$B$24*INDEX(Curves!$B$4:$AR$4,1,92-Projects!$C$24+1),0)+IF(AND(Projects!$G$25="Yes",Projects!$M$25="Yes",92&gt;=Projects!$C$25,92&lt;Projects!$C$25+Projects!$D$25),Projects!$B$25*INDEX(Curves!$B$4:$AR$4,1,92-Projects!$C$25+1),0)+IF(AND(Projects!$G$26="Yes",Projects!$M$26="Yes",92&gt;=Projects!$C$26,92&lt;Projects!$C$26+Projects!$D$26),Projects!$B$26*INDEX(Curves!$B$4:$AR$4,1,92-Projects!$C$26+1),0)+IF(AND(Projects!$G$27="Yes",Projects!$M$27="Yes",92&gt;=Projects!$C$27,92&lt;Projects!$C$27+Projects!$D$27),Projects!$B$27*INDEX(Curves!$B$4:$AR$4,1,92-Projects!$C$27+1),0)+IF(AND(Projects!$G$28="Yes",Projects!$M$28="Yes",92&gt;=Projects!$C$28,92&lt;Projects!$C$28+Projects!$D$28),Projects!$B$28*INDEX(Curves!$B$4:$AR$4,1,92-Projects!$C$28+1),0)+IF(AND(Projects!$G$29="Yes",Projects!$M$29="Yes",92&gt;=Projects!$C$29,92&lt;Projects!$C$29+Projects!$D$29),Projects!$B$29*INDEX(Curves!$B$4:$AR$4,1,92-Projects!$C$29+1),0)+IF(AND(Projects!$G$30="Yes",Projects!$M$30="Yes",92&gt;=Projects!$C$30,92&lt;Projects!$C$30+Projects!$D$30),Projects!$B$30*INDEX(Curves!$B$4:$AR$4,1,92-Projects!$C$30+1),0)+IF(AND(Projects!$G$31="Yes",Projects!$M$31="Yes",92&gt;=Projects!$C$31,92&lt;Projects!$C$31+Projects!$D$31),Projects!$B$31*INDEX(Curves!$B$4:$AR$4,1,92-Projects!$C$31+1),0)+IF(AND(Projects!$G$32="Yes",Projects!$M$32="Yes",92&gt;=Projects!$C$32,92&lt;Projects!$C$32+Projects!$D$32),Projects!$B$32*INDEX(Curves!$B$4:$AR$4,1,92-Projects!$C$32+1),0)+IF(AND(Projects!$G$33="Yes",Projects!$M$33="Yes",92&gt;=Projects!$C$33,92&lt;Projects!$C$33+Projects!$D$33),Projects!$B$33*INDEX(Curves!$B$4:$AR$4,1,92-Projects!$C$33+1),0)+IF(AND(Projects!$G$34="Yes",Projects!$M$34="Yes",92&gt;=Projects!$C$34,92&lt;Projects!$C$34+Projects!$D$34),Projects!$B$34*INDEX(Curves!$B$4:$AR$4,1,92-Projects!$C$34+1),0)+IF(AND(Projects!$G$35="Yes",Projects!$M$35="Yes",92&gt;=Projects!$C$35,92&lt;Projects!$C$35+Projects!$D$35),Projects!$B$35*INDEX(Curves!$B$4:$AR$4,1,92-Projects!$C$35+1),0)+IF(AND(Projects!$G$36="Yes",Projects!$M$36="Yes",92&gt;=Projects!$C$36,92&lt;Projects!$C$36+Projects!$D$36),Projects!$B$36*INDEX(Curves!$B$4:$AR$4,1,92-Projects!$C$36+1),0)+IF(AND(Projects!$G$37="Yes",Projects!$M$37="Yes",92&gt;=Projects!$C$37,92&lt;Projects!$C$37+Projects!$D$37),Projects!$B$37*INDEX(Curves!$B$4:$AR$4,1,92-Projects!$C$37+1),0)+IF(AND(Projects!$G$38="Yes",Projects!$M$38="Yes",92&gt;=Projects!$C$38,92&lt;Projects!$C$38+Projects!$D$38),Projects!$B$38*INDEX(Curves!$B$4:$AR$4,1,92-Projects!$C$38+1),0)+IF(AND(Projects!$G$39="Yes",Projects!$M$39="Yes",92&gt;=Projects!$C$39,92&lt;Projects!$C$39+Projects!$D$39),Projects!$B$39*INDEX(Curves!$B$4:$AR$4,1,92-Projects!$C$39+1),0)+IF(AND(Projects!$G$40="Yes",Projects!$M$40="Yes",92&gt;=Projects!$C$40,92&lt;Projects!$C$40+Projects!$D$40),Projects!$B$40*INDEX(Curves!$B$4:$AR$4,1,92-Projects!$C$40+1),0)+IF(AND(Projects!$G$41="Yes",Projects!$M$41="Yes",92&gt;=Projects!$C$41,92&lt;Projects!$C$41+Projects!$D$41),Projects!$B$41*INDEX(Curves!$B$4:$AR$4,1,92-Projects!$C$41+1),0)+IF(AND(Projects!$G$42="Yes",Projects!$M$42="Yes",92&gt;=Projects!$C$42,92&lt;Projects!$C$42+Projects!$D$42),Projects!$B$42*INDEX(Curves!$B$4:$AR$4,1,92-Projects!$C$42+1),0)+IF(AND(Projects!$G$43="Yes",Projects!$M$43="Yes",92&gt;=Projects!$C$43,92&lt;Projects!$C$43+Projects!$D$43),Projects!$B$43*INDEX(Curves!$B$4:$AR$4,1,92-Projects!$C$43+1),0)+IF(AND(Projects!$G$44="Yes",Projects!$M$44="Yes",92&gt;=Projects!$C$44,92&lt;Projects!$C$44+Projects!$D$44),Projects!$B$44*INDEX(Curves!$B$4:$AR$4,1,92-Projects!$C$44+1),0)+IF(AND(Projects!$G$45="Yes",Projects!$M$45="Yes",92&gt;=Projects!$C$45,92&lt;Projects!$C$45+Projects!$D$45),Projects!$B$45*INDEX(Curves!$B$4:$AR$4,1,92-Projects!$C$45+1),0)+IF(AND(Projects!$G$46="Yes",Projects!$M$46="Yes",92&gt;=Projects!$C$46,92&lt;Projects!$C$46+Projects!$D$46),Projects!$B$46*INDEX(Curves!$B$4:$AR$4,1,92-Projects!$C$46+1),0)</f>
        <v>0</v>
      </c>
      <c r="CT101" s="317" t="n">
        <f aca="false">IF(AND(Projects!$G$17="Yes",Projects!$M$17="Yes",93&gt;=Projects!$C$17,93&lt;Projects!$C$17+Projects!$D$17),Projects!$B$17*INDEX(Curves!$B$4:$AR$4,1,93-Projects!$C$17+1),0)+IF(AND(Projects!$G$18="Yes",Projects!$M$18="Yes",93&gt;=Projects!$C$18,93&lt;Projects!$C$18+Projects!$D$18),Projects!$B$18*INDEX(Curves!$B$4:$AR$4,1,93-Projects!$C$18+1),0)+IF(AND(Projects!$G$19="Yes",Projects!$M$19="Yes",93&gt;=Projects!$C$19,93&lt;Projects!$C$19+Projects!$D$19),Projects!$B$19*INDEX(Curves!$B$4:$AR$4,1,93-Projects!$C$19+1),0)+IF(AND(Projects!$G$20="Yes",Projects!$M$20="Yes",93&gt;=Projects!$C$20,93&lt;Projects!$C$20+Projects!$D$20),Projects!$B$20*INDEX(Curves!$B$4:$AR$4,1,93-Projects!$C$20+1),0)+IF(AND(Projects!$G$21="Yes",Projects!$M$21="Yes",93&gt;=Projects!$C$21,93&lt;Projects!$C$21+Projects!$D$21),Projects!$B$21*INDEX(Curves!$B$4:$AR$4,1,93-Projects!$C$21+1),0)+IF(AND(Projects!$G$22="Yes",Projects!$M$22="Yes",93&gt;=Projects!$C$22,93&lt;Projects!$C$22+Projects!$D$22),Projects!$B$22*INDEX(Curves!$B$4:$AR$4,1,93-Projects!$C$22+1),0)+IF(AND(Projects!$G$23="Yes",Projects!$M$23="Yes",93&gt;=Projects!$C$23,93&lt;Projects!$C$23+Projects!$D$23),Projects!$B$23*INDEX(Curves!$B$4:$AR$4,1,93-Projects!$C$23+1),0)+IF(AND(Projects!$G$24="Yes",Projects!$M$24="Yes",93&gt;=Projects!$C$24,93&lt;Projects!$C$24+Projects!$D$24),Projects!$B$24*INDEX(Curves!$B$4:$AR$4,1,93-Projects!$C$24+1),0)+IF(AND(Projects!$G$25="Yes",Projects!$M$25="Yes",93&gt;=Projects!$C$25,93&lt;Projects!$C$25+Projects!$D$25),Projects!$B$25*INDEX(Curves!$B$4:$AR$4,1,93-Projects!$C$25+1),0)+IF(AND(Projects!$G$26="Yes",Projects!$M$26="Yes",93&gt;=Projects!$C$26,93&lt;Projects!$C$26+Projects!$D$26),Projects!$B$26*INDEX(Curves!$B$4:$AR$4,1,93-Projects!$C$26+1),0)+IF(AND(Projects!$G$27="Yes",Projects!$M$27="Yes",93&gt;=Projects!$C$27,93&lt;Projects!$C$27+Projects!$D$27),Projects!$B$27*INDEX(Curves!$B$4:$AR$4,1,93-Projects!$C$27+1),0)+IF(AND(Projects!$G$28="Yes",Projects!$M$28="Yes",93&gt;=Projects!$C$28,93&lt;Projects!$C$28+Projects!$D$28),Projects!$B$28*INDEX(Curves!$B$4:$AR$4,1,93-Projects!$C$28+1),0)+IF(AND(Projects!$G$29="Yes",Projects!$M$29="Yes",93&gt;=Projects!$C$29,93&lt;Projects!$C$29+Projects!$D$29),Projects!$B$29*INDEX(Curves!$B$4:$AR$4,1,93-Projects!$C$29+1),0)+IF(AND(Projects!$G$30="Yes",Projects!$M$30="Yes",93&gt;=Projects!$C$30,93&lt;Projects!$C$30+Projects!$D$30),Projects!$B$30*INDEX(Curves!$B$4:$AR$4,1,93-Projects!$C$30+1),0)+IF(AND(Projects!$G$31="Yes",Projects!$M$31="Yes",93&gt;=Projects!$C$31,93&lt;Projects!$C$31+Projects!$D$31),Projects!$B$31*INDEX(Curves!$B$4:$AR$4,1,93-Projects!$C$31+1),0)+IF(AND(Projects!$G$32="Yes",Projects!$M$32="Yes",93&gt;=Projects!$C$32,93&lt;Projects!$C$32+Projects!$D$32),Projects!$B$32*INDEX(Curves!$B$4:$AR$4,1,93-Projects!$C$32+1),0)+IF(AND(Projects!$G$33="Yes",Projects!$M$33="Yes",93&gt;=Projects!$C$33,93&lt;Projects!$C$33+Projects!$D$33),Projects!$B$33*INDEX(Curves!$B$4:$AR$4,1,93-Projects!$C$33+1),0)+IF(AND(Projects!$G$34="Yes",Projects!$M$34="Yes",93&gt;=Projects!$C$34,93&lt;Projects!$C$34+Projects!$D$34),Projects!$B$34*INDEX(Curves!$B$4:$AR$4,1,93-Projects!$C$34+1),0)+IF(AND(Projects!$G$35="Yes",Projects!$M$35="Yes",93&gt;=Projects!$C$35,93&lt;Projects!$C$35+Projects!$D$35),Projects!$B$35*INDEX(Curves!$B$4:$AR$4,1,93-Projects!$C$35+1),0)+IF(AND(Projects!$G$36="Yes",Projects!$M$36="Yes",93&gt;=Projects!$C$36,93&lt;Projects!$C$36+Projects!$D$36),Projects!$B$36*INDEX(Curves!$B$4:$AR$4,1,93-Projects!$C$36+1),0)+IF(AND(Projects!$G$37="Yes",Projects!$M$37="Yes",93&gt;=Projects!$C$37,93&lt;Projects!$C$37+Projects!$D$37),Projects!$B$37*INDEX(Curves!$B$4:$AR$4,1,93-Projects!$C$37+1),0)+IF(AND(Projects!$G$38="Yes",Projects!$M$38="Yes",93&gt;=Projects!$C$38,93&lt;Projects!$C$38+Projects!$D$38),Projects!$B$38*INDEX(Curves!$B$4:$AR$4,1,93-Projects!$C$38+1),0)+IF(AND(Projects!$G$39="Yes",Projects!$M$39="Yes",93&gt;=Projects!$C$39,93&lt;Projects!$C$39+Projects!$D$39),Projects!$B$39*INDEX(Curves!$B$4:$AR$4,1,93-Projects!$C$39+1),0)+IF(AND(Projects!$G$40="Yes",Projects!$M$40="Yes",93&gt;=Projects!$C$40,93&lt;Projects!$C$40+Projects!$D$40),Projects!$B$40*INDEX(Curves!$B$4:$AR$4,1,93-Projects!$C$40+1),0)+IF(AND(Projects!$G$41="Yes",Projects!$M$41="Yes",93&gt;=Projects!$C$41,93&lt;Projects!$C$41+Projects!$D$41),Projects!$B$41*INDEX(Curves!$B$4:$AR$4,1,93-Projects!$C$41+1),0)+IF(AND(Projects!$G$42="Yes",Projects!$M$42="Yes",93&gt;=Projects!$C$42,93&lt;Projects!$C$42+Projects!$D$42),Projects!$B$42*INDEX(Curves!$B$4:$AR$4,1,93-Projects!$C$42+1),0)+IF(AND(Projects!$G$43="Yes",Projects!$M$43="Yes",93&gt;=Projects!$C$43,93&lt;Projects!$C$43+Projects!$D$43),Projects!$B$43*INDEX(Curves!$B$4:$AR$4,1,93-Projects!$C$43+1),0)+IF(AND(Projects!$G$44="Yes",Projects!$M$44="Yes",93&gt;=Projects!$C$44,93&lt;Projects!$C$44+Projects!$D$44),Projects!$B$44*INDEX(Curves!$B$4:$AR$4,1,93-Projects!$C$44+1),0)+IF(AND(Projects!$G$45="Yes",Projects!$M$45="Yes",93&gt;=Projects!$C$45,93&lt;Projects!$C$45+Projects!$D$45),Projects!$B$45*INDEX(Curves!$B$4:$AR$4,1,93-Projects!$C$45+1),0)+IF(AND(Projects!$G$46="Yes",Projects!$M$46="Yes",93&gt;=Projects!$C$46,93&lt;Projects!$C$46+Projects!$D$46),Projects!$B$46*INDEX(Curves!$B$4:$AR$4,1,93-Projects!$C$46+1),0)</f>
        <v>0</v>
      </c>
      <c r="CU101" s="317" t="n">
        <f aca="false">IF(AND(Projects!$G$17="Yes",Projects!$M$17="Yes",94&gt;=Projects!$C$17,94&lt;Projects!$C$17+Projects!$D$17),Projects!$B$17*INDEX(Curves!$B$4:$AR$4,1,94-Projects!$C$17+1),0)+IF(AND(Projects!$G$18="Yes",Projects!$M$18="Yes",94&gt;=Projects!$C$18,94&lt;Projects!$C$18+Projects!$D$18),Projects!$B$18*INDEX(Curves!$B$4:$AR$4,1,94-Projects!$C$18+1),0)+IF(AND(Projects!$G$19="Yes",Projects!$M$19="Yes",94&gt;=Projects!$C$19,94&lt;Projects!$C$19+Projects!$D$19),Projects!$B$19*INDEX(Curves!$B$4:$AR$4,1,94-Projects!$C$19+1),0)+IF(AND(Projects!$G$20="Yes",Projects!$M$20="Yes",94&gt;=Projects!$C$20,94&lt;Projects!$C$20+Projects!$D$20),Projects!$B$20*INDEX(Curves!$B$4:$AR$4,1,94-Projects!$C$20+1),0)+IF(AND(Projects!$G$21="Yes",Projects!$M$21="Yes",94&gt;=Projects!$C$21,94&lt;Projects!$C$21+Projects!$D$21),Projects!$B$21*INDEX(Curves!$B$4:$AR$4,1,94-Projects!$C$21+1),0)+IF(AND(Projects!$G$22="Yes",Projects!$M$22="Yes",94&gt;=Projects!$C$22,94&lt;Projects!$C$22+Projects!$D$22),Projects!$B$22*INDEX(Curves!$B$4:$AR$4,1,94-Projects!$C$22+1),0)+IF(AND(Projects!$G$23="Yes",Projects!$M$23="Yes",94&gt;=Projects!$C$23,94&lt;Projects!$C$23+Projects!$D$23),Projects!$B$23*INDEX(Curves!$B$4:$AR$4,1,94-Projects!$C$23+1),0)+IF(AND(Projects!$G$24="Yes",Projects!$M$24="Yes",94&gt;=Projects!$C$24,94&lt;Projects!$C$24+Projects!$D$24),Projects!$B$24*INDEX(Curves!$B$4:$AR$4,1,94-Projects!$C$24+1),0)+IF(AND(Projects!$G$25="Yes",Projects!$M$25="Yes",94&gt;=Projects!$C$25,94&lt;Projects!$C$25+Projects!$D$25),Projects!$B$25*INDEX(Curves!$B$4:$AR$4,1,94-Projects!$C$25+1),0)+IF(AND(Projects!$G$26="Yes",Projects!$M$26="Yes",94&gt;=Projects!$C$26,94&lt;Projects!$C$26+Projects!$D$26),Projects!$B$26*INDEX(Curves!$B$4:$AR$4,1,94-Projects!$C$26+1),0)+IF(AND(Projects!$G$27="Yes",Projects!$M$27="Yes",94&gt;=Projects!$C$27,94&lt;Projects!$C$27+Projects!$D$27),Projects!$B$27*INDEX(Curves!$B$4:$AR$4,1,94-Projects!$C$27+1),0)+IF(AND(Projects!$G$28="Yes",Projects!$M$28="Yes",94&gt;=Projects!$C$28,94&lt;Projects!$C$28+Projects!$D$28),Projects!$B$28*INDEX(Curves!$B$4:$AR$4,1,94-Projects!$C$28+1),0)+IF(AND(Projects!$G$29="Yes",Projects!$M$29="Yes",94&gt;=Projects!$C$29,94&lt;Projects!$C$29+Projects!$D$29),Projects!$B$29*INDEX(Curves!$B$4:$AR$4,1,94-Projects!$C$29+1),0)+IF(AND(Projects!$G$30="Yes",Projects!$M$30="Yes",94&gt;=Projects!$C$30,94&lt;Projects!$C$30+Projects!$D$30),Projects!$B$30*INDEX(Curves!$B$4:$AR$4,1,94-Projects!$C$30+1),0)+IF(AND(Projects!$G$31="Yes",Projects!$M$31="Yes",94&gt;=Projects!$C$31,94&lt;Projects!$C$31+Projects!$D$31),Projects!$B$31*INDEX(Curves!$B$4:$AR$4,1,94-Projects!$C$31+1),0)+IF(AND(Projects!$G$32="Yes",Projects!$M$32="Yes",94&gt;=Projects!$C$32,94&lt;Projects!$C$32+Projects!$D$32),Projects!$B$32*INDEX(Curves!$B$4:$AR$4,1,94-Projects!$C$32+1),0)+IF(AND(Projects!$G$33="Yes",Projects!$M$33="Yes",94&gt;=Projects!$C$33,94&lt;Projects!$C$33+Projects!$D$33),Projects!$B$33*INDEX(Curves!$B$4:$AR$4,1,94-Projects!$C$33+1),0)+IF(AND(Projects!$G$34="Yes",Projects!$M$34="Yes",94&gt;=Projects!$C$34,94&lt;Projects!$C$34+Projects!$D$34),Projects!$B$34*INDEX(Curves!$B$4:$AR$4,1,94-Projects!$C$34+1),0)+IF(AND(Projects!$G$35="Yes",Projects!$M$35="Yes",94&gt;=Projects!$C$35,94&lt;Projects!$C$35+Projects!$D$35),Projects!$B$35*INDEX(Curves!$B$4:$AR$4,1,94-Projects!$C$35+1),0)+IF(AND(Projects!$G$36="Yes",Projects!$M$36="Yes",94&gt;=Projects!$C$36,94&lt;Projects!$C$36+Projects!$D$36),Projects!$B$36*INDEX(Curves!$B$4:$AR$4,1,94-Projects!$C$36+1),0)+IF(AND(Projects!$G$37="Yes",Projects!$M$37="Yes",94&gt;=Projects!$C$37,94&lt;Projects!$C$37+Projects!$D$37),Projects!$B$37*INDEX(Curves!$B$4:$AR$4,1,94-Projects!$C$37+1),0)+IF(AND(Projects!$G$38="Yes",Projects!$M$38="Yes",94&gt;=Projects!$C$38,94&lt;Projects!$C$38+Projects!$D$38),Projects!$B$38*INDEX(Curves!$B$4:$AR$4,1,94-Projects!$C$38+1),0)+IF(AND(Projects!$G$39="Yes",Projects!$M$39="Yes",94&gt;=Projects!$C$39,94&lt;Projects!$C$39+Projects!$D$39),Projects!$B$39*INDEX(Curves!$B$4:$AR$4,1,94-Projects!$C$39+1),0)+IF(AND(Projects!$G$40="Yes",Projects!$M$40="Yes",94&gt;=Projects!$C$40,94&lt;Projects!$C$40+Projects!$D$40),Projects!$B$40*INDEX(Curves!$B$4:$AR$4,1,94-Projects!$C$40+1),0)+IF(AND(Projects!$G$41="Yes",Projects!$M$41="Yes",94&gt;=Projects!$C$41,94&lt;Projects!$C$41+Projects!$D$41),Projects!$B$41*INDEX(Curves!$B$4:$AR$4,1,94-Projects!$C$41+1),0)+IF(AND(Projects!$G$42="Yes",Projects!$M$42="Yes",94&gt;=Projects!$C$42,94&lt;Projects!$C$42+Projects!$D$42),Projects!$B$42*INDEX(Curves!$B$4:$AR$4,1,94-Projects!$C$42+1),0)+IF(AND(Projects!$G$43="Yes",Projects!$M$43="Yes",94&gt;=Projects!$C$43,94&lt;Projects!$C$43+Projects!$D$43),Projects!$B$43*INDEX(Curves!$B$4:$AR$4,1,94-Projects!$C$43+1),0)+IF(AND(Projects!$G$44="Yes",Projects!$M$44="Yes",94&gt;=Projects!$C$44,94&lt;Projects!$C$44+Projects!$D$44),Projects!$B$44*INDEX(Curves!$B$4:$AR$4,1,94-Projects!$C$44+1),0)+IF(AND(Projects!$G$45="Yes",Projects!$M$45="Yes",94&gt;=Projects!$C$45,94&lt;Projects!$C$45+Projects!$D$45),Projects!$B$45*INDEX(Curves!$B$4:$AR$4,1,94-Projects!$C$45+1),0)+IF(AND(Projects!$G$46="Yes",Projects!$M$46="Yes",94&gt;=Projects!$C$46,94&lt;Projects!$C$46+Projects!$D$46),Projects!$B$46*INDEX(Curves!$B$4:$AR$4,1,94-Projects!$C$46+1),0)</f>
        <v>0</v>
      </c>
      <c r="CV101" s="317" t="n">
        <f aca="false">IF(AND(Projects!$G$17="Yes",Projects!$M$17="Yes",95&gt;=Projects!$C$17,95&lt;Projects!$C$17+Projects!$D$17),Projects!$B$17*INDEX(Curves!$B$4:$AR$4,1,95-Projects!$C$17+1),0)+IF(AND(Projects!$G$18="Yes",Projects!$M$18="Yes",95&gt;=Projects!$C$18,95&lt;Projects!$C$18+Projects!$D$18),Projects!$B$18*INDEX(Curves!$B$4:$AR$4,1,95-Projects!$C$18+1),0)+IF(AND(Projects!$G$19="Yes",Projects!$M$19="Yes",95&gt;=Projects!$C$19,95&lt;Projects!$C$19+Projects!$D$19),Projects!$B$19*INDEX(Curves!$B$4:$AR$4,1,95-Projects!$C$19+1),0)+IF(AND(Projects!$G$20="Yes",Projects!$M$20="Yes",95&gt;=Projects!$C$20,95&lt;Projects!$C$20+Projects!$D$20),Projects!$B$20*INDEX(Curves!$B$4:$AR$4,1,95-Projects!$C$20+1),0)+IF(AND(Projects!$G$21="Yes",Projects!$M$21="Yes",95&gt;=Projects!$C$21,95&lt;Projects!$C$21+Projects!$D$21),Projects!$B$21*INDEX(Curves!$B$4:$AR$4,1,95-Projects!$C$21+1),0)+IF(AND(Projects!$G$22="Yes",Projects!$M$22="Yes",95&gt;=Projects!$C$22,95&lt;Projects!$C$22+Projects!$D$22),Projects!$B$22*INDEX(Curves!$B$4:$AR$4,1,95-Projects!$C$22+1),0)+IF(AND(Projects!$G$23="Yes",Projects!$M$23="Yes",95&gt;=Projects!$C$23,95&lt;Projects!$C$23+Projects!$D$23),Projects!$B$23*INDEX(Curves!$B$4:$AR$4,1,95-Projects!$C$23+1),0)+IF(AND(Projects!$G$24="Yes",Projects!$M$24="Yes",95&gt;=Projects!$C$24,95&lt;Projects!$C$24+Projects!$D$24),Projects!$B$24*INDEX(Curves!$B$4:$AR$4,1,95-Projects!$C$24+1),0)+IF(AND(Projects!$G$25="Yes",Projects!$M$25="Yes",95&gt;=Projects!$C$25,95&lt;Projects!$C$25+Projects!$D$25),Projects!$B$25*INDEX(Curves!$B$4:$AR$4,1,95-Projects!$C$25+1),0)+IF(AND(Projects!$G$26="Yes",Projects!$M$26="Yes",95&gt;=Projects!$C$26,95&lt;Projects!$C$26+Projects!$D$26),Projects!$B$26*INDEX(Curves!$B$4:$AR$4,1,95-Projects!$C$26+1),0)+IF(AND(Projects!$G$27="Yes",Projects!$M$27="Yes",95&gt;=Projects!$C$27,95&lt;Projects!$C$27+Projects!$D$27),Projects!$B$27*INDEX(Curves!$B$4:$AR$4,1,95-Projects!$C$27+1),0)+IF(AND(Projects!$G$28="Yes",Projects!$M$28="Yes",95&gt;=Projects!$C$28,95&lt;Projects!$C$28+Projects!$D$28),Projects!$B$28*INDEX(Curves!$B$4:$AR$4,1,95-Projects!$C$28+1),0)+IF(AND(Projects!$G$29="Yes",Projects!$M$29="Yes",95&gt;=Projects!$C$29,95&lt;Projects!$C$29+Projects!$D$29),Projects!$B$29*INDEX(Curves!$B$4:$AR$4,1,95-Projects!$C$29+1),0)+IF(AND(Projects!$G$30="Yes",Projects!$M$30="Yes",95&gt;=Projects!$C$30,95&lt;Projects!$C$30+Projects!$D$30),Projects!$B$30*INDEX(Curves!$B$4:$AR$4,1,95-Projects!$C$30+1),0)+IF(AND(Projects!$G$31="Yes",Projects!$M$31="Yes",95&gt;=Projects!$C$31,95&lt;Projects!$C$31+Projects!$D$31),Projects!$B$31*INDEX(Curves!$B$4:$AR$4,1,95-Projects!$C$31+1),0)+IF(AND(Projects!$G$32="Yes",Projects!$M$32="Yes",95&gt;=Projects!$C$32,95&lt;Projects!$C$32+Projects!$D$32),Projects!$B$32*INDEX(Curves!$B$4:$AR$4,1,95-Projects!$C$32+1),0)+IF(AND(Projects!$G$33="Yes",Projects!$M$33="Yes",95&gt;=Projects!$C$33,95&lt;Projects!$C$33+Projects!$D$33),Projects!$B$33*INDEX(Curves!$B$4:$AR$4,1,95-Projects!$C$33+1),0)+IF(AND(Projects!$G$34="Yes",Projects!$M$34="Yes",95&gt;=Projects!$C$34,95&lt;Projects!$C$34+Projects!$D$34),Projects!$B$34*INDEX(Curves!$B$4:$AR$4,1,95-Projects!$C$34+1),0)+IF(AND(Projects!$G$35="Yes",Projects!$M$35="Yes",95&gt;=Projects!$C$35,95&lt;Projects!$C$35+Projects!$D$35),Projects!$B$35*INDEX(Curves!$B$4:$AR$4,1,95-Projects!$C$35+1),0)+IF(AND(Projects!$G$36="Yes",Projects!$M$36="Yes",95&gt;=Projects!$C$36,95&lt;Projects!$C$36+Projects!$D$36),Projects!$B$36*INDEX(Curves!$B$4:$AR$4,1,95-Projects!$C$36+1),0)+IF(AND(Projects!$G$37="Yes",Projects!$M$37="Yes",95&gt;=Projects!$C$37,95&lt;Projects!$C$37+Projects!$D$37),Projects!$B$37*INDEX(Curves!$B$4:$AR$4,1,95-Projects!$C$37+1),0)+IF(AND(Projects!$G$38="Yes",Projects!$M$38="Yes",95&gt;=Projects!$C$38,95&lt;Projects!$C$38+Projects!$D$38),Projects!$B$38*INDEX(Curves!$B$4:$AR$4,1,95-Projects!$C$38+1),0)+IF(AND(Projects!$G$39="Yes",Projects!$M$39="Yes",95&gt;=Projects!$C$39,95&lt;Projects!$C$39+Projects!$D$39),Projects!$B$39*INDEX(Curves!$B$4:$AR$4,1,95-Projects!$C$39+1),0)+IF(AND(Projects!$G$40="Yes",Projects!$M$40="Yes",95&gt;=Projects!$C$40,95&lt;Projects!$C$40+Projects!$D$40),Projects!$B$40*INDEX(Curves!$B$4:$AR$4,1,95-Projects!$C$40+1),0)+IF(AND(Projects!$G$41="Yes",Projects!$M$41="Yes",95&gt;=Projects!$C$41,95&lt;Projects!$C$41+Projects!$D$41),Projects!$B$41*INDEX(Curves!$B$4:$AR$4,1,95-Projects!$C$41+1),0)+IF(AND(Projects!$G$42="Yes",Projects!$M$42="Yes",95&gt;=Projects!$C$42,95&lt;Projects!$C$42+Projects!$D$42),Projects!$B$42*INDEX(Curves!$B$4:$AR$4,1,95-Projects!$C$42+1),0)+IF(AND(Projects!$G$43="Yes",Projects!$M$43="Yes",95&gt;=Projects!$C$43,95&lt;Projects!$C$43+Projects!$D$43),Projects!$B$43*INDEX(Curves!$B$4:$AR$4,1,95-Projects!$C$43+1),0)+IF(AND(Projects!$G$44="Yes",Projects!$M$44="Yes",95&gt;=Projects!$C$44,95&lt;Projects!$C$44+Projects!$D$44),Projects!$B$44*INDEX(Curves!$B$4:$AR$4,1,95-Projects!$C$44+1),0)+IF(AND(Projects!$G$45="Yes",Projects!$M$45="Yes",95&gt;=Projects!$C$45,95&lt;Projects!$C$45+Projects!$D$45),Projects!$B$45*INDEX(Curves!$B$4:$AR$4,1,95-Projects!$C$45+1),0)+IF(AND(Projects!$G$46="Yes",Projects!$M$46="Yes",95&gt;=Projects!$C$46,95&lt;Projects!$C$46+Projects!$D$46),Projects!$B$46*INDEX(Curves!$B$4:$AR$4,1,95-Projects!$C$46+1),0)</f>
        <v>0</v>
      </c>
      <c r="CW101" s="317" t="n">
        <f aca="false">IF(AND(Projects!$G$17="Yes",Projects!$M$17="Yes",96&gt;=Projects!$C$17,96&lt;Projects!$C$17+Projects!$D$17),Projects!$B$17*INDEX(Curves!$B$4:$AR$4,1,96-Projects!$C$17+1),0)+IF(AND(Projects!$G$18="Yes",Projects!$M$18="Yes",96&gt;=Projects!$C$18,96&lt;Projects!$C$18+Projects!$D$18),Projects!$B$18*INDEX(Curves!$B$4:$AR$4,1,96-Projects!$C$18+1),0)+IF(AND(Projects!$G$19="Yes",Projects!$M$19="Yes",96&gt;=Projects!$C$19,96&lt;Projects!$C$19+Projects!$D$19),Projects!$B$19*INDEX(Curves!$B$4:$AR$4,1,96-Projects!$C$19+1),0)+IF(AND(Projects!$G$20="Yes",Projects!$M$20="Yes",96&gt;=Projects!$C$20,96&lt;Projects!$C$20+Projects!$D$20),Projects!$B$20*INDEX(Curves!$B$4:$AR$4,1,96-Projects!$C$20+1),0)+IF(AND(Projects!$G$21="Yes",Projects!$M$21="Yes",96&gt;=Projects!$C$21,96&lt;Projects!$C$21+Projects!$D$21),Projects!$B$21*INDEX(Curves!$B$4:$AR$4,1,96-Projects!$C$21+1),0)+IF(AND(Projects!$G$22="Yes",Projects!$M$22="Yes",96&gt;=Projects!$C$22,96&lt;Projects!$C$22+Projects!$D$22),Projects!$B$22*INDEX(Curves!$B$4:$AR$4,1,96-Projects!$C$22+1),0)+IF(AND(Projects!$G$23="Yes",Projects!$M$23="Yes",96&gt;=Projects!$C$23,96&lt;Projects!$C$23+Projects!$D$23),Projects!$B$23*INDEX(Curves!$B$4:$AR$4,1,96-Projects!$C$23+1),0)+IF(AND(Projects!$G$24="Yes",Projects!$M$24="Yes",96&gt;=Projects!$C$24,96&lt;Projects!$C$24+Projects!$D$24),Projects!$B$24*INDEX(Curves!$B$4:$AR$4,1,96-Projects!$C$24+1),0)+IF(AND(Projects!$G$25="Yes",Projects!$M$25="Yes",96&gt;=Projects!$C$25,96&lt;Projects!$C$25+Projects!$D$25),Projects!$B$25*INDEX(Curves!$B$4:$AR$4,1,96-Projects!$C$25+1),0)+IF(AND(Projects!$G$26="Yes",Projects!$M$26="Yes",96&gt;=Projects!$C$26,96&lt;Projects!$C$26+Projects!$D$26),Projects!$B$26*INDEX(Curves!$B$4:$AR$4,1,96-Projects!$C$26+1),0)+IF(AND(Projects!$G$27="Yes",Projects!$M$27="Yes",96&gt;=Projects!$C$27,96&lt;Projects!$C$27+Projects!$D$27),Projects!$B$27*INDEX(Curves!$B$4:$AR$4,1,96-Projects!$C$27+1),0)+IF(AND(Projects!$G$28="Yes",Projects!$M$28="Yes",96&gt;=Projects!$C$28,96&lt;Projects!$C$28+Projects!$D$28),Projects!$B$28*INDEX(Curves!$B$4:$AR$4,1,96-Projects!$C$28+1),0)+IF(AND(Projects!$G$29="Yes",Projects!$M$29="Yes",96&gt;=Projects!$C$29,96&lt;Projects!$C$29+Projects!$D$29),Projects!$B$29*INDEX(Curves!$B$4:$AR$4,1,96-Projects!$C$29+1),0)+IF(AND(Projects!$G$30="Yes",Projects!$M$30="Yes",96&gt;=Projects!$C$30,96&lt;Projects!$C$30+Projects!$D$30),Projects!$B$30*INDEX(Curves!$B$4:$AR$4,1,96-Projects!$C$30+1),0)+IF(AND(Projects!$G$31="Yes",Projects!$M$31="Yes",96&gt;=Projects!$C$31,96&lt;Projects!$C$31+Projects!$D$31),Projects!$B$31*INDEX(Curves!$B$4:$AR$4,1,96-Projects!$C$31+1),0)+IF(AND(Projects!$G$32="Yes",Projects!$M$32="Yes",96&gt;=Projects!$C$32,96&lt;Projects!$C$32+Projects!$D$32),Projects!$B$32*INDEX(Curves!$B$4:$AR$4,1,96-Projects!$C$32+1),0)+IF(AND(Projects!$G$33="Yes",Projects!$M$33="Yes",96&gt;=Projects!$C$33,96&lt;Projects!$C$33+Projects!$D$33),Projects!$B$33*INDEX(Curves!$B$4:$AR$4,1,96-Projects!$C$33+1),0)+IF(AND(Projects!$G$34="Yes",Projects!$M$34="Yes",96&gt;=Projects!$C$34,96&lt;Projects!$C$34+Projects!$D$34),Projects!$B$34*INDEX(Curves!$B$4:$AR$4,1,96-Projects!$C$34+1),0)+IF(AND(Projects!$G$35="Yes",Projects!$M$35="Yes",96&gt;=Projects!$C$35,96&lt;Projects!$C$35+Projects!$D$35),Projects!$B$35*INDEX(Curves!$B$4:$AR$4,1,96-Projects!$C$35+1),0)+IF(AND(Projects!$G$36="Yes",Projects!$M$36="Yes",96&gt;=Projects!$C$36,96&lt;Projects!$C$36+Projects!$D$36),Projects!$B$36*INDEX(Curves!$B$4:$AR$4,1,96-Projects!$C$36+1),0)+IF(AND(Projects!$G$37="Yes",Projects!$M$37="Yes",96&gt;=Projects!$C$37,96&lt;Projects!$C$37+Projects!$D$37),Projects!$B$37*INDEX(Curves!$B$4:$AR$4,1,96-Projects!$C$37+1),0)+IF(AND(Projects!$G$38="Yes",Projects!$M$38="Yes",96&gt;=Projects!$C$38,96&lt;Projects!$C$38+Projects!$D$38),Projects!$B$38*INDEX(Curves!$B$4:$AR$4,1,96-Projects!$C$38+1),0)+IF(AND(Projects!$G$39="Yes",Projects!$M$39="Yes",96&gt;=Projects!$C$39,96&lt;Projects!$C$39+Projects!$D$39),Projects!$B$39*INDEX(Curves!$B$4:$AR$4,1,96-Projects!$C$39+1),0)+IF(AND(Projects!$G$40="Yes",Projects!$M$40="Yes",96&gt;=Projects!$C$40,96&lt;Projects!$C$40+Projects!$D$40),Projects!$B$40*INDEX(Curves!$B$4:$AR$4,1,96-Projects!$C$40+1),0)+IF(AND(Projects!$G$41="Yes",Projects!$M$41="Yes",96&gt;=Projects!$C$41,96&lt;Projects!$C$41+Projects!$D$41),Projects!$B$41*INDEX(Curves!$B$4:$AR$4,1,96-Projects!$C$41+1),0)+IF(AND(Projects!$G$42="Yes",Projects!$M$42="Yes",96&gt;=Projects!$C$42,96&lt;Projects!$C$42+Projects!$D$42),Projects!$B$42*INDEX(Curves!$B$4:$AR$4,1,96-Projects!$C$42+1),0)+IF(AND(Projects!$G$43="Yes",Projects!$M$43="Yes",96&gt;=Projects!$C$43,96&lt;Projects!$C$43+Projects!$D$43),Projects!$B$43*INDEX(Curves!$B$4:$AR$4,1,96-Projects!$C$43+1),0)+IF(AND(Projects!$G$44="Yes",Projects!$M$44="Yes",96&gt;=Projects!$C$44,96&lt;Projects!$C$44+Projects!$D$44),Projects!$B$44*INDEX(Curves!$B$4:$AR$4,1,96-Projects!$C$44+1),0)+IF(AND(Projects!$G$45="Yes",Projects!$M$45="Yes",96&gt;=Projects!$C$45,96&lt;Projects!$C$45+Projects!$D$45),Projects!$B$45*INDEX(Curves!$B$4:$AR$4,1,96-Projects!$C$45+1),0)+IF(AND(Projects!$G$46="Yes",Projects!$M$46="Yes",96&gt;=Projects!$C$46,96&lt;Projects!$C$46+Projects!$D$46),Projects!$B$46*INDEX(Curves!$B$4:$AR$4,1,96-Projects!$C$46+1),0)</f>
        <v>0</v>
      </c>
      <c r="CX101" s="317" t="n">
        <f aca="false">IF(AND(Projects!$G$17="Yes",Projects!$M$17="Yes",97&gt;=Projects!$C$17,97&lt;Projects!$C$17+Projects!$D$17),Projects!$B$17*INDEX(Curves!$B$4:$AR$4,1,97-Projects!$C$17+1),0)+IF(AND(Projects!$G$18="Yes",Projects!$M$18="Yes",97&gt;=Projects!$C$18,97&lt;Projects!$C$18+Projects!$D$18),Projects!$B$18*INDEX(Curves!$B$4:$AR$4,1,97-Projects!$C$18+1),0)+IF(AND(Projects!$G$19="Yes",Projects!$M$19="Yes",97&gt;=Projects!$C$19,97&lt;Projects!$C$19+Projects!$D$19),Projects!$B$19*INDEX(Curves!$B$4:$AR$4,1,97-Projects!$C$19+1),0)+IF(AND(Projects!$G$20="Yes",Projects!$M$20="Yes",97&gt;=Projects!$C$20,97&lt;Projects!$C$20+Projects!$D$20),Projects!$B$20*INDEX(Curves!$B$4:$AR$4,1,97-Projects!$C$20+1),0)+IF(AND(Projects!$G$21="Yes",Projects!$M$21="Yes",97&gt;=Projects!$C$21,97&lt;Projects!$C$21+Projects!$D$21),Projects!$B$21*INDEX(Curves!$B$4:$AR$4,1,97-Projects!$C$21+1),0)+IF(AND(Projects!$G$22="Yes",Projects!$M$22="Yes",97&gt;=Projects!$C$22,97&lt;Projects!$C$22+Projects!$D$22),Projects!$B$22*INDEX(Curves!$B$4:$AR$4,1,97-Projects!$C$22+1),0)+IF(AND(Projects!$G$23="Yes",Projects!$M$23="Yes",97&gt;=Projects!$C$23,97&lt;Projects!$C$23+Projects!$D$23),Projects!$B$23*INDEX(Curves!$B$4:$AR$4,1,97-Projects!$C$23+1),0)+IF(AND(Projects!$G$24="Yes",Projects!$M$24="Yes",97&gt;=Projects!$C$24,97&lt;Projects!$C$24+Projects!$D$24),Projects!$B$24*INDEX(Curves!$B$4:$AR$4,1,97-Projects!$C$24+1),0)+IF(AND(Projects!$G$25="Yes",Projects!$M$25="Yes",97&gt;=Projects!$C$25,97&lt;Projects!$C$25+Projects!$D$25),Projects!$B$25*INDEX(Curves!$B$4:$AR$4,1,97-Projects!$C$25+1),0)+IF(AND(Projects!$G$26="Yes",Projects!$M$26="Yes",97&gt;=Projects!$C$26,97&lt;Projects!$C$26+Projects!$D$26),Projects!$B$26*INDEX(Curves!$B$4:$AR$4,1,97-Projects!$C$26+1),0)+IF(AND(Projects!$G$27="Yes",Projects!$M$27="Yes",97&gt;=Projects!$C$27,97&lt;Projects!$C$27+Projects!$D$27),Projects!$B$27*INDEX(Curves!$B$4:$AR$4,1,97-Projects!$C$27+1),0)+IF(AND(Projects!$G$28="Yes",Projects!$M$28="Yes",97&gt;=Projects!$C$28,97&lt;Projects!$C$28+Projects!$D$28),Projects!$B$28*INDEX(Curves!$B$4:$AR$4,1,97-Projects!$C$28+1),0)+IF(AND(Projects!$G$29="Yes",Projects!$M$29="Yes",97&gt;=Projects!$C$29,97&lt;Projects!$C$29+Projects!$D$29),Projects!$B$29*INDEX(Curves!$B$4:$AR$4,1,97-Projects!$C$29+1),0)+IF(AND(Projects!$G$30="Yes",Projects!$M$30="Yes",97&gt;=Projects!$C$30,97&lt;Projects!$C$30+Projects!$D$30),Projects!$B$30*INDEX(Curves!$B$4:$AR$4,1,97-Projects!$C$30+1),0)+IF(AND(Projects!$G$31="Yes",Projects!$M$31="Yes",97&gt;=Projects!$C$31,97&lt;Projects!$C$31+Projects!$D$31),Projects!$B$31*INDEX(Curves!$B$4:$AR$4,1,97-Projects!$C$31+1),0)+IF(AND(Projects!$G$32="Yes",Projects!$M$32="Yes",97&gt;=Projects!$C$32,97&lt;Projects!$C$32+Projects!$D$32),Projects!$B$32*INDEX(Curves!$B$4:$AR$4,1,97-Projects!$C$32+1),0)+IF(AND(Projects!$G$33="Yes",Projects!$M$33="Yes",97&gt;=Projects!$C$33,97&lt;Projects!$C$33+Projects!$D$33),Projects!$B$33*INDEX(Curves!$B$4:$AR$4,1,97-Projects!$C$33+1),0)+IF(AND(Projects!$G$34="Yes",Projects!$M$34="Yes",97&gt;=Projects!$C$34,97&lt;Projects!$C$34+Projects!$D$34),Projects!$B$34*INDEX(Curves!$B$4:$AR$4,1,97-Projects!$C$34+1),0)+IF(AND(Projects!$G$35="Yes",Projects!$M$35="Yes",97&gt;=Projects!$C$35,97&lt;Projects!$C$35+Projects!$D$35),Projects!$B$35*INDEX(Curves!$B$4:$AR$4,1,97-Projects!$C$35+1),0)+IF(AND(Projects!$G$36="Yes",Projects!$M$36="Yes",97&gt;=Projects!$C$36,97&lt;Projects!$C$36+Projects!$D$36),Projects!$B$36*INDEX(Curves!$B$4:$AR$4,1,97-Projects!$C$36+1),0)+IF(AND(Projects!$G$37="Yes",Projects!$M$37="Yes",97&gt;=Projects!$C$37,97&lt;Projects!$C$37+Projects!$D$37),Projects!$B$37*INDEX(Curves!$B$4:$AR$4,1,97-Projects!$C$37+1),0)+IF(AND(Projects!$G$38="Yes",Projects!$M$38="Yes",97&gt;=Projects!$C$38,97&lt;Projects!$C$38+Projects!$D$38),Projects!$B$38*INDEX(Curves!$B$4:$AR$4,1,97-Projects!$C$38+1),0)+IF(AND(Projects!$G$39="Yes",Projects!$M$39="Yes",97&gt;=Projects!$C$39,97&lt;Projects!$C$39+Projects!$D$39),Projects!$B$39*INDEX(Curves!$B$4:$AR$4,1,97-Projects!$C$39+1),0)+IF(AND(Projects!$G$40="Yes",Projects!$M$40="Yes",97&gt;=Projects!$C$40,97&lt;Projects!$C$40+Projects!$D$40),Projects!$B$40*INDEX(Curves!$B$4:$AR$4,1,97-Projects!$C$40+1),0)+IF(AND(Projects!$G$41="Yes",Projects!$M$41="Yes",97&gt;=Projects!$C$41,97&lt;Projects!$C$41+Projects!$D$41),Projects!$B$41*INDEX(Curves!$B$4:$AR$4,1,97-Projects!$C$41+1),0)+IF(AND(Projects!$G$42="Yes",Projects!$M$42="Yes",97&gt;=Projects!$C$42,97&lt;Projects!$C$42+Projects!$D$42),Projects!$B$42*INDEX(Curves!$B$4:$AR$4,1,97-Projects!$C$42+1),0)+IF(AND(Projects!$G$43="Yes",Projects!$M$43="Yes",97&gt;=Projects!$C$43,97&lt;Projects!$C$43+Projects!$D$43),Projects!$B$43*INDEX(Curves!$B$4:$AR$4,1,97-Projects!$C$43+1),0)+IF(AND(Projects!$G$44="Yes",Projects!$M$44="Yes",97&gt;=Projects!$C$44,97&lt;Projects!$C$44+Projects!$D$44),Projects!$B$44*INDEX(Curves!$B$4:$AR$4,1,97-Projects!$C$44+1),0)+IF(AND(Projects!$G$45="Yes",Projects!$M$45="Yes",97&gt;=Projects!$C$45,97&lt;Projects!$C$45+Projects!$D$45),Projects!$B$45*INDEX(Curves!$B$4:$AR$4,1,97-Projects!$C$45+1),0)+IF(AND(Projects!$G$46="Yes",Projects!$M$46="Yes",97&gt;=Projects!$C$46,97&lt;Projects!$C$46+Projects!$D$46),Projects!$B$46*INDEX(Curves!$B$4:$AR$4,1,97-Projects!$C$46+1),0)</f>
        <v>0</v>
      </c>
      <c r="CY101" s="317" t="n">
        <f aca="false">IF(AND(Projects!$G$17="Yes",Projects!$M$17="Yes",98&gt;=Projects!$C$17,98&lt;Projects!$C$17+Projects!$D$17),Projects!$B$17*INDEX(Curves!$B$4:$AR$4,1,98-Projects!$C$17+1),0)+IF(AND(Projects!$G$18="Yes",Projects!$M$18="Yes",98&gt;=Projects!$C$18,98&lt;Projects!$C$18+Projects!$D$18),Projects!$B$18*INDEX(Curves!$B$4:$AR$4,1,98-Projects!$C$18+1),0)+IF(AND(Projects!$G$19="Yes",Projects!$M$19="Yes",98&gt;=Projects!$C$19,98&lt;Projects!$C$19+Projects!$D$19),Projects!$B$19*INDEX(Curves!$B$4:$AR$4,1,98-Projects!$C$19+1),0)+IF(AND(Projects!$G$20="Yes",Projects!$M$20="Yes",98&gt;=Projects!$C$20,98&lt;Projects!$C$20+Projects!$D$20),Projects!$B$20*INDEX(Curves!$B$4:$AR$4,1,98-Projects!$C$20+1),0)+IF(AND(Projects!$G$21="Yes",Projects!$M$21="Yes",98&gt;=Projects!$C$21,98&lt;Projects!$C$21+Projects!$D$21),Projects!$B$21*INDEX(Curves!$B$4:$AR$4,1,98-Projects!$C$21+1),0)+IF(AND(Projects!$G$22="Yes",Projects!$M$22="Yes",98&gt;=Projects!$C$22,98&lt;Projects!$C$22+Projects!$D$22),Projects!$B$22*INDEX(Curves!$B$4:$AR$4,1,98-Projects!$C$22+1),0)+IF(AND(Projects!$G$23="Yes",Projects!$M$23="Yes",98&gt;=Projects!$C$23,98&lt;Projects!$C$23+Projects!$D$23),Projects!$B$23*INDEX(Curves!$B$4:$AR$4,1,98-Projects!$C$23+1),0)+IF(AND(Projects!$G$24="Yes",Projects!$M$24="Yes",98&gt;=Projects!$C$24,98&lt;Projects!$C$24+Projects!$D$24),Projects!$B$24*INDEX(Curves!$B$4:$AR$4,1,98-Projects!$C$24+1),0)+IF(AND(Projects!$G$25="Yes",Projects!$M$25="Yes",98&gt;=Projects!$C$25,98&lt;Projects!$C$25+Projects!$D$25),Projects!$B$25*INDEX(Curves!$B$4:$AR$4,1,98-Projects!$C$25+1),0)+IF(AND(Projects!$G$26="Yes",Projects!$M$26="Yes",98&gt;=Projects!$C$26,98&lt;Projects!$C$26+Projects!$D$26),Projects!$B$26*INDEX(Curves!$B$4:$AR$4,1,98-Projects!$C$26+1),0)+IF(AND(Projects!$G$27="Yes",Projects!$M$27="Yes",98&gt;=Projects!$C$27,98&lt;Projects!$C$27+Projects!$D$27),Projects!$B$27*INDEX(Curves!$B$4:$AR$4,1,98-Projects!$C$27+1),0)+IF(AND(Projects!$G$28="Yes",Projects!$M$28="Yes",98&gt;=Projects!$C$28,98&lt;Projects!$C$28+Projects!$D$28),Projects!$B$28*INDEX(Curves!$B$4:$AR$4,1,98-Projects!$C$28+1),0)+IF(AND(Projects!$G$29="Yes",Projects!$M$29="Yes",98&gt;=Projects!$C$29,98&lt;Projects!$C$29+Projects!$D$29),Projects!$B$29*INDEX(Curves!$B$4:$AR$4,1,98-Projects!$C$29+1),0)+IF(AND(Projects!$G$30="Yes",Projects!$M$30="Yes",98&gt;=Projects!$C$30,98&lt;Projects!$C$30+Projects!$D$30),Projects!$B$30*INDEX(Curves!$B$4:$AR$4,1,98-Projects!$C$30+1),0)+IF(AND(Projects!$G$31="Yes",Projects!$M$31="Yes",98&gt;=Projects!$C$31,98&lt;Projects!$C$31+Projects!$D$31),Projects!$B$31*INDEX(Curves!$B$4:$AR$4,1,98-Projects!$C$31+1),0)+IF(AND(Projects!$G$32="Yes",Projects!$M$32="Yes",98&gt;=Projects!$C$32,98&lt;Projects!$C$32+Projects!$D$32),Projects!$B$32*INDEX(Curves!$B$4:$AR$4,1,98-Projects!$C$32+1),0)+IF(AND(Projects!$G$33="Yes",Projects!$M$33="Yes",98&gt;=Projects!$C$33,98&lt;Projects!$C$33+Projects!$D$33),Projects!$B$33*INDEX(Curves!$B$4:$AR$4,1,98-Projects!$C$33+1),0)+IF(AND(Projects!$G$34="Yes",Projects!$M$34="Yes",98&gt;=Projects!$C$34,98&lt;Projects!$C$34+Projects!$D$34),Projects!$B$34*INDEX(Curves!$B$4:$AR$4,1,98-Projects!$C$34+1),0)+IF(AND(Projects!$G$35="Yes",Projects!$M$35="Yes",98&gt;=Projects!$C$35,98&lt;Projects!$C$35+Projects!$D$35),Projects!$B$35*INDEX(Curves!$B$4:$AR$4,1,98-Projects!$C$35+1),0)+IF(AND(Projects!$G$36="Yes",Projects!$M$36="Yes",98&gt;=Projects!$C$36,98&lt;Projects!$C$36+Projects!$D$36),Projects!$B$36*INDEX(Curves!$B$4:$AR$4,1,98-Projects!$C$36+1),0)+IF(AND(Projects!$G$37="Yes",Projects!$M$37="Yes",98&gt;=Projects!$C$37,98&lt;Projects!$C$37+Projects!$D$37),Projects!$B$37*INDEX(Curves!$B$4:$AR$4,1,98-Projects!$C$37+1),0)+IF(AND(Projects!$G$38="Yes",Projects!$M$38="Yes",98&gt;=Projects!$C$38,98&lt;Projects!$C$38+Projects!$D$38),Projects!$B$38*INDEX(Curves!$B$4:$AR$4,1,98-Projects!$C$38+1),0)+IF(AND(Projects!$G$39="Yes",Projects!$M$39="Yes",98&gt;=Projects!$C$39,98&lt;Projects!$C$39+Projects!$D$39),Projects!$B$39*INDEX(Curves!$B$4:$AR$4,1,98-Projects!$C$39+1),0)+IF(AND(Projects!$G$40="Yes",Projects!$M$40="Yes",98&gt;=Projects!$C$40,98&lt;Projects!$C$40+Projects!$D$40),Projects!$B$40*INDEX(Curves!$B$4:$AR$4,1,98-Projects!$C$40+1),0)+IF(AND(Projects!$G$41="Yes",Projects!$M$41="Yes",98&gt;=Projects!$C$41,98&lt;Projects!$C$41+Projects!$D$41),Projects!$B$41*INDEX(Curves!$B$4:$AR$4,1,98-Projects!$C$41+1),0)+IF(AND(Projects!$G$42="Yes",Projects!$M$42="Yes",98&gt;=Projects!$C$42,98&lt;Projects!$C$42+Projects!$D$42),Projects!$B$42*INDEX(Curves!$B$4:$AR$4,1,98-Projects!$C$42+1),0)+IF(AND(Projects!$G$43="Yes",Projects!$M$43="Yes",98&gt;=Projects!$C$43,98&lt;Projects!$C$43+Projects!$D$43),Projects!$B$43*INDEX(Curves!$B$4:$AR$4,1,98-Projects!$C$43+1),0)+IF(AND(Projects!$G$44="Yes",Projects!$M$44="Yes",98&gt;=Projects!$C$44,98&lt;Projects!$C$44+Projects!$D$44),Projects!$B$44*INDEX(Curves!$B$4:$AR$4,1,98-Projects!$C$44+1),0)+IF(AND(Projects!$G$45="Yes",Projects!$M$45="Yes",98&gt;=Projects!$C$45,98&lt;Projects!$C$45+Projects!$D$45),Projects!$B$45*INDEX(Curves!$B$4:$AR$4,1,98-Projects!$C$45+1),0)+IF(AND(Projects!$G$46="Yes",Projects!$M$46="Yes",98&gt;=Projects!$C$46,98&lt;Projects!$C$46+Projects!$D$46),Projects!$B$46*INDEX(Curves!$B$4:$AR$4,1,98-Projects!$C$46+1),0)</f>
        <v>0</v>
      </c>
      <c r="CZ101" s="317" t="n">
        <f aca="false">IF(AND(Projects!$G$17="Yes",Projects!$M$17="Yes",99&gt;=Projects!$C$17,99&lt;Projects!$C$17+Projects!$D$17),Projects!$B$17*INDEX(Curves!$B$4:$AR$4,1,99-Projects!$C$17+1),0)+IF(AND(Projects!$G$18="Yes",Projects!$M$18="Yes",99&gt;=Projects!$C$18,99&lt;Projects!$C$18+Projects!$D$18),Projects!$B$18*INDEX(Curves!$B$4:$AR$4,1,99-Projects!$C$18+1),0)+IF(AND(Projects!$G$19="Yes",Projects!$M$19="Yes",99&gt;=Projects!$C$19,99&lt;Projects!$C$19+Projects!$D$19),Projects!$B$19*INDEX(Curves!$B$4:$AR$4,1,99-Projects!$C$19+1),0)+IF(AND(Projects!$G$20="Yes",Projects!$M$20="Yes",99&gt;=Projects!$C$20,99&lt;Projects!$C$20+Projects!$D$20),Projects!$B$20*INDEX(Curves!$B$4:$AR$4,1,99-Projects!$C$20+1),0)+IF(AND(Projects!$G$21="Yes",Projects!$M$21="Yes",99&gt;=Projects!$C$21,99&lt;Projects!$C$21+Projects!$D$21),Projects!$B$21*INDEX(Curves!$B$4:$AR$4,1,99-Projects!$C$21+1),0)+IF(AND(Projects!$G$22="Yes",Projects!$M$22="Yes",99&gt;=Projects!$C$22,99&lt;Projects!$C$22+Projects!$D$22),Projects!$B$22*INDEX(Curves!$B$4:$AR$4,1,99-Projects!$C$22+1),0)+IF(AND(Projects!$G$23="Yes",Projects!$M$23="Yes",99&gt;=Projects!$C$23,99&lt;Projects!$C$23+Projects!$D$23),Projects!$B$23*INDEX(Curves!$B$4:$AR$4,1,99-Projects!$C$23+1),0)+IF(AND(Projects!$G$24="Yes",Projects!$M$24="Yes",99&gt;=Projects!$C$24,99&lt;Projects!$C$24+Projects!$D$24),Projects!$B$24*INDEX(Curves!$B$4:$AR$4,1,99-Projects!$C$24+1),0)+IF(AND(Projects!$G$25="Yes",Projects!$M$25="Yes",99&gt;=Projects!$C$25,99&lt;Projects!$C$25+Projects!$D$25),Projects!$B$25*INDEX(Curves!$B$4:$AR$4,1,99-Projects!$C$25+1),0)+IF(AND(Projects!$G$26="Yes",Projects!$M$26="Yes",99&gt;=Projects!$C$26,99&lt;Projects!$C$26+Projects!$D$26),Projects!$B$26*INDEX(Curves!$B$4:$AR$4,1,99-Projects!$C$26+1),0)+IF(AND(Projects!$G$27="Yes",Projects!$M$27="Yes",99&gt;=Projects!$C$27,99&lt;Projects!$C$27+Projects!$D$27),Projects!$B$27*INDEX(Curves!$B$4:$AR$4,1,99-Projects!$C$27+1),0)+IF(AND(Projects!$G$28="Yes",Projects!$M$28="Yes",99&gt;=Projects!$C$28,99&lt;Projects!$C$28+Projects!$D$28),Projects!$B$28*INDEX(Curves!$B$4:$AR$4,1,99-Projects!$C$28+1),0)+IF(AND(Projects!$G$29="Yes",Projects!$M$29="Yes",99&gt;=Projects!$C$29,99&lt;Projects!$C$29+Projects!$D$29),Projects!$B$29*INDEX(Curves!$B$4:$AR$4,1,99-Projects!$C$29+1),0)+IF(AND(Projects!$G$30="Yes",Projects!$M$30="Yes",99&gt;=Projects!$C$30,99&lt;Projects!$C$30+Projects!$D$30),Projects!$B$30*INDEX(Curves!$B$4:$AR$4,1,99-Projects!$C$30+1),0)+IF(AND(Projects!$G$31="Yes",Projects!$M$31="Yes",99&gt;=Projects!$C$31,99&lt;Projects!$C$31+Projects!$D$31),Projects!$B$31*INDEX(Curves!$B$4:$AR$4,1,99-Projects!$C$31+1),0)+IF(AND(Projects!$G$32="Yes",Projects!$M$32="Yes",99&gt;=Projects!$C$32,99&lt;Projects!$C$32+Projects!$D$32),Projects!$B$32*INDEX(Curves!$B$4:$AR$4,1,99-Projects!$C$32+1),0)+IF(AND(Projects!$G$33="Yes",Projects!$M$33="Yes",99&gt;=Projects!$C$33,99&lt;Projects!$C$33+Projects!$D$33),Projects!$B$33*INDEX(Curves!$B$4:$AR$4,1,99-Projects!$C$33+1),0)+IF(AND(Projects!$G$34="Yes",Projects!$M$34="Yes",99&gt;=Projects!$C$34,99&lt;Projects!$C$34+Projects!$D$34),Projects!$B$34*INDEX(Curves!$B$4:$AR$4,1,99-Projects!$C$34+1),0)+IF(AND(Projects!$G$35="Yes",Projects!$M$35="Yes",99&gt;=Projects!$C$35,99&lt;Projects!$C$35+Projects!$D$35),Projects!$B$35*INDEX(Curves!$B$4:$AR$4,1,99-Projects!$C$35+1),0)+IF(AND(Projects!$G$36="Yes",Projects!$M$36="Yes",99&gt;=Projects!$C$36,99&lt;Projects!$C$36+Projects!$D$36),Projects!$B$36*INDEX(Curves!$B$4:$AR$4,1,99-Projects!$C$36+1),0)+IF(AND(Projects!$G$37="Yes",Projects!$M$37="Yes",99&gt;=Projects!$C$37,99&lt;Projects!$C$37+Projects!$D$37),Projects!$B$37*INDEX(Curves!$B$4:$AR$4,1,99-Projects!$C$37+1),0)+IF(AND(Projects!$G$38="Yes",Projects!$M$38="Yes",99&gt;=Projects!$C$38,99&lt;Projects!$C$38+Projects!$D$38),Projects!$B$38*INDEX(Curves!$B$4:$AR$4,1,99-Projects!$C$38+1),0)+IF(AND(Projects!$G$39="Yes",Projects!$M$39="Yes",99&gt;=Projects!$C$39,99&lt;Projects!$C$39+Projects!$D$39),Projects!$B$39*INDEX(Curves!$B$4:$AR$4,1,99-Projects!$C$39+1),0)+IF(AND(Projects!$G$40="Yes",Projects!$M$40="Yes",99&gt;=Projects!$C$40,99&lt;Projects!$C$40+Projects!$D$40),Projects!$B$40*INDEX(Curves!$B$4:$AR$4,1,99-Projects!$C$40+1),0)+IF(AND(Projects!$G$41="Yes",Projects!$M$41="Yes",99&gt;=Projects!$C$41,99&lt;Projects!$C$41+Projects!$D$41),Projects!$B$41*INDEX(Curves!$B$4:$AR$4,1,99-Projects!$C$41+1),0)+IF(AND(Projects!$G$42="Yes",Projects!$M$42="Yes",99&gt;=Projects!$C$42,99&lt;Projects!$C$42+Projects!$D$42),Projects!$B$42*INDEX(Curves!$B$4:$AR$4,1,99-Projects!$C$42+1),0)+IF(AND(Projects!$G$43="Yes",Projects!$M$43="Yes",99&gt;=Projects!$C$43,99&lt;Projects!$C$43+Projects!$D$43),Projects!$B$43*INDEX(Curves!$B$4:$AR$4,1,99-Projects!$C$43+1),0)+IF(AND(Projects!$G$44="Yes",Projects!$M$44="Yes",99&gt;=Projects!$C$44,99&lt;Projects!$C$44+Projects!$D$44),Projects!$B$44*INDEX(Curves!$B$4:$AR$4,1,99-Projects!$C$44+1),0)+IF(AND(Projects!$G$45="Yes",Projects!$M$45="Yes",99&gt;=Projects!$C$45,99&lt;Projects!$C$45+Projects!$D$45),Projects!$B$45*INDEX(Curves!$B$4:$AR$4,1,99-Projects!$C$45+1),0)+IF(AND(Projects!$G$46="Yes",Projects!$M$46="Yes",99&gt;=Projects!$C$46,99&lt;Projects!$C$46+Projects!$D$46),Projects!$B$46*INDEX(Curves!$B$4:$AR$4,1,99-Projects!$C$46+1),0)</f>
        <v>0</v>
      </c>
      <c r="DA101" s="317" t="n">
        <f aca="false">IF(AND(Projects!$G$17="Yes",Projects!$M$17="Yes",100&gt;=Projects!$C$17,100&lt;Projects!$C$17+Projects!$D$17),Projects!$B$17*INDEX(Curves!$B$4:$AR$4,1,100-Projects!$C$17+1),0)+IF(AND(Projects!$G$18="Yes",Projects!$M$18="Yes",100&gt;=Projects!$C$18,100&lt;Projects!$C$18+Projects!$D$18),Projects!$B$18*INDEX(Curves!$B$4:$AR$4,1,100-Projects!$C$18+1),0)+IF(AND(Projects!$G$19="Yes",Projects!$M$19="Yes",100&gt;=Projects!$C$19,100&lt;Projects!$C$19+Projects!$D$19),Projects!$B$19*INDEX(Curves!$B$4:$AR$4,1,100-Projects!$C$19+1),0)+IF(AND(Projects!$G$20="Yes",Projects!$M$20="Yes",100&gt;=Projects!$C$20,100&lt;Projects!$C$20+Projects!$D$20),Projects!$B$20*INDEX(Curves!$B$4:$AR$4,1,100-Projects!$C$20+1),0)+IF(AND(Projects!$G$21="Yes",Projects!$M$21="Yes",100&gt;=Projects!$C$21,100&lt;Projects!$C$21+Projects!$D$21),Projects!$B$21*INDEX(Curves!$B$4:$AR$4,1,100-Projects!$C$21+1),0)+IF(AND(Projects!$G$22="Yes",Projects!$M$22="Yes",100&gt;=Projects!$C$22,100&lt;Projects!$C$22+Projects!$D$22),Projects!$B$22*INDEX(Curves!$B$4:$AR$4,1,100-Projects!$C$22+1),0)+IF(AND(Projects!$G$23="Yes",Projects!$M$23="Yes",100&gt;=Projects!$C$23,100&lt;Projects!$C$23+Projects!$D$23),Projects!$B$23*INDEX(Curves!$B$4:$AR$4,1,100-Projects!$C$23+1),0)+IF(AND(Projects!$G$24="Yes",Projects!$M$24="Yes",100&gt;=Projects!$C$24,100&lt;Projects!$C$24+Projects!$D$24),Projects!$B$24*INDEX(Curves!$B$4:$AR$4,1,100-Projects!$C$24+1),0)+IF(AND(Projects!$G$25="Yes",Projects!$M$25="Yes",100&gt;=Projects!$C$25,100&lt;Projects!$C$25+Projects!$D$25),Projects!$B$25*INDEX(Curves!$B$4:$AR$4,1,100-Projects!$C$25+1),0)+IF(AND(Projects!$G$26="Yes",Projects!$M$26="Yes",100&gt;=Projects!$C$26,100&lt;Projects!$C$26+Projects!$D$26),Projects!$B$26*INDEX(Curves!$B$4:$AR$4,1,100-Projects!$C$26+1),0)+IF(AND(Projects!$G$27="Yes",Projects!$M$27="Yes",100&gt;=Projects!$C$27,100&lt;Projects!$C$27+Projects!$D$27),Projects!$B$27*INDEX(Curves!$B$4:$AR$4,1,100-Projects!$C$27+1),0)+IF(AND(Projects!$G$28="Yes",Projects!$M$28="Yes",100&gt;=Projects!$C$28,100&lt;Projects!$C$28+Projects!$D$28),Projects!$B$28*INDEX(Curves!$B$4:$AR$4,1,100-Projects!$C$28+1),0)+IF(AND(Projects!$G$29="Yes",Projects!$M$29="Yes",100&gt;=Projects!$C$29,100&lt;Projects!$C$29+Projects!$D$29),Projects!$B$29*INDEX(Curves!$B$4:$AR$4,1,100-Projects!$C$29+1),0)+IF(AND(Projects!$G$30="Yes",Projects!$M$30="Yes",100&gt;=Projects!$C$30,100&lt;Projects!$C$30+Projects!$D$30),Projects!$B$30*INDEX(Curves!$B$4:$AR$4,1,100-Projects!$C$30+1),0)+IF(AND(Projects!$G$31="Yes",Projects!$M$31="Yes",100&gt;=Projects!$C$31,100&lt;Projects!$C$31+Projects!$D$31),Projects!$B$31*INDEX(Curves!$B$4:$AR$4,1,100-Projects!$C$31+1),0)+IF(AND(Projects!$G$32="Yes",Projects!$M$32="Yes",100&gt;=Projects!$C$32,100&lt;Projects!$C$32+Projects!$D$32),Projects!$B$32*INDEX(Curves!$B$4:$AR$4,1,100-Projects!$C$32+1),0)+IF(AND(Projects!$G$33="Yes",Projects!$M$33="Yes",100&gt;=Projects!$C$33,100&lt;Projects!$C$33+Projects!$D$33),Projects!$B$33*INDEX(Curves!$B$4:$AR$4,1,100-Projects!$C$33+1),0)+IF(AND(Projects!$G$34="Yes",Projects!$M$34="Yes",100&gt;=Projects!$C$34,100&lt;Projects!$C$34+Projects!$D$34),Projects!$B$34*INDEX(Curves!$B$4:$AR$4,1,100-Projects!$C$34+1),0)+IF(AND(Projects!$G$35="Yes",Projects!$M$35="Yes",100&gt;=Projects!$C$35,100&lt;Projects!$C$35+Projects!$D$35),Projects!$B$35*INDEX(Curves!$B$4:$AR$4,1,100-Projects!$C$35+1),0)+IF(AND(Projects!$G$36="Yes",Projects!$M$36="Yes",100&gt;=Projects!$C$36,100&lt;Projects!$C$36+Projects!$D$36),Projects!$B$36*INDEX(Curves!$B$4:$AR$4,1,100-Projects!$C$36+1),0)+IF(AND(Projects!$G$37="Yes",Projects!$M$37="Yes",100&gt;=Projects!$C$37,100&lt;Projects!$C$37+Projects!$D$37),Projects!$B$37*INDEX(Curves!$B$4:$AR$4,1,100-Projects!$C$37+1),0)+IF(AND(Projects!$G$38="Yes",Projects!$M$38="Yes",100&gt;=Projects!$C$38,100&lt;Projects!$C$38+Projects!$D$38),Projects!$B$38*INDEX(Curves!$B$4:$AR$4,1,100-Projects!$C$38+1),0)+IF(AND(Projects!$G$39="Yes",Projects!$M$39="Yes",100&gt;=Projects!$C$39,100&lt;Projects!$C$39+Projects!$D$39),Projects!$B$39*INDEX(Curves!$B$4:$AR$4,1,100-Projects!$C$39+1),0)+IF(AND(Projects!$G$40="Yes",Projects!$M$40="Yes",100&gt;=Projects!$C$40,100&lt;Projects!$C$40+Projects!$D$40),Projects!$B$40*INDEX(Curves!$B$4:$AR$4,1,100-Projects!$C$40+1),0)+IF(AND(Projects!$G$41="Yes",Projects!$M$41="Yes",100&gt;=Projects!$C$41,100&lt;Projects!$C$41+Projects!$D$41),Projects!$B$41*INDEX(Curves!$B$4:$AR$4,1,100-Projects!$C$41+1),0)+IF(AND(Projects!$G$42="Yes",Projects!$M$42="Yes",100&gt;=Projects!$C$42,100&lt;Projects!$C$42+Projects!$D$42),Projects!$B$42*INDEX(Curves!$B$4:$AR$4,1,100-Projects!$C$42+1),0)+IF(AND(Projects!$G$43="Yes",Projects!$M$43="Yes",100&gt;=Projects!$C$43,100&lt;Projects!$C$43+Projects!$D$43),Projects!$B$43*INDEX(Curves!$B$4:$AR$4,1,100-Projects!$C$43+1),0)+IF(AND(Projects!$G$44="Yes",Projects!$M$44="Yes",100&gt;=Projects!$C$44,100&lt;Projects!$C$44+Projects!$D$44),Projects!$B$44*INDEX(Curves!$B$4:$AR$4,1,100-Projects!$C$44+1),0)+IF(AND(Projects!$G$45="Yes",Projects!$M$45="Yes",100&gt;=Projects!$C$45,100&lt;Projects!$C$45+Projects!$D$45),Projects!$B$45*INDEX(Curves!$B$4:$AR$4,1,100-Projects!$C$45+1),0)+IF(AND(Projects!$G$46="Yes",Projects!$M$46="Yes",100&gt;=Projects!$C$46,100&lt;Projects!$C$46+Projects!$D$46),Projects!$B$46*INDEX(Curves!$B$4:$AR$4,1,100-Projects!$C$46+1),0)</f>
        <v>0</v>
      </c>
      <c r="DB101" s="317" t="n">
        <f aca="false">IF(AND(Projects!$G$17="Yes",Projects!$M$17="Yes",101&gt;=Projects!$C$17,101&lt;Projects!$C$17+Projects!$D$17),Projects!$B$17*INDEX(Curves!$B$4:$AR$4,1,101-Projects!$C$17+1),0)+IF(AND(Projects!$G$18="Yes",Projects!$M$18="Yes",101&gt;=Projects!$C$18,101&lt;Projects!$C$18+Projects!$D$18),Projects!$B$18*INDEX(Curves!$B$4:$AR$4,1,101-Projects!$C$18+1),0)+IF(AND(Projects!$G$19="Yes",Projects!$M$19="Yes",101&gt;=Projects!$C$19,101&lt;Projects!$C$19+Projects!$D$19),Projects!$B$19*INDEX(Curves!$B$4:$AR$4,1,101-Projects!$C$19+1),0)+IF(AND(Projects!$G$20="Yes",Projects!$M$20="Yes",101&gt;=Projects!$C$20,101&lt;Projects!$C$20+Projects!$D$20),Projects!$B$20*INDEX(Curves!$B$4:$AR$4,1,101-Projects!$C$20+1),0)+IF(AND(Projects!$G$21="Yes",Projects!$M$21="Yes",101&gt;=Projects!$C$21,101&lt;Projects!$C$21+Projects!$D$21),Projects!$B$21*INDEX(Curves!$B$4:$AR$4,1,101-Projects!$C$21+1),0)+IF(AND(Projects!$G$22="Yes",Projects!$M$22="Yes",101&gt;=Projects!$C$22,101&lt;Projects!$C$22+Projects!$D$22),Projects!$B$22*INDEX(Curves!$B$4:$AR$4,1,101-Projects!$C$22+1),0)+IF(AND(Projects!$G$23="Yes",Projects!$M$23="Yes",101&gt;=Projects!$C$23,101&lt;Projects!$C$23+Projects!$D$23),Projects!$B$23*INDEX(Curves!$B$4:$AR$4,1,101-Projects!$C$23+1),0)+IF(AND(Projects!$G$24="Yes",Projects!$M$24="Yes",101&gt;=Projects!$C$24,101&lt;Projects!$C$24+Projects!$D$24),Projects!$B$24*INDEX(Curves!$B$4:$AR$4,1,101-Projects!$C$24+1),0)+IF(AND(Projects!$G$25="Yes",Projects!$M$25="Yes",101&gt;=Projects!$C$25,101&lt;Projects!$C$25+Projects!$D$25),Projects!$B$25*INDEX(Curves!$B$4:$AR$4,1,101-Projects!$C$25+1),0)+IF(AND(Projects!$G$26="Yes",Projects!$M$26="Yes",101&gt;=Projects!$C$26,101&lt;Projects!$C$26+Projects!$D$26),Projects!$B$26*INDEX(Curves!$B$4:$AR$4,1,101-Projects!$C$26+1),0)+IF(AND(Projects!$G$27="Yes",Projects!$M$27="Yes",101&gt;=Projects!$C$27,101&lt;Projects!$C$27+Projects!$D$27),Projects!$B$27*INDEX(Curves!$B$4:$AR$4,1,101-Projects!$C$27+1),0)+IF(AND(Projects!$G$28="Yes",Projects!$M$28="Yes",101&gt;=Projects!$C$28,101&lt;Projects!$C$28+Projects!$D$28),Projects!$B$28*INDEX(Curves!$B$4:$AR$4,1,101-Projects!$C$28+1),0)+IF(AND(Projects!$G$29="Yes",Projects!$M$29="Yes",101&gt;=Projects!$C$29,101&lt;Projects!$C$29+Projects!$D$29),Projects!$B$29*INDEX(Curves!$B$4:$AR$4,1,101-Projects!$C$29+1),0)+IF(AND(Projects!$G$30="Yes",Projects!$M$30="Yes",101&gt;=Projects!$C$30,101&lt;Projects!$C$30+Projects!$D$30),Projects!$B$30*INDEX(Curves!$B$4:$AR$4,1,101-Projects!$C$30+1),0)+IF(AND(Projects!$G$31="Yes",Projects!$M$31="Yes",101&gt;=Projects!$C$31,101&lt;Projects!$C$31+Projects!$D$31),Projects!$B$31*INDEX(Curves!$B$4:$AR$4,1,101-Projects!$C$31+1),0)+IF(AND(Projects!$G$32="Yes",Projects!$M$32="Yes",101&gt;=Projects!$C$32,101&lt;Projects!$C$32+Projects!$D$32),Projects!$B$32*INDEX(Curves!$B$4:$AR$4,1,101-Projects!$C$32+1),0)+IF(AND(Projects!$G$33="Yes",Projects!$M$33="Yes",101&gt;=Projects!$C$33,101&lt;Projects!$C$33+Projects!$D$33),Projects!$B$33*INDEX(Curves!$B$4:$AR$4,1,101-Projects!$C$33+1),0)+IF(AND(Projects!$G$34="Yes",Projects!$M$34="Yes",101&gt;=Projects!$C$34,101&lt;Projects!$C$34+Projects!$D$34),Projects!$B$34*INDEX(Curves!$B$4:$AR$4,1,101-Projects!$C$34+1),0)+IF(AND(Projects!$G$35="Yes",Projects!$M$35="Yes",101&gt;=Projects!$C$35,101&lt;Projects!$C$35+Projects!$D$35),Projects!$B$35*INDEX(Curves!$B$4:$AR$4,1,101-Projects!$C$35+1),0)+IF(AND(Projects!$G$36="Yes",Projects!$M$36="Yes",101&gt;=Projects!$C$36,101&lt;Projects!$C$36+Projects!$D$36),Projects!$B$36*INDEX(Curves!$B$4:$AR$4,1,101-Projects!$C$36+1),0)+IF(AND(Projects!$G$37="Yes",Projects!$M$37="Yes",101&gt;=Projects!$C$37,101&lt;Projects!$C$37+Projects!$D$37),Projects!$B$37*INDEX(Curves!$B$4:$AR$4,1,101-Projects!$C$37+1),0)+IF(AND(Projects!$G$38="Yes",Projects!$M$38="Yes",101&gt;=Projects!$C$38,101&lt;Projects!$C$38+Projects!$D$38),Projects!$B$38*INDEX(Curves!$B$4:$AR$4,1,101-Projects!$C$38+1),0)+IF(AND(Projects!$G$39="Yes",Projects!$M$39="Yes",101&gt;=Projects!$C$39,101&lt;Projects!$C$39+Projects!$D$39),Projects!$B$39*INDEX(Curves!$B$4:$AR$4,1,101-Projects!$C$39+1),0)+IF(AND(Projects!$G$40="Yes",Projects!$M$40="Yes",101&gt;=Projects!$C$40,101&lt;Projects!$C$40+Projects!$D$40),Projects!$B$40*INDEX(Curves!$B$4:$AR$4,1,101-Projects!$C$40+1),0)+IF(AND(Projects!$G$41="Yes",Projects!$M$41="Yes",101&gt;=Projects!$C$41,101&lt;Projects!$C$41+Projects!$D$41),Projects!$B$41*INDEX(Curves!$B$4:$AR$4,1,101-Projects!$C$41+1),0)+IF(AND(Projects!$G$42="Yes",Projects!$M$42="Yes",101&gt;=Projects!$C$42,101&lt;Projects!$C$42+Projects!$D$42),Projects!$B$42*INDEX(Curves!$B$4:$AR$4,1,101-Projects!$C$42+1),0)+IF(AND(Projects!$G$43="Yes",Projects!$M$43="Yes",101&gt;=Projects!$C$43,101&lt;Projects!$C$43+Projects!$D$43),Projects!$B$43*INDEX(Curves!$B$4:$AR$4,1,101-Projects!$C$43+1),0)+IF(AND(Projects!$G$44="Yes",Projects!$M$44="Yes",101&gt;=Projects!$C$44,101&lt;Projects!$C$44+Projects!$D$44),Projects!$B$44*INDEX(Curves!$B$4:$AR$4,1,101-Projects!$C$44+1),0)+IF(AND(Projects!$G$45="Yes",Projects!$M$45="Yes",101&gt;=Projects!$C$45,101&lt;Projects!$C$45+Projects!$D$45),Projects!$B$45*INDEX(Curves!$B$4:$AR$4,1,101-Projects!$C$45+1),0)+IF(AND(Projects!$G$46="Yes",Projects!$M$46="Yes",101&gt;=Projects!$C$46,101&lt;Projects!$C$46+Projects!$D$46),Projects!$B$46*INDEX(Curves!$B$4:$AR$4,1,101-Projects!$C$46+1),0)</f>
        <v>0</v>
      </c>
      <c r="DC101" s="317" t="n">
        <f aca="false">IF(AND(Projects!$G$17="Yes",Projects!$M$17="Yes",102&gt;=Projects!$C$17,102&lt;Projects!$C$17+Projects!$D$17),Projects!$B$17*INDEX(Curves!$B$4:$AR$4,1,102-Projects!$C$17+1),0)+IF(AND(Projects!$G$18="Yes",Projects!$M$18="Yes",102&gt;=Projects!$C$18,102&lt;Projects!$C$18+Projects!$D$18),Projects!$B$18*INDEX(Curves!$B$4:$AR$4,1,102-Projects!$C$18+1),0)+IF(AND(Projects!$G$19="Yes",Projects!$M$19="Yes",102&gt;=Projects!$C$19,102&lt;Projects!$C$19+Projects!$D$19),Projects!$B$19*INDEX(Curves!$B$4:$AR$4,1,102-Projects!$C$19+1),0)+IF(AND(Projects!$G$20="Yes",Projects!$M$20="Yes",102&gt;=Projects!$C$20,102&lt;Projects!$C$20+Projects!$D$20),Projects!$B$20*INDEX(Curves!$B$4:$AR$4,1,102-Projects!$C$20+1),0)+IF(AND(Projects!$G$21="Yes",Projects!$M$21="Yes",102&gt;=Projects!$C$21,102&lt;Projects!$C$21+Projects!$D$21),Projects!$B$21*INDEX(Curves!$B$4:$AR$4,1,102-Projects!$C$21+1),0)+IF(AND(Projects!$G$22="Yes",Projects!$M$22="Yes",102&gt;=Projects!$C$22,102&lt;Projects!$C$22+Projects!$D$22),Projects!$B$22*INDEX(Curves!$B$4:$AR$4,1,102-Projects!$C$22+1),0)+IF(AND(Projects!$G$23="Yes",Projects!$M$23="Yes",102&gt;=Projects!$C$23,102&lt;Projects!$C$23+Projects!$D$23),Projects!$B$23*INDEX(Curves!$B$4:$AR$4,1,102-Projects!$C$23+1),0)+IF(AND(Projects!$G$24="Yes",Projects!$M$24="Yes",102&gt;=Projects!$C$24,102&lt;Projects!$C$24+Projects!$D$24),Projects!$B$24*INDEX(Curves!$B$4:$AR$4,1,102-Projects!$C$24+1),0)+IF(AND(Projects!$G$25="Yes",Projects!$M$25="Yes",102&gt;=Projects!$C$25,102&lt;Projects!$C$25+Projects!$D$25),Projects!$B$25*INDEX(Curves!$B$4:$AR$4,1,102-Projects!$C$25+1),0)+IF(AND(Projects!$G$26="Yes",Projects!$M$26="Yes",102&gt;=Projects!$C$26,102&lt;Projects!$C$26+Projects!$D$26),Projects!$B$26*INDEX(Curves!$B$4:$AR$4,1,102-Projects!$C$26+1),0)+IF(AND(Projects!$G$27="Yes",Projects!$M$27="Yes",102&gt;=Projects!$C$27,102&lt;Projects!$C$27+Projects!$D$27),Projects!$B$27*INDEX(Curves!$B$4:$AR$4,1,102-Projects!$C$27+1),0)+IF(AND(Projects!$G$28="Yes",Projects!$M$28="Yes",102&gt;=Projects!$C$28,102&lt;Projects!$C$28+Projects!$D$28),Projects!$B$28*INDEX(Curves!$B$4:$AR$4,1,102-Projects!$C$28+1),0)+IF(AND(Projects!$G$29="Yes",Projects!$M$29="Yes",102&gt;=Projects!$C$29,102&lt;Projects!$C$29+Projects!$D$29),Projects!$B$29*INDEX(Curves!$B$4:$AR$4,1,102-Projects!$C$29+1),0)+IF(AND(Projects!$G$30="Yes",Projects!$M$30="Yes",102&gt;=Projects!$C$30,102&lt;Projects!$C$30+Projects!$D$30),Projects!$B$30*INDEX(Curves!$B$4:$AR$4,1,102-Projects!$C$30+1),0)+IF(AND(Projects!$G$31="Yes",Projects!$M$31="Yes",102&gt;=Projects!$C$31,102&lt;Projects!$C$31+Projects!$D$31),Projects!$B$31*INDEX(Curves!$B$4:$AR$4,1,102-Projects!$C$31+1),0)+IF(AND(Projects!$G$32="Yes",Projects!$M$32="Yes",102&gt;=Projects!$C$32,102&lt;Projects!$C$32+Projects!$D$32),Projects!$B$32*INDEX(Curves!$B$4:$AR$4,1,102-Projects!$C$32+1),0)+IF(AND(Projects!$G$33="Yes",Projects!$M$33="Yes",102&gt;=Projects!$C$33,102&lt;Projects!$C$33+Projects!$D$33),Projects!$B$33*INDEX(Curves!$B$4:$AR$4,1,102-Projects!$C$33+1),0)+IF(AND(Projects!$G$34="Yes",Projects!$M$34="Yes",102&gt;=Projects!$C$34,102&lt;Projects!$C$34+Projects!$D$34),Projects!$B$34*INDEX(Curves!$B$4:$AR$4,1,102-Projects!$C$34+1),0)+IF(AND(Projects!$G$35="Yes",Projects!$M$35="Yes",102&gt;=Projects!$C$35,102&lt;Projects!$C$35+Projects!$D$35),Projects!$B$35*INDEX(Curves!$B$4:$AR$4,1,102-Projects!$C$35+1),0)+IF(AND(Projects!$G$36="Yes",Projects!$M$36="Yes",102&gt;=Projects!$C$36,102&lt;Projects!$C$36+Projects!$D$36),Projects!$B$36*INDEX(Curves!$B$4:$AR$4,1,102-Projects!$C$36+1),0)+IF(AND(Projects!$G$37="Yes",Projects!$M$37="Yes",102&gt;=Projects!$C$37,102&lt;Projects!$C$37+Projects!$D$37),Projects!$B$37*INDEX(Curves!$B$4:$AR$4,1,102-Projects!$C$37+1),0)+IF(AND(Projects!$G$38="Yes",Projects!$M$38="Yes",102&gt;=Projects!$C$38,102&lt;Projects!$C$38+Projects!$D$38),Projects!$B$38*INDEX(Curves!$B$4:$AR$4,1,102-Projects!$C$38+1),0)+IF(AND(Projects!$G$39="Yes",Projects!$M$39="Yes",102&gt;=Projects!$C$39,102&lt;Projects!$C$39+Projects!$D$39),Projects!$B$39*INDEX(Curves!$B$4:$AR$4,1,102-Projects!$C$39+1),0)+IF(AND(Projects!$G$40="Yes",Projects!$M$40="Yes",102&gt;=Projects!$C$40,102&lt;Projects!$C$40+Projects!$D$40),Projects!$B$40*INDEX(Curves!$B$4:$AR$4,1,102-Projects!$C$40+1),0)+IF(AND(Projects!$G$41="Yes",Projects!$M$41="Yes",102&gt;=Projects!$C$41,102&lt;Projects!$C$41+Projects!$D$41),Projects!$B$41*INDEX(Curves!$B$4:$AR$4,1,102-Projects!$C$41+1),0)+IF(AND(Projects!$G$42="Yes",Projects!$M$42="Yes",102&gt;=Projects!$C$42,102&lt;Projects!$C$42+Projects!$D$42),Projects!$B$42*INDEX(Curves!$B$4:$AR$4,1,102-Projects!$C$42+1),0)+IF(AND(Projects!$G$43="Yes",Projects!$M$43="Yes",102&gt;=Projects!$C$43,102&lt;Projects!$C$43+Projects!$D$43),Projects!$B$43*INDEX(Curves!$B$4:$AR$4,1,102-Projects!$C$43+1),0)+IF(AND(Projects!$G$44="Yes",Projects!$M$44="Yes",102&gt;=Projects!$C$44,102&lt;Projects!$C$44+Projects!$D$44),Projects!$B$44*INDEX(Curves!$B$4:$AR$4,1,102-Projects!$C$44+1),0)+IF(AND(Projects!$G$45="Yes",Projects!$M$45="Yes",102&gt;=Projects!$C$45,102&lt;Projects!$C$45+Projects!$D$45),Projects!$B$45*INDEX(Curves!$B$4:$AR$4,1,102-Projects!$C$45+1),0)+IF(AND(Projects!$G$46="Yes",Projects!$M$46="Yes",102&gt;=Projects!$C$46,102&lt;Projects!$C$46+Projects!$D$46),Projects!$B$46*INDEX(Curves!$B$4:$AR$4,1,102-Projects!$C$46+1),0)</f>
        <v>0</v>
      </c>
      <c r="DD101" s="317" t="n">
        <f aca="false">IF(AND(Projects!$G$17="Yes",Projects!$M$17="Yes",103&gt;=Projects!$C$17,103&lt;Projects!$C$17+Projects!$D$17),Projects!$B$17*INDEX(Curves!$B$4:$AR$4,1,103-Projects!$C$17+1),0)+IF(AND(Projects!$G$18="Yes",Projects!$M$18="Yes",103&gt;=Projects!$C$18,103&lt;Projects!$C$18+Projects!$D$18),Projects!$B$18*INDEX(Curves!$B$4:$AR$4,1,103-Projects!$C$18+1),0)+IF(AND(Projects!$G$19="Yes",Projects!$M$19="Yes",103&gt;=Projects!$C$19,103&lt;Projects!$C$19+Projects!$D$19),Projects!$B$19*INDEX(Curves!$B$4:$AR$4,1,103-Projects!$C$19+1),0)+IF(AND(Projects!$G$20="Yes",Projects!$M$20="Yes",103&gt;=Projects!$C$20,103&lt;Projects!$C$20+Projects!$D$20),Projects!$B$20*INDEX(Curves!$B$4:$AR$4,1,103-Projects!$C$20+1),0)+IF(AND(Projects!$G$21="Yes",Projects!$M$21="Yes",103&gt;=Projects!$C$21,103&lt;Projects!$C$21+Projects!$D$21),Projects!$B$21*INDEX(Curves!$B$4:$AR$4,1,103-Projects!$C$21+1),0)+IF(AND(Projects!$G$22="Yes",Projects!$M$22="Yes",103&gt;=Projects!$C$22,103&lt;Projects!$C$22+Projects!$D$22),Projects!$B$22*INDEX(Curves!$B$4:$AR$4,1,103-Projects!$C$22+1),0)+IF(AND(Projects!$G$23="Yes",Projects!$M$23="Yes",103&gt;=Projects!$C$23,103&lt;Projects!$C$23+Projects!$D$23),Projects!$B$23*INDEX(Curves!$B$4:$AR$4,1,103-Projects!$C$23+1),0)+IF(AND(Projects!$G$24="Yes",Projects!$M$24="Yes",103&gt;=Projects!$C$24,103&lt;Projects!$C$24+Projects!$D$24),Projects!$B$24*INDEX(Curves!$B$4:$AR$4,1,103-Projects!$C$24+1),0)+IF(AND(Projects!$G$25="Yes",Projects!$M$25="Yes",103&gt;=Projects!$C$25,103&lt;Projects!$C$25+Projects!$D$25),Projects!$B$25*INDEX(Curves!$B$4:$AR$4,1,103-Projects!$C$25+1),0)+IF(AND(Projects!$G$26="Yes",Projects!$M$26="Yes",103&gt;=Projects!$C$26,103&lt;Projects!$C$26+Projects!$D$26),Projects!$B$26*INDEX(Curves!$B$4:$AR$4,1,103-Projects!$C$26+1),0)+IF(AND(Projects!$G$27="Yes",Projects!$M$27="Yes",103&gt;=Projects!$C$27,103&lt;Projects!$C$27+Projects!$D$27),Projects!$B$27*INDEX(Curves!$B$4:$AR$4,1,103-Projects!$C$27+1),0)+IF(AND(Projects!$G$28="Yes",Projects!$M$28="Yes",103&gt;=Projects!$C$28,103&lt;Projects!$C$28+Projects!$D$28),Projects!$B$28*INDEX(Curves!$B$4:$AR$4,1,103-Projects!$C$28+1),0)+IF(AND(Projects!$G$29="Yes",Projects!$M$29="Yes",103&gt;=Projects!$C$29,103&lt;Projects!$C$29+Projects!$D$29),Projects!$B$29*INDEX(Curves!$B$4:$AR$4,1,103-Projects!$C$29+1),0)+IF(AND(Projects!$G$30="Yes",Projects!$M$30="Yes",103&gt;=Projects!$C$30,103&lt;Projects!$C$30+Projects!$D$30),Projects!$B$30*INDEX(Curves!$B$4:$AR$4,1,103-Projects!$C$30+1),0)+IF(AND(Projects!$G$31="Yes",Projects!$M$31="Yes",103&gt;=Projects!$C$31,103&lt;Projects!$C$31+Projects!$D$31),Projects!$B$31*INDEX(Curves!$B$4:$AR$4,1,103-Projects!$C$31+1),0)+IF(AND(Projects!$G$32="Yes",Projects!$M$32="Yes",103&gt;=Projects!$C$32,103&lt;Projects!$C$32+Projects!$D$32),Projects!$B$32*INDEX(Curves!$B$4:$AR$4,1,103-Projects!$C$32+1),0)+IF(AND(Projects!$G$33="Yes",Projects!$M$33="Yes",103&gt;=Projects!$C$33,103&lt;Projects!$C$33+Projects!$D$33),Projects!$B$33*INDEX(Curves!$B$4:$AR$4,1,103-Projects!$C$33+1),0)+IF(AND(Projects!$G$34="Yes",Projects!$M$34="Yes",103&gt;=Projects!$C$34,103&lt;Projects!$C$34+Projects!$D$34),Projects!$B$34*INDEX(Curves!$B$4:$AR$4,1,103-Projects!$C$34+1),0)+IF(AND(Projects!$G$35="Yes",Projects!$M$35="Yes",103&gt;=Projects!$C$35,103&lt;Projects!$C$35+Projects!$D$35),Projects!$B$35*INDEX(Curves!$B$4:$AR$4,1,103-Projects!$C$35+1),0)+IF(AND(Projects!$G$36="Yes",Projects!$M$36="Yes",103&gt;=Projects!$C$36,103&lt;Projects!$C$36+Projects!$D$36),Projects!$B$36*INDEX(Curves!$B$4:$AR$4,1,103-Projects!$C$36+1),0)+IF(AND(Projects!$G$37="Yes",Projects!$M$37="Yes",103&gt;=Projects!$C$37,103&lt;Projects!$C$37+Projects!$D$37),Projects!$B$37*INDEX(Curves!$B$4:$AR$4,1,103-Projects!$C$37+1),0)+IF(AND(Projects!$G$38="Yes",Projects!$M$38="Yes",103&gt;=Projects!$C$38,103&lt;Projects!$C$38+Projects!$D$38),Projects!$B$38*INDEX(Curves!$B$4:$AR$4,1,103-Projects!$C$38+1),0)+IF(AND(Projects!$G$39="Yes",Projects!$M$39="Yes",103&gt;=Projects!$C$39,103&lt;Projects!$C$39+Projects!$D$39),Projects!$B$39*INDEX(Curves!$B$4:$AR$4,1,103-Projects!$C$39+1),0)+IF(AND(Projects!$G$40="Yes",Projects!$M$40="Yes",103&gt;=Projects!$C$40,103&lt;Projects!$C$40+Projects!$D$40),Projects!$B$40*INDEX(Curves!$B$4:$AR$4,1,103-Projects!$C$40+1),0)+IF(AND(Projects!$G$41="Yes",Projects!$M$41="Yes",103&gt;=Projects!$C$41,103&lt;Projects!$C$41+Projects!$D$41),Projects!$B$41*INDEX(Curves!$B$4:$AR$4,1,103-Projects!$C$41+1),0)+IF(AND(Projects!$G$42="Yes",Projects!$M$42="Yes",103&gt;=Projects!$C$42,103&lt;Projects!$C$42+Projects!$D$42),Projects!$B$42*INDEX(Curves!$B$4:$AR$4,1,103-Projects!$C$42+1),0)+IF(AND(Projects!$G$43="Yes",Projects!$M$43="Yes",103&gt;=Projects!$C$43,103&lt;Projects!$C$43+Projects!$D$43),Projects!$B$43*INDEX(Curves!$B$4:$AR$4,1,103-Projects!$C$43+1),0)+IF(AND(Projects!$G$44="Yes",Projects!$M$44="Yes",103&gt;=Projects!$C$44,103&lt;Projects!$C$44+Projects!$D$44),Projects!$B$44*INDEX(Curves!$B$4:$AR$4,1,103-Projects!$C$44+1),0)+IF(AND(Projects!$G$45="Yes",Projects!$M$45="Yes",103&gt;=Projects!$C$45,103&lt;Projects!$C$45+Projects!$D$45),Projects!$B$45*INDEX(Curves!$B$4:$AR$4,1,103-Projects!$C$45+1),0)+IF(AND(Projects!$G$46="Yes",Projects!$M$46="Yes",103&gt;=Projects!$C$46,103&lt;Projects!$C$46+Projects!$D$46),Projects!$B$46*INDEX(Curves!$B$4:$AR$4,1,103-Projects!$C$46+1),0)</f>
        <v>0</v>
      </c>
      <c r="DE101" s="317" t="n">
        <f aca="false">IF(AND(Projects!$G$17="Yes",Projects!$M$17="Yes",104&gt;=Projects!$C$17,104&lt;Projects!$C$17+Projects!$D$17),Projects!$B$17*INDEX(Curves!$B$4:$AR$4,1,104-Projects!$C$17+1),0)+IF(AND(Projects!$G$18="Yes",Projects!$M$18="Yes",104&gt;=Projects!$C$18,104&lt;Projects!$C$18+Projects!$D$18),Projects!$B$18*INDEX(Curves!$B$4:$AR$4,1,104-Projects!$C$18+1),0)+IF(AND(Projects!$G$19="Yes",Projects!$M$19="Yes",104&gt;=Projects!$C$19,104&lt;Projects!$C$19+Projects!$D$19),Projects!$B$19*INDEX(Curves!$B$4:$AR$4,1,104-Projects!$C$19+1),0)+IF(AND(Projects!$G$20="Yes",Projects!$M$20="Yes",104&gt;=Projects!$C$20,104&lt;Projects!$C$20+Projects!$D$20),Projects!$B$20*INDEX(Curves!$B$4:$AR$4,1,104-Projects!$C$20+1),0)+IF(AND(Projects!$G$21="Yes",Projects!$M$21="Yes",104&gt;=Projects!$C$21,104&lt;Projects!$C$21+Projects!$D$21),Projects!$B$21*INDEX(Curves!$B$4:$AR$4,1,104-Projects!$C$21+1),0)+IF(AND(Projects!$G$22="Yes",Projects!$M$22="Yes",104&gt;=Projects!$C$22,104&lt;Projects!$C$22+Projects!$D$22),Projects!$B$22*INDEX(Curves!$B$4:$AR$4,1,104-Projects!$C$22+1),0)+IF(AND(Projects!$G$23="Yes",Projects!$M$23="Yes",104&gt;=Projects!$C$23,104&lt;Projects!$C$23+Projects!$D$23),Projects!$B$23*INDEX(Curves!$B$4:$AR$4,1,104-Projects!$C$23+1),0)+IF(AND(Projects!$G$24="Yes",Projects!$M$24="Yes",104&gt;=Projects!$C$24,104&lt;Projects!$C$24+Projects!$D$24),Projects!$B$24*INDEX(Curves!$B$4:$AR$4,1,104-Projects!$C$24+1),0)+IF(AND(Projects!$G$25="Yes",Projects!$M$25="Yes",104&gt;=Projects!$C$25,104&lt;Projects!$C$25+Projects!$D$25),Projects!$B$25*INDEX(Curves!$B$4:$AR$4,1,104-Projects!$C$25+1),0)+IF(AND(Projects!$G$26="Yes",Projects!$M$26="Yes",104&gt;=Projects!$C$26,104&lt;Projects!$C$26+Projects!$D$26),Projects!$B$26*INDEX(Curves!$B$4:$AR$4,1,104-Projects!$C$26+1),0)+IF(AND(Projects!$G$27="Yes",Projects!$M$27="Yes",104&gt;=Projects!$C$27,104&lt;Projects!$C$27+Projects!$D$27),Projects!$B$27*INDEX(Curves!$B$4:$AR$4,1,104-Projects!$C$27+1),0)+IF(AND(Projects!$G$28="Yes",Projects!$M$28="Yes",104&gt;=Projects!$C$28,104&lt;Projects!$C$28+Projects!$D$28),Projects!$B$28*INDEX(Curves!$B$4:$AR$4,1,104-Projects!$C$28+1),0)+IF(AND(Projects!$G$29="Yes",Projects!$M$29="Yes",104&gt;=Projects!$C$29,104&lt;Projects!$C$29+Projects!$D$29),Projects!$B$29*INDEX(Curves!$B$4:$AR$4,1,104-Projects!$C$29+1),0)+IF(AND(Projects!$G$30="Yes",Projects!$M$30="Yes",104&gt;=Projects!$C$30,104&lt;Projects!$C$30+Projects!$D$30),Projects!$B$30*INDEX(Curves!$B$4:$AR$4,1,104-Projects!$C$30+1),0)+IF(AND(Projects!$G$31="Yes",Projects!$M$31="Yes",104&gt;=Projects!$C$31,104&lt;Projects!$C$31+Projects!$D$31),Projects!$B$31*INDEX(Curves!$B$4:$AR$4,1,104-Projects!$C$31+1),0)+IF(AND(Projects!$G$32="Yes",Projects!$M$32="Yes",104&gt;=Projects!$C$32,104&lt;Projects!$C$32+Projects!$D$32),Projects!$B$32*INDEX(Curves!$B$4:$AR$4,1,104-Projects!$C$32+1),0)+IF(AND(Projects!$G$33="Yes",Projects!$M$33="Yes",104&gt;=Projects!$C$33,104&lt;Projects!$C$33+Projects!$D$33),Projects!$B$33*INDEX(Curves!$B$4:$AR$4,1,104-Projects!$C$33+1),0)+IF(AND(Projects!$G$34="Yes",Projects!$M$34="Yes",104&gt;=Projects!$C$34,104&lt;Projects!$C$34+Projects!$D$34),Projects!$B$34*INDEX(Curves!$B$4:$AR$4,1,104-Projects!$C$34+1),0)+IF(AND(Projects!$G$35="Yes",Projects!$M$35="Yes",104&gt;=Projects!$C$35,104&lt;Projects!$C$35+Projects!$D$35),Projects!$B$35*INDEX(Curves!$B$4:$AR$4,1,104-Projects!$C$35+1),0)+IF(AND(Projects!$G$36="Yes",Projects!$M$36="Yes",104&gt;=Projects!$C$36,104&lt;Projects!$C$36+Projects!$D$36),Projects!$B$36*INDEX(Curves!$B$4:$AR$4,1,104-Projects!$C$36+1),0)+IF(AND(Projects!$G$37="Yes",Projects!$M$37="Yes",104&gt;=Projects!$C$37,104&lt;Projects!$C$37+Projects!$D$37),Projects!$B$37*INDEX(Curves!$B$4:$AR$4,1,104-Projects!$C$37+1),0)+IF(AND(Projects!$G$38="Yes",Projects!$M$38="Yes",104&gt;=Projects!$C$38,104&lt;Projects!$C$38+Projects!$D$38),Projects!$B$38*INDEX(Curves!$B$4:$AR$4,1,104-Projects!$C$38+1),0)+IF(AND(Projects!$G$39="Yes",Projects!$M$39="Yes",104&gt;=Projects!$C$39,104&lt;Projects!$C$39+Projects!$D$39),Projects!$B$39*INDEX(Curves!$B$4:$AR$4,1,104-Projects!$C$39+1),0)+IF(AND(Projects!$G$40="Yes",Projects!$M$40="Yes",104&gt;=Projects!$C$40,104&lt;Projects!$C$40+Projects!$D$40),Projects!$B$40*INDEX(Curves!$B$4:$AR$4,1,104-Projects!$C$40+1),0)+IF(AND(Projects!$G$41="Yes",Projects!$M$41="Yes",104&gt;=Projects!$C$41,104&lt;Projects!$C$41+Projects!$D$41),Projects!$B$41*INDEX(Curves!$B$4:$AR$4,1,104-Projects!$C$41+1),0)+IF(AND(Projects!$G$42="Yes",Projects!$M$42="Yes",104&gt;=Projects!$C$42,104&lt;Projects!$C$42+Projects!$D$42),Projects!$B$42*INDEX(Curves!$B$4:$AR$4,1,104-Projects!$C$42+1),0)+IF(AND(Projects!$G$43="Yes",Projects!$M$43="Yes",104&gt;=Projects!$C$43,104&lt;Projects!$C$43+Projects!$D$43),Projects!$B$43*INDEX(Curves!$B$4:$AR$4,1,104-Projects!$C$43+1),0)+IF(AND(Projects!$G$44="Yes",Projects!$M$44="Yes",104&gt;=Projects!$C$44,104&lt;Projects!$C$44+Projects!$D$44),Projects!$B$44*INDEX(Curves!$B$4:$AR$4,1,104-Projects!$C$44+1),0)+IF(AND(Projects!$G$45="Yes",Projects!$M$45="Yes",104&gt;=Projects!$C$45,104&lt;Projects!$C$45+Projects!$D$45),Projects!$B$45*INDEX(Curves!$B$4:$AR$4,1,104-Projects!$C$45+1),0)+IF(AND(Projects!$G$46="Yes",Projects!$M$46="Yes",104&gt;=Projects!$C$46,104&lt;Projects!$C$46+Projects!$D$46),Projects!$B$46*INDEX(Curves!$B$4:$AR$4,1,104-Projects!$C$46+1),0)</f>
        <v>0</v>
      </c>
      <c r="DF101" s="317" t="n">
        <f aca="false">IF(AND(Projects!$G$17="Yes",Projects!$M$17="Yes",105&gt;=Projects!$C$17,105&lt;Projects!$C$17+Projects!$D$17),Projects!$B$17*INDEX(Curves!$B$4:$AR$4,1,105-Projects!$C$17+1),0)+IF(AND(Projects!$G$18="Yes",Projects!$M$18="Yes",105&gt;=Projects!$C$18,105&lt;Projects!$C$18+Projects!$D$18),Projects!$B$18*INDEX(Curves!$B$4:$AR$4,1,105-Projects!$C$18+1),0)+IF(AND(Projects!$G$19="Yes",Projects!$M$19="Yes",105&gt;=Projects!$C$19,105&lt;Projects!$C$19+Projects!$D$19),Projects!$B$19*INDEX(Curves!$B$4:$AR$4,1,105-Projects!$C$19+1),0)+IF(AND(Projects!$G$20="Yes",Projects!$M$20="Yes",105&gt;=Projects!$C$20,105&lt;Projects!$C$20+Projects!$D$20),Projects!$B$20*INDEX(Curves!$B$4:$AR$4,1,105-Projects!$C$20+1),0)+IF(AND(Projects!$G$21="Yes",Projects!$M$21="Yes",105&gt;=Projects!$C$21,105&lt;Projects!$C$21+Projects!$D$21),Projects!$B$21*INDEX(Curves!$B$4:$AR$4,1,105-Projects!$C$21+1),0)+IF(AND(Projects!$G$22="Yes",Projects!$M$22="Yes",105&gt;=Projects!$C$22,105&lt;Projects!$C$22+Projects!$D$22),Projects!$B$22*INDEX(Curves!$B$4:$AR$4,1,105-Projects!$C$22+1),0)+IF(AND(Projects!$G$23="Yes",Projects!$M$23="Yes",105&gt;=Projects!$C$23,105&lt;Projects!$C$23+Projects!$D$23),Projects!$B$23*INDEX(Curves!$B$4:$AR$4,1,105-Projects!$C$23+1),0)+IF(AND(Projects!$G$24="Yes",Projects!$M$24="Yes",105&gt;=Projects!$C$24,105&lt;Projects!$C$24+Projects!$D$24),Projects!$B$24*INDEX(Curves!$B$4:$AR$4,1,105-Projects!$C$24+1),0)+IF(AND(Projects!$G$25="Yes",Projects!$M$25="Yes",105&gt;=Projects!$C$25,105&lt;Projects!$C$25+Projects!$D$25),Projects!$B$25*INDEX(Curves!$B$4:$AR$4,1,105-Projects!$C$25+1),0)+IF(AND(Projects!$G$26="Yes",Projects!$M$26="Yes",105&gt;=Projects!$C$26,105&lt;Projects!$C$26+Projects!$D$26),Projects!$B$26*INDEX(Curves!$B$4:$AR$4,1,105-Projects!$C$26+1),0)+IF(AND(Projects!$G$27="Yes",Projects!$M$27="Yes",105&gt;=Projects!$C$27,105&lt;Projects!$C$27+Projects!$D$27),Projects!$B$27*INDEX(Curves!$B$4:$AR$4,1,105-Projects!$C$27+1),0)+IF(AND(Projects!$G$28="Yes",Projects!$M$28="Yes",105&gt;=Projects!$C$28,105&lt;Projects!$C$28+Projects!$D$28),Projects!$B$28*INDEX(Curves!$B$4:$AR$4,1,105-Projects!$C$28+1),0)+IF(AND(Projects!$G$29="Yes",Projects!$M$29="Yes",105&gt;=Projects!$C$29,105&lt;Projects!$C$29+Projects!$D$29),Projects!$B$29*INDEX(Curves!$B$4:$AR$4,1,105-Projects!$C$29+1),0)+IF(AND(Projects!$G$30="Yes",Projects!$M$30="Yes",105&gt;=Projects!$C$30,105&lt;Projects!$C$30+Projects!$D$30),Projects!$B$30*INDEX(Curves!$B$4:$AR$4,1,105-Projects!$C$30+1),0)+IF(AND(Projects!$G$31="Yes",Projects!$M$31="Yes",105&gt;=Projects!$C$31,105&lt;Projects!$C$31+Projects!$D$31),Projects!$B$31*INDEX(Curves!$B$4:$AR$4,1,105-Projects!$C$31+1),0)+IF(AND(Projects!$G$32="Yes",Projects!$M$32="Yes",105&gt;=Projects!$C$32,105&lt;Projects!$C$32+Projects!$D$32),Projects!$B$32*INDEX(Curves!$B$4:$AR$4,1,105-Projects!$C$32+1),0)+IF(AND(Projects!$G$33="Yes",Projects!$M$33="Yes",105&gt;=Projects!$C$33,105&lt;Projects!$C$33+Projects!$D$33),Projects!$B$33*INDEX(Curves!$B$4:$AR$4,1,105-Projects!$C$33+1),0)+IF(AND(Projects!$G$34="Yes",Projects!$M$34="Yes",105&gt;=Projects!$C$34,105&lt;Projects!$C$34+Projects!$D$34),Projects!$B$34*INDEX(Curves!$B$4:$AR$4,1,105-Projects!$C$34+1),0)+IF(AND(Projects!$G$35="Yes",Projects!$M$35="Yes",105&gt;=Projects!$C$35,105&lt;Projects!$C$35+Projects!$D$35),Projects!$B$35*INDEX(Curves!$B$4:$AR$4,1,105-Projects!$C$35+1),0)+IF(AND(Projects!$G$36="Yes",Projects!$M$36="Yes",105&gt;=Projects!$C$36,105&lt;Projects!$C$36+Projects!$D$36),Projects!$B$36*INDEX(Curves!$B$4:$AR$4,1,105-Projects!$C$36+1),0)+IF(AND(Projects!$G$37="Yes",Projects!$M$37="Yes",105&gt;=Projects!$C$37,105&lt;Projects!$C$37+Projects!$D$37),Projects!$B$37*INDEX(Curves!$B$4:$AR$4,1,105-Projects!$C$37+1),0)+IF(AND(Projects!$G$38="Yes",Projects!$M$38="Yes",105&gt;=Projects!$C$38,105&lt;Projects!$C$38+Projects!$D$38),Projects!$B$38*INDEX(Curves!$B$4:$AR$4,1,105-Projects!$C$38+1),0)+IF(AND(Projects!$G$39="Yes",Projects!$M$39="Yes",105&gt;=Projects!$C$39,105&lt;Projects!$C$39+Projects!$D$39),Projects!$B$39*INDEX(Curves!$B$4:$AR$4,1,105-Projects!$C$39+1),0)+IF(AND(Projects!$G$40="Yes",Projects!$M$40="Yes",105&gt;=Projects!$C$40,105&lt;Projects!$C$40+Projects!$D$40),Projects!$B$40*INDEX(Curves!$B$4:$AR$4,1,105-Projects!$C$40+1),0)+IF(AND(Projects!$G$41="Yes",Projects!$M$41="Yes",105&gt;=Projects!$C$41,105&lt;Projects!$C$41+Projects!$D$41),Projects!$B$41*INDEX(Curves!$B$4:$AR$4,1,105-Projects!$C$41+1),0)+IF(AND(Projects!$G$42="Yes",Projects!$M$42="Yes",105&gt;=Projects!$C$42,105&lt;Projects!$C$42+Projects!$D$42),Projects!$B$42*INDEX(Curves!$B$4:$AR$4,1,105-Projects!$C$42+1),0)+IF(AND(Projects!$G$43="Yes",Projects!$M$43="Yes",105&gt;=Projects!$C$43,105&lt;Projects!$C$43+Projects!$D$43),Projects!$B$43*INDEX(Curves!$B$4:$AR$4,1,105-Projects!$C$43+1),0)+IF(AND(Projects!$G$44="Yes",Projects!$M$44="Yes",105&gt;=Projects!$C$44,105&lt;Projects!$C$44+Projects!$D$44),Projects!$B$44*INDEX(Curves!$B$4:$AR$4,1,105-Projects!$C$44+1),0)+IF(AND(Projects!$G$45="Yes",Projects!$M$45="Yes",105&gt;=Projects!$C$45,105&lt;Projects!$C$45+Projects!$D$45),Projects!$B$45*INDEX(Curves!$B$4:$AR$4,1,105-Projects!$C$45+1),0)+IF(AND(Projects!$G$46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1184</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318"/>
      <c r="D2" s="318"/>
      <c r="E2" s="318"/>
      <c r="F2" s="318"/>
      <c r="G2" s="318"/>
      <c r="H2" s="318"/>
      <c r="I2" s="318"/>
      <c r="J2" s="318"/>
      <c r="K2" s="318"/>
      <c r="L2" s="318"/>
      <c r="M2" s="318"/>
      <c r="N2" s="318"/>
      <c r="O2" s="318"/>
      <c r="P2" s="318"/>
      <c r="Q2" s="318"/>
      <c r="R2" s="318"/>
      <c r="S2" s="318"/>
      <c r="T2" s="318"/>
      <c r="U2" s="318"/>
      <c r="V2" s="318"/>
      <c r="W2" s="318"/>
      <c r="X2" s="318"/>
      <c r="Y2" s="318"/>
      <c r="Z2" s="318"/>
      <c r="AA2" s="318"/>
      <c r="AB2" s="318"/>
      <c r="AC2" s="318"/>
      <c r="AD2" s="318"/>
      <c r="AE2" s="318"/>
      <c r="AF2" s="318"/>
      <c r="AG2" s="318"/>
      <c r="AH2" s="318"/>
      <c r="AI2" s="318"/>
      <c r="AJ2" s="318"/>
      <c r="AK2" s="318"/>
      <c r="AL2" s="318"/>
      <c r="AM2" s="318"/>
      <c r="AN2" s="318"/>
      <c r="AO2" s="318"/>
      <c r="AP2" s="318"/>
      <c r="AQ2" s="318"/>
      <c r="AR2" s="318"/>
      <c r="AS2" s="318"/>
      <c r="AT2" s="318"/>
      <c r="AU2" s="318"/>
      <c r="AV2" s="318"/>
      <c r="AW2" s="318"/>
      <c r="AX2" s="318"/>
      <c r="AY2" s="318"/>
      <c r="AZ2" s="318"/>
      <c r="BA2" s="318"/>
      <c r="BB2" s="318"/>
      <c r="BC2" s="318"/>
      <c r="BD2" s="318"/>
      <c r="BE2" s="318"/>
      <c r="BF2" s="318"/>
      <c r="BG2" s="318"/>
      <c r="BH2" s="318"/>
      <c r="BI2" s="318"/>
      <c r="BJ2" s="318"/>
      <c r="BK2" s="318"/>
      <c r="BL2" s="318"/>
      <c r="BM2" s="318"/>
      <c r="BN2" s="318"/>
      <c r="BO2" s="318"/>
      <c r="BP2" s="318"/>
      <c r="BQ2" s="318"/>
      <c r="BR2" s="318"/>
      <c r="BS2" s="318"/>
      <c r="BT2" s="318"/>
      <c r="BU2" s="318"/>
      <c r="BV2" s="318"/>
      <c r="BW2" s="318"/>
      <c r="BX2" s="318"/>
      <c r="BY2" s="318"/>
      <c r="BZ2" s="318"/>
      <c r="CA2" s="318"/>
      <c r="CB2" s="318"/>
      <c r="CC2" s="318"/>
      <c r="CD2" s="318"/>
      <c r="CE2" s="318"/>
      <c r="CF2" s="318"/>
      <c r="CG2" s="318"/>
      <c r="CH2" s="318"/>
    </row>
    <row r="3" customFormat="false" ht="15" hidden="false" customHeight="true" outlineLevel="0" collapsed="false">
      <c r="A3" s="319"/>
      <c r="B3" s="320" t="s">
        <v>1185</v>
      </c>
      <c r="C3" s="320" t="s">
        <v>1186</v>
      </c>
      <c r="D3" s="320" t="s">
        <v>1187</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20"/>
      <c r="C4" s="220"/>
      <c r="D4" s="22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21" t="s">
        <v>12</v>
      </c>
      <c r="B5" s="322"/>
      <c r="C5" s="322"/>
      <c r="D5" s="322"/>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c r="BR5" s="220"/>
      <c r="BS5" s="220"/>
      <c r="BT5" s="220"/>
      <c r="BU5" s="220"/>
      <c r="BV5" s="220"/>
      <c r="BW5" s="220"/>
      <c r="BX5" s="220"/>
      <c r="BY5" s="220"/>
      <c r="BZ5" s="220"/>
      <c r="CA5" s="220"/>
      <c r="CB5" s="220"/>
      <c r="CC5" s="220"/>
      <c r="CD5" s="220"/>
      <c r="CE5" s="220"/>
      <c r="CF5" s="220"/>
      <c r="CG5" s="220"/>
      <c r="CH5" s="220"/>
    </row>
    <row r="6" customFormat="false" ht="15" hidden="false" customHeight="true" outlineLevel="0" collapsed="false">
      <c r="A6" s="323" t="s">
        <v>1188</v>
      </c>
      <c r="B6" s="324" t="n">
        <f aca="false">SUM(Model!E254:CG254)</f>
        <v>1114996</v>
      </c>
      <c r="C6" s="324" t="n">
        <f aca="false">Helpers!B47</f>
        <v>1912475</v>
      </c>
      <c r="D6" s="324" t="n">
        <f aca="false">B6+C6</f>
        <v>3027471</v>
      </c>
      <c r="E6" s="220"/>
      <c r="F6" s="220"/>
      <c r="G6" s="220"/>
      <c r="H6" s="220"/>
      <c r="I6" s="220"/>
      <c r="J6" s="220"/>
      <c r="K6" s="220"/>
      <c r="L6" s="220"/>
      <c r="M6" s="220"/>
      <c r="N6" s="220"/>
      <c r="O6" s="220"/>
      <c r="P6" s="220"/>
      <c r="Q6" s="220"/>
      <c r="R6" s="220"/>
      <c r="S6" s="220"/>
      <c r="T6" s="220"/>
      <c r="U6" s="220"/>
      <c r="V6" s="220"/>
      <c r="W6" s="220"/>
      <c r="X6" s="220"/>
      <c r="Y6" s="220"/>
      <c r="Z6" s="220"/>
      <c r="AA6" s="220"/>
      <c r="AB6" s="220"/>
      <c r="AC6" s="220"/>
      <c r="AD6" s="220"/>
      <c r="AE6" s="220"/>
      <c r="AF6" s="220"/>
      <c r="AG6" s="220"/>
      <c r="AH6" s="220"/>
      <c r="AI6" s="220"/>
      <c r="AJ6" s="220"/>
      <c r="AK6" s="220"/>
      <c r="AL6" s="220"/>
      <c r="AM6" s="220"/>
      <c r="AN6" s="220"/>
      <c r="AO6" s="220"/>
      <c r="AP6" s="220"/>
      <c r="AQ6" s="220"/>
      <c r="AR6" s="220"/>
      <c r="AS6" s="220"/>
      <c r="AT6" s="220"/>
      <c r="AU6" s="220"/>
      <c r="AV6" s="220"/>
      <c r="AW6" s="220"/>
      <c r="AX6" s="220"/>
      <c r="AY6" s="220"/>
      <c r="AZ6" s="220"/>
      <c r="BA6" s="220"/>
      <c r="BB6" s="220"/>
      <c r="BC6" s="220"/>
      <c r="BD6" s="220"/>
      <c r="BE6" s="220"/>
      <c r="BF6" s="220"/>
      <c r="BG6" s="220"/>
      <c r="BH6" s="220"/>
      <c r="BI6" s="220"/>
      <c r="BJ6" s="220"/>
      <c r="BK6" s="220"/>
      <c r="BL6" s="220"/>
      <c r="BM6" s="220"/>
      <c r="BN6" s="220"/>
      <c r="BO6" s="220"/>
      <c r="BP6" s="220"/>
      <c r="BQ6" s="220"/>
      <c r="BR6" s="220"/>
      <c r="BS6" s="220"/>
      <c r="BT6" s="220"/>
      <c r="BU6" s="220"/>
      <c r="BV6" s="220"/>
      <c r="BW6" s="220"/>
      <c r="BX6" s="220"/>
      <c r="BY6" s="220"/>
      <c r="BZ6" s="220"/>
      <c r="CA6" s="220"/>
      <c r="CB6" s="220"/>
      <c r="CC6" s="220"/>
      <c r="CD6" s="220"/>
      <c r="CE6" s="220"/>
      <c r="CF6" s="220"/>
      <c r="CG6" s="220"/>
      <c r="CH6" s="220"/>
    </row>
    <row r="7" customFormat="false" ht="15" hidden="false" customHeight="true" outlineLevel="0" collapsed="false">
      <c r="A7" s="90" t="s">
        <v>1189</v>
      </c>
      <c r="B7" s="220" t="n">
        <f aca="false">-Projects!$B$7*Assumptions!$B$47</f>
        <v>-427947.65</v>
      </c>
      <c r="C7" s="220" t="n">
        <v>0</v>
      </c>
      <c r="D7" s="220" t="n">
        <f aca="false">B7+C7</f>
        <v>-427947.65</v>
      </c>
      <c r="E7" s="220"/>
      <c r="F7" s="220"/>
      <c r="G7" s="220"/>
      <c r="H7" s="220"/>
      <c r="I7" s="220"/>
      <c r="J7" s="220"/>
      <c r="K7" s="220"/>
      <c r="L7" s="220"/>
      <c r="M7" s="220"/>
      <c r="N7" s="220"/>
      <c r="O7" s="220"/>
      <c r="P7" s="220"/>
      <c r="Q7" s="220"/>
      <c r="R7" s="220"/>
      <c r="S7" s="220"/>
      <c r="T7" s="220"/>
      <c r="U7" s="220"/>
      <c r="V7" s="220"/>
      <c r="W7" s="220"/>
      <c r="X7" s="220"/>
      <c r="Y7" s="220"/>
      <c r="Z7" s="220"/>
      <c r="AA7" s="220"/>
      <c r="AB7" s="220"/>
      <c r="AC7" s="220"/>
      <c r="AD7" s="220"/>
      <c r="AE7" s="220"/>
      <c r="AF7" s="220"/>
      <c r="AG7" s="220"/>
      <c r="AH7" s="220"/>
      <c r="AI7" s="220"/>
      <c r="AJ7" s="220"/>
      <c r="AK7" s="220"/>
      <c r="AL7" s="220"/>
      <c r="AM7" s="220"/>
      <c r="AN7" s="220"/>
      <c r="AO7" s="220"/>
      <c r="AP7" s="220"/>
      <c r="AQ7" s="220"/>
      <c r="AR7" s="220"/>
      <c r="AS7" s="220"/>
      <c r="AT7" s="220"/>
      <c r="AU7" s="220"/>
      <c r="AV7" s="220"/>
      <c r="AW7" s="220"/>
      <c r="AX7" s="220"/>
      <c r="AY7" s="220"/>
      <c r="AZ7" s="220"/>
      <c r="BA7" s="220"/>
      <c r="BB7" s="220"/>
      <c r="BC7" s="220"/>
      <c r="BD7" s="220"/>
      <c r="BE7" s="220"/>
      <c r="BF7" s="220"/>
      <c r="BG7" s="220"/>
      <c r="BH7" s="220"/>
      <c r="BI7" s="220"/>
      <c r="BJ7" s="220"/>
      <c r="BK7" s="220"/>
      <c r="BL7" s="220"/>
      <c r="BM7" s="220"/>
      <c r="BN7" s="220"/>
      <c r="BO7" s="220"/>
      <c r="BP7" s="220"/>
      <c r="BQ7" s="220"/>
      <c r="BR7" s="220"/>
      <c r="BS7" s="220"/>
      <c r="BT7" s="220"/>
      <c r="BU7" s="220"/>
      <c r="BV7" s="220"/>
      <c r="BW7" s="220"/>
      <c r="BX7" s="220"/>
      <c r="BY7" s="220"/>
      <c r="BZ7" s="220"/>
      <c r="CA7" s="220"/>
      <c r="CB7" s="220"/>
      <c r="CC7" s="220"/>
      <c r="CD7" s="220"/>
      <c r="CE7" s="220"/>
      <c r="CF7" s="220"/>
      <c r="CG7" s="220"/>
      <c r="CH7" s="220"/>
    </row>
    <row r="8" customFormat="false" ht="15" hidden="false" customHeight="true" outlineLevel="0" collapsed="false">
      <c r="A8" s="323" t="s">
        <v>1190</v>
      </c>
      <c r="B8" s="324" t="n">
        <f aca="false">-Assumptions!$B$53*Assumptions!$B$48</f>
        <v>-150000</v>
      </c>
      <c r="C8" s="324" t="n">
        <v>0</v>
      </c>
      <c r="D8" s="324"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1173</v>
      </c>
      <c r="B9" s="220" t="n">
        <v>0</v>
      </c>
      <c r="C9" s="220" t="n">
        <v>0</v>
      </c>
      <c r="D9" s="220"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29" t="s">
        <v>1191</v>
      </c>
      <c r="B10" s="232" t="n">
        <f aca="false">SUM(B6:B9)</f>
        <v>537048.35</v>
      </c>
      <c r="C10" s="232" t="n">
        <f aca="false">SUM(C6:C9)</f>
        <v>1912475</v>
      </c>
      <c r="D10" s="232" t="n">
        <f aca="false">SUM(D6:D9)</f>
        <v>2449523.35</v>
      </c>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0"/>
      <c r="AE10" s="220"/>
      <c r="AF10" s="220"/>
      <c r="AG10" s="220"/>
      <c r="AH10" s="220"/>
      <c r="AI10" s="220"/>
      <c r="AJ10" s="220"/>
      <c r="AK10" s="220"/>
      <c r="AL10" s="220"/>
      <c r="AM10" s="220"/>
      <c r="AN10" s="220"/>
      <c r="AO10" s="220"/>
      <c r="AP10" s="220"/>
      <c r="AQ10" s="220"/>
      <c r="AR10" s="220"/>
      <c r="AS10" s="220"/>
      <c r="AT10" s="220"/>
      <c r="AU10" s="220"/>
      <c r="AV10" s="220"/>
      <c r="AW10" s="220"/>
      <c r="AX10" s="220"/>
      <c r="AY10" s="220"/>
      <c r="AZ10" s="220"/>
      <c r="BA10" s="220"/>
      <c r="BB10" s="220"/>
      <c r="BC10" s="220"/>
      <c r="BD10" s="220"/>
      <c r="BE10" s="220"/>
      <c r="BF10" s="220"/>
      <c r="BG10" s="220"/>
      <c r="BH10" s="220"/>
      <c r="BI10" s="220"/>
      <c r="BJ10" s="220"/>
      <c r="BK10" s="220"/>
      <c r="BL10" s="220"/>
      <c r="BM10" s="220"/>
      <c r="BN10" s="220"/>
      <c r="BO10" s="220"/>
      <c r="BP10" s="220"/>
      <c r="BQ10" s="220"/>
      <c r="BR10" s="220"/>
      <c r="BS10" s="220"/>
      <c r="BT10" s="220"/>
      <c r="BU10" s="220"/>
      <c r="BV10" s="220"/>
      <c r="BW10" s="220"/>
      <c r="BX10" s="220"/>
      <c r="BY10" s="220"/>
      <c r="BZ10" s="220"/>
      <c r="CA10" s="220"/>
      <c r="CB10" s="220"/>
      <c r="CC10" s="220"/>
      <c r="CD10" s="220"/>
      <c r="CE10" s="220"/>
      <c r="CF10" s="220"/>
      <c r="CG10" s="220"/>
      <c r="CH10" s="220"/>
    </row>
    <row r="11" customFormat="false" ht="15" hidden="false" customHeight="true" outlineLevel="0" collapsed="false">
      <c r="A11" s="325"/>
      <c r="B11" s="326"/>
      <c r="C11" s="326"/>
      <c r="D11" s="326"/>
      <c r="E11" s="220"/>
      <c r="F11" s="220"/>
      <c r="G11" s="220"/>
      <c r="H11" s="220"/>
      <c r="I11" s="220"/>
      <c r="J11" s="220"/>
      <c r="K11" s="220"/>
      <c r="L11" s="220"/>
      <c r="M11" s="220"/>
      <c r="N11" s="220"/>
      <c r="O11" s="220"/>
      <c r="P11" s="220"/>
      <c r="Q11" s="220"/>
      <c r="R11" s="220"/>
      <c r="S11" s="220"/>
      <c r="T11" s="220"/>
      <c r="U11" s="220"/>
      <c r="V11" s="220"/>
      <c r="W11" s="220"/>
      <c r="X11" s="220"/>
      <c r="Y11" s="220"/>
      <c r="Z11" s="220"/>
      <c r="AA11" s="220"/>
      <c r="AB11" s="220"/>
      <c r="AC11" s="220"/>
      <c r="AD11" s="220"/>
      <c r="AE11" s="220"/>
      <c r="AF11" s="220"/>
      <c r="AG11" s="220"/>
      <c r="AH11" s="220"/>
      <c r="AI11" s="220"/>
      <c r="AJ11" s="220"/>
      <c r="AK11" s="220"/>
      <c r="AL11" s="220"/>
      <c r="AM11" s="220"/>
      <c r="AN11" s="220"/>
      <c r="AO11" s="220"/>
      <c r="AP11" s="220"/>
      <c r="AQ11" s="220"/>
      <c r="AR11" s="220"/>
      <c r="AS11" s="220"/>
      <c r="AT11" s="220"/>
      <c r="AU11" s="220"/>
      <c r="AV11" s="220"/>
      <c r="AW11" s="220"/>
      <c r="AX11" s="220"/>
      <c r="AY11" s="220"/>
      <c r="AZ11" s="220"/>
      <c r="BA11" s="220"/>
      <c r="BB11" s="220"/>
      <c r="BC11" s="220"/>
      <c r="BD11" s="220"/>
      <c r="BE11" s="220"/>
      <c r="BF11" s="220"/>
      <c r="BG11" s="220"/>
      <c r="BH11" s="220"/>
      <c r="BI11" s="220"/>
      <c r="BJ11" s="220"/>
      <c r="BK11" s="220"/>
      <c r="BL11" s="220"/>
      <c r="BM11" s="220"/>
      <c r="BN11" s="220"/>
      <c r="BO11" s="220"/>
      <c r="BP11" s="220"/>
      <c r="BQ11" s="220"/>
      <c r="BR11" s="220"/>
      <c r="BS11" s="220"/>
      <c r="BT11" s="220"/>
      <c r="BU11" s="220"/>
      <c r="BV11" s="220"/>
      <c r="BW11" s="220"/>
      <c r="BX11" s="220"/>
      <c r="BY11" s="220"/>
      <c r="BZ11" s="220"/>
      <c r="CA11" s="220"/>
      <c r="CB11" s="220"/>
      <c r="CC11" s="220"/>
      <c r="CD11" s="220"/>
      <c r="CE11" s="220"/>
      <c r="CF11" s="220"/>
      <c r="CG11" s="220"/>
      <c r="CH11" s="220"/>
    </row>
    <row r="12" customFormat="false" ht="15" hidden="false" customHeight="true" outlineLevel="0" collapsed="false">
      <c r="A12" s="294" t="s">
        <v>1192</v>
      </c>
      <c r="B12" s="294"/>
      <c r="C12" s="327"/>
      <c r="D12" s="327"/>
      <c r="E12" s="220"/>
      <c r="F12" s="220"/>
      <c r="G12" s="220"/>
      <c r="H12" s="220"/>
      <c r="I12" s="220"/>
      <c r="J12" s="220"/>
      <c r="K12" s="220"/>
      <c r="L12" s="220"/>
      <c r="M12" s="220"/>
      <c r="N12" s="220"/>
      <c r="O12" s="220"/>
      <c r="P12" s="220"/>
      <c r="Q12" s="220"/>
      <c r="R12" s="220"/>
      <c r="S12" s="220"/>
      <c r="T12" s="220"/>
      <c r="U12" s="220"/>
      <c r="V12" s="220"/>
      <c r="W12" s="220"/>
      <c r="X12" s="220"/>
      <c r="Y12" s="220"/>
      <c r="Z12" s="220"/>
      <c r="AA12" s="220"/>
      <c r="AB12" s="220"/>
      <c r="AC12" s="220"/>
      <c r="AD12" s="220"/>
      <c r="AE12" s="220"/>
      <c r="AF12" s="220"/>
      <c r="AG12" s="220"/>
      <c r="AH12" s="220"/>
      <c r="AI12" s="220"/>
      <c r="AJ12" s="220"/>
      <c r="AK12" s="220"/>
      <c r="AL12" s="220"/>
      <c r="AM12" s="220"/>
      <c r="AN12" s="220"/>
      <c r="AO12" s="220"/>
      <c r="AP12" s="220"/>
      <c r="AQ12" s="220"/>
      <c r="AR12" s="220"/>
      <c r="AS12" s="220"/>
      <c r="AT12" s="220"/>
      <c r="AU12" s="220"/>
      <c r="AV12" s="220"/>
      <c r="AW12" s="220"/>
      <c r="AX12" s="220"/>
      <c r="AY12" s="220"/>
      <c r="AZ12" s="220"/>
      <c r="BA12" s="220"/>
      <c r="BB12" s="220"/>
      <c r="BC12" s="220"/>
      <c r="BD12" s="220"/>
      <c r="BE12" s="220"/>
      <c r="BF12" s="220"/>
      <c r="BG12" s="220"/>
      <c r="BH12" s="220"/>
      <c r="BI12" s="220"/>
      <c r="BJ12" s="220"/>
      <c r="BK12" s="220"/>
      <c r="BL12" s="220"/>
      <c r="BM12" s="220"/>
      <c r="BN12" s="220"/>
      <c r="BO12" s="220"/>
      <c r="BP12" s="220"/>
      <c r="BQ12" s="220"/>
      <c r="BR12" s="220"/>
      <c r="BS12" s="220"/>
      <c r="BT12" s="220"/>
      <c r="BU12" s="220"/>
      <c r="BV12" s="220"/>
      <c r="BW12" s="220"/>
      <c r="BX12" s="220"/>
      <c r="BY12" s="220"/>
      <c r="BZ12" s="220"/>
      <c r="CA12" s="220"/>
      <c r="CB12" s="220"/>
      <c r="CC12" s="220"/>
      <c r="CD12" s="220"/>
      <c r="CE12" s="220"/>
      <c r="CF12" s="220"/>
      <c r="CG12" s="220"/>
      <c r="CH12" s="220"/>
    </row>
    <row r="13" customFormat="false" ht="15" hidden="false" customHeight="true" outlineLevel="0" collapsed="false">
      <c r="A13" s="323" t="s">
        <v>1188</v>
      </c>
      <c r="B13" s="324" t="n">
        <f aca="false">SUM(Model!E256:CG256)</f>
        <v>219466</v>
      </c>
      <c r="C13" s="324" t="n">
        <f aca="false">Helpers!B48</f>
        <v>2706735</v>
      </c>
      <c r="D13" s="324" t="n">
        <f aca="false">B13+C13</f>
        <v>2926201</v>
      </c>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0"/>
      <c r="AF13" s="220"/>
      <c r="AG13" s="220"/>
      <c r="AH13" s="220"/>
      <c r="AI13" s="220"/>
      <c r="AJ13" s="220"/>
      <c r="AK13" s="220"/>
      <c r="AL13" s="220"/>
      <c r="AM13" s="220"/>
      <c r="AN13" s="220"/>
      <c r="AO13" s="220"/>
      <c r="AP13" s="220"/>
      <c r="AQ13" s="220"/>
      <c r="AR13" s="220"/>
      <c r="AS13" s="220"/>
      <c r="AT13" s="220"/>
      <c r="AU13" s="220"/>
      <c r="AV13" s="220"/>
      <c r="AW13" s="220"/>
      <c r="AX13" s="220"/>
      <c r="AY13" s="220"/>
      <c r="AZ13" s="220"/>
      <c r="BA13" s="220"/>
      <c r="BB13" s="220"/>
      <c r="BC13" s="220"/>
      <c r="BD13" s="220"/>
      <c r="BE13" s="220"/>
      <c r="BF13" s="220"/>
      <c r="BG13" s="220"/>
      <c r="BH13" s="220"/>
      <c r="BI13" s="220"/>
      <c r="BJ13" s="220"/>
      <c r="BK13" s="220"/>
      <c r="BL13" s="220"/>
      <c r="BM13" s="220"/>
      <c r="BN13" s="220"/>
      <c r="BO13" s="220"/>
      <c r="BP13" s="220"/>
      <c r="BQ13" s="220"/>
      <c r="BR13" s="220"/>
      <c r="BS13" s="220"/>
      <c r="BT13" s="220"/>
      <c r="BU13" s="220"/>
      <c r="BV13" s="220"/>
      <c r="BW13" s="220"/>
      <c r="BX13" s="220"/>
      <c r="BY13" s="220"/>
      <c r="BZ13" s="220"/>
      <c r="CA13" s="220"/>
      <c r="CB13" s="220"/>
      <c r="CC13" s="220"/>
      <c r="CD13" s="220"/>
      <c r="CE13" s="220"/>
      <c r="CF13" s="220"/>
      <c r="CG13" s="220"/>
      <c r="CH13" s="220"/>
    </row>
    <row r="14" customFormat="false" ht="15" hidden="false" customHeight="true" outlineLevel="0" collapsed="false">
      <c r="A14" s="328" t="s">
        <v>1189</v>
      </c>
      <c r="B14" s="329" t="n">
        <f aca="false">-Projects!$B$14*Assumptions!$B$47</f>
        <v>-413546.32</v>
      </c>
      <c r="C14" s="329" t="n">
        <v>0</v>
      </c>
      <c r="D14" s="329" t="n">
        <f aca="false">B14+C14</f>
        <v>-413546.32</v>
      </c>
      <c r="E14" s="220"/>
      <c r="F14" s="220"/>
      <c r="G14" s="220"/>
      <c r="H14" s="220"/>
      <c r="I14" s="220"/>
      <c r="J14" s="220"/>
      <c r="K14" s="220"/>
      <c r="L14" s="220"/>
      <c r="M14" s="220"/>
      <c r="N14" s="220"/>
      <c r="O14" s="220"/>
      <c r="P14" s="220"/>
      <c r="Q14" s="220"/>
      <c r="R14" s="220"/>
      <c r="S14" s="220"/>
      <c r="T14" s="220"/>
      <c r="U14" s="220"/>
      <c r="V14" s="220"/>
      <c r="W14" s="220"/>
      <c r="X14" s="220"/>
      <c r="Y14" s="220"/>
      <c r="Z14" s="220"/>
      <c r="AA14" s="220"/>
      <c r="AB14" s="220"/>
      <c r="AC14" s="220"/>
      <c r="AD14" s="220"/>
      <c r="AE14" s="220"/>
      <c r="AF14" s="220"/>
      <c r="AG14" s="220"/>
      <c r="AH14" s="220"/>
      <c r="AI14" s="220"/>
      <c r="AJ14" s="220"/>
      <c r="AK14" s="220"/>
      <c r="AL14" s="220"/>
      <c r="AM14" s="220"/>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0"/>
      <c r="BK14" s="220"/>
      <c r="BL14" s="220"/>
      <c r="BM14" s="220"/>
      <c r="BN14" s="220"/>
      <c r="BO14" s="220"/>
      <c r="BP14" s="220"/>
      <c r="BQ14" s="220"/>
      <c r="BR14" s="220"/>
      <c r="BS14" s="220"/>
      <c r="BT14" s="220"/>
      <c r="BU14" s="220"/>
      <c r="BV14" s="220"/>
      <c r="BW14" s="220"/>
      <c r="BX14" s="220"/>
      <c r="BY14" s="220"/>
      <c r="BZ14" s="220"/>
      <c r="CA14" s="220"/>
      <c r="CB14" s="220"/>
      <c r="CC14" s="220"/>
      <c r="CD14" s="220"/>
      <c r="CE14" s="220"/>
      <c r="CF14" s="220"/>
      <c r="CG14" s="220"/>
      <c r="CH14" s="220"/>
    </row>
    <row r="15" customFormat="false" ht="15" hidden="false" customHeight="true" outlineLevel="0" collapsed="false">
      <c r="A15" s="323" t="s">
        <v>1190</v>
      </c>
      <c r="B15" s="324" t="n">
        <f aca="false">-Assumptions!$B$55*Assumptions!$B$48</f>
        <v>-150000</v>
      </c>
      <c r="C15" s="324" t="n">
        <v>0</v>
      </c>
      <c r="D15" s="324"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28" t="s">
        <v>1173</v>
      </c>
      <c r="B16" s="329" t="n">
        <f aca="false">-SUM(Model!E331:CG331)</f>
        <v>-583237.358559202</v>
      </c>
      <c r="C16" s="329" t="n">
        <f aca="false">-Helpers!F93</f>
        <v>-240125.881206445</v>
      </c>
      <c r="D16" s="329" t="n">
        <f aca="false">B16+C16</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1191</v>
      </c>
      <c r="B17" s="221" t="n">
        <f aca="false">SUM(B13:B16)</f>
        <v>-927317.678559202</v>
      </c>
      <c r="C17" s="221" t="n">
        <f aca="false">SUM(C13:C16)</f>
        <v>2466609.11879355</v>
      </c>
      <c r="D17" s="221" t="n">
        <f aca="false">SUM(D13:D16)</f>
        <v>1539291.44023435</v>
      </c>
      <c r="E17" s="220"/>
      <c r="F17" s="220"/>
      <c r="G17" s="220"/>
      <c r="H17" s="220"/>
      <c r="I17" s="220"/>
      <c r="J17" s="220"/>
      <c r="K17" s="220"/>
      <c r="L17" s="220"/>
      <c r="M17" s="220"/>
      <c r="N17" s="220"/>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20"/>
      <c r="AY17" s="220"/>
      <c r="AZ17" s="220"/>
      <c r="BA17" s="220"/>
      <c r="BB17" s="220"/>
      <c r="BC17" s="220"/>
      <c r="BD17" s="220"/>
      <c r="BE17" s="220"/>
      <c r="BF17" s="220"/>
      <c r="BG17" s="220"/>
      <c r="BH17" s="220"/>
      <c r="BI17" s="220"/>
      <c r="BJ17" s="220"/>
      <c r="BK17" s="220"/>
      <c r="BL17" s="220"/>
      <c r="BM17" s="220"/>
      <c r="BN17" s="220"/>
      <c r="BO17" s="220"/>
      <c r="BP17" s="220"/>
      <c r="BQ17" s="220"/>
      <c r="BR17" s="220"/>
      <c r="BS17" s="220"/>
      <c r="BT17" s="220"/>
      <c r="BU17" s="220"/>
      <c r="BV17" s="220"/>
      <c r="BW17" s="220"/>
      <c r="BX17" s="220"/>
      <c r="BY17" s="220"/>
      <c r="BZ17" s="220"/>
      <c r="CA17" s="220"/>
      <c r="CB17" s="220"/>
      <c r="CC17" s="220"/>
      <c r="CD17" s="220"/>
      <c r="CE17" s="220"/>
      <c r="CF17" s="220"/>
      <c r="CG17" s="220"/>
      <c r="CH17" s="220"/>
    </row>
    <row r="18" customFormat="false" ht="15" hidden="false" customHeight="true" outlineLevel="0" collapsed="false">
      <c r="A18" s="330"/>
      <c r="B18" s="331"/>
      <c r="C18" s="331"/>
      <c r="D18" s="331"/>
      <c r="E18" s="220"/>
      <c r="F18" s="220"/>
      <c r="G18" s="220"/>
      <c r="H18" s="220"/>
      <c r="I18" s="220"/>
      <c r="J18" s="220"/>
      <c r="K18" s="220"/>
      <c r="L18" s="220"/>
      <c r="M18" s="220"/>
      <c r="N18" s="220"/>
      <c r="O18" s="220"/>
      <c r="P18" s="220"/>
      <c r="Q18" s="220"/>
      <c r="R18" s="220"/>
      <c r="S18" s="220"/>
      <c r="T18" s="220"/>
      <c r="U18" s="220"/>
      <c r="V18" s="220"/>
      <c r="W18" s="220"/>
      <c r="X18" s="220"/>
      <c r="Y18" s="220"/>
      <c r="Z18" s="220"/>
      <c r="AA18" s="220"/>
      <c r="AB18" s="220"/>
      <c r="AC18" s="220"/>
      <c r="AD18" s="220"/>
      <c r="AE18" s="220"/>
      <c r="AF18" s="220"/>
      <c r="AG18" s="220"/>
      <c r="AH18" s="220"/>
      <c r="AI18" s="220"/>
      <c r="AJ18" s="220"/>
      <c r="AK18" s="220"/>
      <c r="AL18" s="220"/>
      <c r="AM18" s="220"/>
      <c r="AN18" s="220"/>
      <c r="AO18" s="220"/>
      <c r="AP18" s="220"/>
      <c r="AQ18" s="220"/>
      <c r="AR18" s="220"/>
      <c r="AS18" s="220"/>
      <c r="AT18" s="220"/>
      <c r="AU18" s="220"/>
      <c r="AV18" s="220"/>
      <c r="AW18" s="220"/>
      <c r="AX18" s="220"/>
      <c r="AY18" s="220"/>
      <c r="AZ18" s="220"/>
      <c r="BA18" s="220"/>
      <c r="BB18" s="220"/>
      <c r="BC18" s="220"/>
      <c r="BD18" s="220"/>
      <c r="BE18" s="220"/>
      <c r="BF18" s="220"/>
      <c r="BG18" s="220"/>
      <c r="BH18" s="220"/>
      <c r="BI18" s="220"/>
      <c r="BJ18" s="220"/>
      <c r="BK18" s="220"/>
      <c r="BL18" s="220"/>
      <c r="BM18" s="220"/>
      <c r="BN18" s="220"/>
      <c r="BO18" s="220"/>
      <c r="BP18" s="220"/>
      <c r="BQ18" s="220"/>
      <c r="BR18" s="220"/>
      <c r="BS18" s="220"/>
      <c r="BT18" s="220"/>
      <c r="BU18" s="220"/>
      <c r="BV18" s="220"/>
      <c r="BW18" s="220"/>
      <c r="BX18" s="220"/>
      <c r="BY18" s="220"/>
      <c r="BZ18" s="220"/>
      <c r="CA18" s="220"/>
      <c r="CB18" s="220"/>
      <c r="CC18" s="220"/>
      <c r="CD18" s="220"/>
      <c r="CE18" s="220"/>
      <c r="CF18" s="220"/>
      <c r="CG18" s="220"/>
      <c r="CH18" s="220"/>
    </row>
    <row r="19" customFormat="false" ht="15" hidden="false" customHeight="true" outlineLevel="0" collapsed="false">
      <c r="A19" s="332" t="s">
        <v>18</v>
      </c>
      <c r="B19" s="333"/>
      <c r="C19" s="333"/>
      <c r="D19" s="333"/>
      <c r="E19" s="220"/>
      <c r="F19" s="220"/>
      <c r="G19" s="220"/>
      <c r="H19" s="220"/>
      <c r="I19" s="220"/>
      <c r="J19" s="220"/>
      <c r="K19" s="220"/>
      <c r="L19" s="220"/>
      <c r="M19" s="220"/>
      <c r="N19" s="220"/>
      <c r="O19" s="220"/>
      <c r="P19" s="220"/>
      <c r="Q19" s="220"/>
      <c r="R19" s="220"/>
      <c r="S19" s="220"/>
      <c r="T19" s="220"/>
      <c r="U19" s="220"/>
      <c r="V19" s="220"/>
      <c r="W19" s="220"/>
      <c r="X19" s="220"/>
      <c r="Y19" s="220"/>
      <c r="Z19" s="220"/>
      <c r="AA19" s="220"/>
      <c r="AB19" s="220"/>
      <c r="AC19" s="220"/>
      <c r="AD19" s="220"/>
      <c r="AE19" s="220"/>
      <c r="AF19" s="220"/>
      <c r="AG19" s="220"/>
      <c r="AH19" s="220"/>
      <c r="AI19" s="220"/>
      <c r="AJ19" s="220"/>
      <c r="AK19" s="220"/>
      <c r="AL19" s="220"/>
      <c r="AM19" s="220"/>
      <c r="AN19" s="220"/>
      <c r="AO19" s="220"/>
      <c r="AP19" s="220"/>
      <c r="AQ19" s="220"/>
      <c r="AR19" s="220"/>
      <c r="AS19" s="220"/>
      <c r="AT19" s="220"/>
      <c r="AU19" s="220"/>
      <c r="AV19" s="220"/>
      <c r="AW19" s="220"/>
      <c r="AX19" s="220"/>
      <c r="AY19" s="220"/>
      <c r="AZ19" s="220"/>
      <c r="BA19" s="220"/>
      <c r="BB19" s="220"/>
      <c r="BC19" s="220"/>
      <c r="BD19" s="220"/>
      <c r="BE19" s="220"/>
      <c r="BF19" s="220"/>
      <c r="BG19" s="220"/>
      <c r="BH19" s="220"/>
      <c r="BI19" s="220"/>
      <c r="BJ19" s="220"/>
      <c r="BK19" s="220"/>
      <c r="BL19" s="220"/>
      <c r="BM19" s="220"/>
      <c r="BN19" s="220"/>
      <c r="BO19" s="220"/>
      <c r="BP19" s="220"/>
      <c r="BQ19" s="220"/>
      <c r="BR19" s="220"/>
      <c r="BS19" s="220"/>
      <c r="BT19" s="220"/>
      <c r="BU19" s="220"/>
      <c r="BV19" s="220"/>
      <c r="BW19" s="220"/>
      <c r="BX19" s="220"/>
      <c r="BY19" s="220"/>
      <c r="BZ19" s="220"/>
      <c r="CA19" s="220"/>
      <c r="CB19" s="220"/>
      <c r="CC19" s="220"/>
      <c r="CD19" s="220"/>
      <c r="CE19" s="220"/>
      <c r="CF19" s="220"/>
      <c r="CG19" s="220"/>
      <c r="CH19" s="220"/>
    </row>
    <row r="20" customFormat="false" ht="15" hidden="false" customHeight="true" outlineLevel="0" collapsed="false">
      <c r="A20" s="334" t="s">
        <v>1188</v>
      </c>
      <c r="B20" s="335" t="n">
        <f aca="false">SUM(Model!E255:CG255)</f>
        <v>1599927</v>
      </c>
      <c r="C20" s="335" t="n">
        <f aca="false">Helpers!B49</f>
        <v>2359498</v>
      </c>
      <c r="D20" s="335"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36" t="s">
        <v>1189</v>
      </c>
      <c r="B21" s="337" t="n">
        <f aca="false">-Projects!$B$13*Assumptions!$B$47</f>
        <v>-452667.7</v>
      </c>
      <c r="C21" s="337" t="n">
        <v>0</v>
      </c>
      <c r="D21" s="33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34" t="s">
        <v>1190</v>
      </c>
      <c r="B22" s="335" t="n">
        <f aca="false">-Assumptions!$B$54*Assumptions!$B$48</f>
        <v>-150000</v>
      </c>
      <c r="C22" s="335" t="n">
        <v>0</v>
      </c>
      <c r="D22" s="335" t="n">
        <f aca="false">B22+C22</f>
        <v>-150000</v>
      </c>
      <c r="E22" s="220"/>
      <c r="F22" s="220"/>
      <c r="G22" s="220"/>
      <c r="H22" s="220"/>
      <c r="I22" s="220"/>
      <c r="J22" s="220"/>
      <c r="K22" s="220"/>
      <c r="L22" s="220"/>
      <c r="M22" s="220"/>
      <c r="N22" s="220"/>
      <c r="O22" s="220"/>
      <c r="P22" s="220"/>
      <c r="Q22" s="220"/>
      <c r="R22" s="220"/>
      <c r="S22" s="220"/>
      <c r="T22" s="220"/>
      <c r="U22" s="220"/>
      <c r="V22" s="220"/>
      <c r="W22" s="220"/>
      <c r="X22" s="220"/>
      <c r="Y22" s="220"/>
      <c r="Z22" s="220"/>
      <c r="AA22" s="220"/>
      <c r="AB22" s="220"/>
      <c r="AC22" s="220"/>
      <c r="AD22" s="220"/>
      <c r="AE22" s="220"/>
      <c r="AF22" s="220"/>
      <c r="AG22" s="220"/>
      <c r="AH22" s="220"/>
      <c r="AI22" s="220"/>
      <c r="AJ22" s="220"/>
      <c r="AK22" s="220"/>
      <c r="AL22" s="220"/>
      <c r="AM22" s="220"/>
      <c r="AN22" s="220"/>
      <c r="AO22" s="220"/>
      <c r="AP22" s="220"/>
      <c r="AQ22" s="220"/>
      <c r="AR22" s="220"/>
      <c r="AS22" s="220"/>
      <c r="AT22" s="220"/>
      <c r="AU22" s="220"/>
      <c r="AV22" s="220"/>
      <c r="AW22" s="220"/>
      <c r="AX22" s="220"/>
      <c r="AY22" s="220"/>
      <c r="AZ22" s="220"/>
      <c r="BA22" s="220"/>
      <c r="BB22" s="220"/>
      <c r="BC22" s="220"/>
      <c r="BD22" s="220"/>
      <c r="BE22" s="220"/>
      <c r="BF22" s="220"/>
      <c r="BG22" s="220"/>
      <c r="BH22" s="220"/>
      <c r="BI22" s="220"/>
      <c r="BJ22" s="220"/>
      <c r="BK22" s="220"/>
      <c r="BL22" s="220"/>
      <c r="BM22" s="220"/>
      <c r="BN22" s="220"/>
      <c r="BO22" s="220"/>
      <c r="BP22" s="220"/>
      <c r="BQ22" s="220"/>
      <c r="BR22" s="220"/>
      <c r="BS22" s="220"/>
      <c r="BT22" s="220"/>
      <c r="BU22" s="220"/>
      <c r="BV22" s="220"/>
      <c r="BW22" s="220"/>
      <c r="BX22" s="220"/>
      <c r="BY22" s="220"/>
      <c r="BZ22" s="220"/>
      <c r="CA22" s="220"/>
      <c r="CB22" s="220"/>
      <c r="CC22" s="220"/>
      <c r="CD22" s="220"/>
      <c r="CE22" s="220"/>
      <c r="CF22" s="220"/>
      <c r="CG22" s="220"/>
      <c r="CH22" s="220"/>
    </row>
    <row r="23" customFormat="false" ht="15" hidden="false" customHeight="true" outlineLevel="0" collapsed="false">
      <c r="A23" s="90" t="s">
        <v>1173</v>
      </c>
      <c r="B23" s="220" t="n">
        <f aca="false">-SUM(Model!E336:CG336)</f>
        <v>-735311.322547972</v>
      </c>
      <c r="C23" s="220" t="n">
        <v>0</v>
      </c>
      <c r="D23" s="220" t="n">
        <f aca="false">B23+C23</f>
        <v>-735311.322547972</v>
      </c>
      <c r="E23" s="220"/>
      <c r="F23" s="220"/>
      <c r="G23" s="220"/>
      <c r="H23" s="220"/>
      <c r="I23" s="220"/>
      <c r="J23" s="220"/>
      <c r="K23" s="220"/>
      <c r="L23" s="220"/>
      <c r="M23" s="220"/>
      <c r="N23" s="220"/>
      <c r="O23" s="220"/>
      <c r="P23" s="220"/>
      <c r="Q23" s="220"/>
      <c r="R23" s="220"/>
      <c r="S23" s="220"/>
      <c r="T23" s="220"/>
      <c r="U23" s="220"/>
      <c r="V23" s="220"/>
      <c r="W23" s="220"/>
      <c r="X23" s="220"/>
      <c r="Y23" s="220"/>
      <c r="Z23" s="220"/>
      <c r="AA23" s="220"/>
      <c r="AB23" s="220"/>
      <c r="AC23" s="220"/>
      <c r="AD23" s="220"/>
      <c r="AE23" s="220"/>
      <c r="AF23" s="220"/>
      <c r="AG23" s="220"/>
      <c r="AH23" s="220"/>
      <c r="AI23" s="220"/>
      <c r="AJ23" s="220"/>
      <c r="AK23" s="220"/>
      <c r="AL23" s="220"/>
      <c r="AM23" s="220"/>
      <c r="AN23" s="220"/>
      <c r="AO23" s="220"/>
      <c r="AP23" s="220"/>
      <c r="AQ23" s="220"/>
      <c r="AR23" s="220"/>
      <c r="AS23" s="220"/>
      <c r="AT23" s="220"/>
      <c r="AU23" s="220"/>
      <c r="AV23" s="220"/>
      <c r="AW23" s="220"/>
      <c r="AX23" s="220"/>
      <c r="AY23" s="220"/>
      <c r="AZ23" s="220"/>
      <c r="BA23" s="220"/>
      <c r="BB23" s="220"/>
      <c r="BC23" s="220"/>
      <c r="BD23" s="220"/>
      <c r="BE23" s="220"/>
      <c r="BF23" s="220"/>
      <c r="BG23" s="220"/>
      <c r="BH23" s="220"/>
      <c r="BI23" s="220"/>
      <c r="BJ23" s="220"/>
      <c r="BK23" s="220"/>
      <c r="BL23" s="220"/>
      <c r="BM23" s="220"/>
      <c r="BN23" s="220"/>
      <c r="BO23" s="220"/>
      <c r="BP23" s="220"/>
      <c r="BQ23" s="220"/>
      <c r="BR23" s="220"/>
      <c r="BS23" s="220"/>
      <c r="BT23" s="220"/>
      <c r="BU23" s="220"/>
      <c r="BV23" s="220"/>
      <c r="BW23" s="220"/>
      <c r="BX23" s="220"/>
      <c r="BY23" s="220"/>
      <c r="BZ23" s="220"/>
      <c r="CA23" s="220"/>
      <c r="CB23" s="220"/>
      <c r="CC23" s="220"/>
      <c r="CD23" s="220"/>
      <c r="CE23" s="220"/>
      <c r="CF23" s="220"/>
      <c r="CG23" s="220"/>
      <c r="CH23" s="220"/>
    </row>
    <row r="24" customFormat="false" ht="15" hidden="false" customHeight="true" outlineLevel="0" collapsed="false">
      <c r="A24" s="234" t="s">
        <v>1191</v>
      </c>
      <c r="B24" s="235" t="n">
        <f aca="false">SUM(B20:B23)</f>
        <v>261947.977452028</v>
      </c>
      <c r="C24" s="235" t="n">
        <f aca="false">SUM(C20:C23)</f>
        <v>2359498</v>
      </c>
      <c r="D24" s="235" t="n">
        <f aca="false">SUM(D20:D23)</f>
        <v>2621445.97745203</v>
      </c>
      <c r="E24" s="220"/>
      <c r="F24" s="220"/>
      <c r="G24" s="220"/>
      <c r="H24" s="220"/>
      <c r="I24" s="220"/>
      <c r="J24" s="220"/>
      <c r="K24" s="220"/>
      <c r="L24" s="220"/>
      <c r="M24" s="220"/>
      <c r="N24" s="220"/>
      <c r="O24" s="220"/>
      <c r="P24" s="220"/>
      <c r="Q24" s="220"/>
      <c r="R24" s="220"/>
      <c r="S24" s="220"/>
      <c r="T24" s="220"/>
      <c r="U24" s="220"/>
      <c r="V24" s="220"/>
      <c r="W24" s="220"/>
      <c r="X24" s="220"/>
      <c r="Y24" s="220"/>
      <c r="Z24" s="220"/>
      <c r="AA24" s="220"/>
      <c r="AB24" s="220"/>
      <c r="AC24" s="220"/>
      <c r="AD24" s="220"/>
      <c r="AE24" s="220"/>
      <c r="AF24" s="220"/>
      <c r="AG24" s="220"/>
      <c r="AH24" s="220"/>
      <c r="AI24" s="220"/>
      <c r="AJ24" s="220"/>
      <c r="AK24" s="220"/>
      <c r="AL24" s="220"/>
      <c r="AM24" s="220"/>
      <c r="AN24" s="220"/>
      <c r="AO24" s="220"/>
      <c r="AP24" s="220"/>
      <c r="AQ24" s="220"/>
      <c r="AR24" s="220"/>
      <c r="AS24" s="220"/>
      <c r="AT24" s="220"/>
      <c r="AU24" s="220"/>
      <c r="AV24" s="220"/>
      <c r="AW24" s="220"/>
      <c r="AX24" s="220"/>
      <c r="AY24" s="220"/>
      <c r="AZ24" s="220"/>
      <c r="BA24" s="220"/>
      <c r="BB24" s="220"/>
      <c r="BC24" s="220"/>
      <c r="BD24" s="220"/>
      <c r="BE24" s="220"/>
      <c r="BF24" s="220"/>
      <c r="BG24" s="220"/>
      <c r="BH24" s="220"/>
      <c r="BI24" s="220"/>
      <c r="BJ24" s="220"/>
      <c r="BK24" s="220"/>
      <c r="BL24" s="220"/>
      <c r="BM24" s="220"/>
      <c r="BN24" s="220"/>
      <c r="BO24" s="220"/>
      <c r="BP24" s="220"/>
      <c r="BQ24" s="220"/>
      <c r="BR24" s="220"/>
      <c r="BS24" s="220"/>
      <c r="BT24" s="220"/>
      <c r="BU24" s="220"/>
      <c r="BV24" s="220"/>
      <c r="BW24" s="220"/>
      <c r="BX24" s="220"/>
      <c r="BY24" s="220"/>
      <c r="BZ24" s="220"/>
      <c r="CA24" s="220"/>
      <c r="CB24" s="220"/>
      <c r="CC24" s="220"/>
      <c r="CD24" s="220"/>
      <c r="CE24" s="220"/>
      <c r="CF24" s="220"/>
      <c r="CG24" s="220"/>
      <c r="CH24" s="220"/>
    </row>
    <row r="25" customFormat="false" ht="15" hidden="false" customHeight="true" outlineLevel="0" collapsed="false">
      <c r="A25" s="312"/>
      <c r="B25" s="338"/>
      <c r="C25" s="338"/>
      <c r="D25" s="338"/>
      <c r="E25" s="220"/>
      <c r="F25" s="220"/>
      <c r="G25" s="220"/>
      <c r="H25" s="220"/>
      <c r="I25" s="220"/>
      <c r="J25" s="220"/>
      <c r="K25" s="220"/>
      <c r="L25" s="220"/>
      <c r="M25" s="220"/>
      <c r="N25" s="220"/>
      <c r="O25" s="220"/>
      <c r="P25" s="220"/>
      <c r="Q25" s="220"/>
      <c r="R25" s="220"/>
      <c r="S25" s="220"/>
      <c r="T25" s="220"/>
      <c r="U25" s="220"/>
      <c r="V25" s="220"/>
      <c r="W25" s="220"/>
      <c r="X25" s="220"/>
      <c r="Y25" s="220"/>
      <c r="Z25" s="220"/>
      <c r="AA25" s="220"/>
      <c r="AB25" s="220"/>
      <c r="AC25" s="220"/>
      <c r="AD25" s="220"/>
      <c r="AE25" s="220"/>
      <c r="AF25" s="220"/>
      <c r="AG25" s="220"/>
      <c r="AH25" s="220"/>
      <c r="AI25" s="220"/>
      <c r="AJ25" s="220"/>
      <c r="AK25" s="220"/>
      <c r="AL25" s="220"/>
      <c r="AM25" s="220"/>
      <c r="AN25" s="220"/>
      <c r="AO25" s="220"/>
      <c r="AP25" s="220"/>
      <c r="AQ25" s="220"/>
      <c r="AR25" s="220"/>
      <c r="AS25" s="220"/>
      <c r="AT25" s="220"/>
      <c r="AU25" s="220"/>
      <c r="AV25" s="220"/>
      <c r="AW25" s="220"/>
      <c r="AX25" s="220"/>
      <c r="AY25" s="220"/>
      <c r="AZ25" s="220"/>
      <c r="BA25" s="220"/>
      <c r="BB25" s="220"/>
      <c r="BC25" s="220"/>
      <c r="BD25" s="220"/>
      <c r="BE25" s="220"/>
      <c r="BF25" s="220"/>
      <c r="BG25" s="220"/>
      <c r="BH25" s="220"/>
      <c r="BI25" s="220"/>
      <c r="BJ25" s="220"/>
      <c r="BK25" s="220"/>
      <c r="BL25" s="220"/>
      <c r="BM25" s="220"/>
      <c r="BN25" s="220"/>
      <c r="BO25" s="220"/>
      <c r="BP25" s="220"/>
      <c r="BQ25" s="220"/>
      <c r="BR25" s="220"/>
      <c r="BS25" s="220"/>
      <c r="BT25" s="220"/>
      <c r="BU25" s="220"/>
      <c r="BV25" s="220"/>
      <c r="BW25" s="220"/>
      <c r="BX25" s="220"/>
      <c r="BY25" s="220"/>
      <c r="BZ25" s="220"/>
      <c r="CA25" s="220"/>
      <c r="CB25" s="220"/>
      <c r="CC25" s="220"/>
      <c r="CD25" s="220"/>
      <c r="CE25" s="220"/>
      <c r="CF25" s="220"/>
      <c r="CG25" s="220"/>
      <c r="CH25" s="220"/>
    </row>
    <row r="26" customFormat="false" ht="15" hidden="false" customHeight="true" outlineLevel="0" collapsed="false">
      <c r="A26" s="339" t="s">
        <v>1193</v>
      </c>
      <c r="B26" s="340"/>
      <c r="C26" s="340"/>
      <c r="D26" s="340"/>
      <c r="E26" s="220"/>
      <c r="F26" s="220"/>
      <c r="G26" s="220"/>
      <c r="H26" s="220"/>
      <c r="I26" s="220"/>
      <c r="J26" s="220"/>
      <c r="K26" s="220"/>
      <c r="L26" s="220"/>
      <c r="M26" s="220"/>
      <c r="N26" s="220"/>
      <c r="O26" s="220"/>
      <c r="P26" s="220"/>
      <c r="Q26" s="220"/>
      <c r="R26" s="220"/>
      <c r="S26" s="220"/>
      <c r="T26" s="220"/>
      <c r="U26" s="220"/>
      <c r="V26" s="220"/>
      <c r="W26" s="220"/>
      <c r="X26" s="220"/>
      <c r="Y26" s="220"/>
      <c r="Z26" s="220"/>
      <c r="AA26" s="220"/>
      <c r="AB26" s="220"/>
      <c r="AC26" s="220"/>
      <c r="AD26" s="220"/>
      <c r="AE26" s="220"/>
      <c r="AF26" s="220"/>
      <c r="AG26" s="220"/>
      <c r="AH26" s="220"/>
      <c r="AI26" s="220"/>
      <c r="AJ26" s="220"/>
      <c r="AK26" s="220"/>
      <c r="AL26" s="220"/>
      <c r="AM26" s="220"/>
      <c r="AN26" s="220"/>
      <c r="AO26" s="220"/>
      <c r="AP26" s="220"/>
      <c r="AQ26" s="220"/>
      <c r="AR26" s="220"/>
      <c r="AS26" s="220"/>
      <c r="AT26" s="220"/>
      <c r="AU26" s="220"/>
      <c r="AV26" s="220"/>
      <c r="AW26" s="220"/>
      <c r="AX26" s="220"/>
      <c r="AY26" s="220"/>
      <c r="AZ26" s="220"/>
      <c r="BA26" s="220"/>
      <c r="BB26" s="220"/>
      <c r="BC26" s="220"/>
      <c r="BD26" s="220"/>
      <c r="BE26" s="220"/>
      <c r="BF26" s="220"/>
      <c r="BG26" s="220"/>
      <c r="BH26" s="220"/>
      <c r="BI26" s="220"/>
      <c r="BJ26" s="220"/>
      <c r="BK26" s="220"/>
      <c r="BL26" s="220"/>
      <c r="BM26" s="220"/>
      <c r="BN26" s="220"/>
      <c r="BO26" s="220"/>
      <c r="BP26" s="220"/>
      <c r="BQ26" s="220"/>
      <c r="BR26" s="220"/>
      <c r="BS26" s="220"/>
      <c r="BT26" s="220"/>
      <c r="BU26" s="220"/>
      <c r="BV26" s="220"/>
      <c r="BW26" s="220"/>
      <c r="BX26" s="220"/>
      <c r="BY26" s="220"/>
      <c r="BZ26" s="220"/>
      <c r="CA26" s="220"/>
      <c r="CB26" s="220"/>
      <c r="CC26" s="220"/>
      <c r="CD26" s="220"/>
      <c r="CE26" s="220"/>
      <c r="CF26" s="220"/>
      <c r="CG26" s="220"/>
      <c r="CH26" s="220"/>
    </row>
    <row r="27" customFormat="false" ht="15" hidden="false" customHeight="true" outlineLevel="0" collapsed="false">
      <c r="A27" s="341" t="s">
        <v>1194</v>
      </c>
      <c r="B27" s="342" t="n">
        <f aca="false">B6+B13+B20</f>
        <v>2934389</v>
      </c>
      <c r="C27" s="342" t="n">
        <f aca="false">C6+C13+C20</f>
        <v>6978708</v>
      </c>
      <c r="D27" s="342" t="n">
        <f aca="false">D6+D13+D20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1195</v>
      </c>
      <c r="B28" s="220" t="n">
        <f aca="false">B7+B14+B21</f>
        <v>-1294161.67</v>
      </c>
      <c r="C28" s="220" t="n">
        <f aca="false">C7+C14+C21</f>
        <v>0</v>
      </c>
      <c r="D28" s="220"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43" t="s">
        <v>1196</v>
      </c>
      <c r="B29" s="344" t="n">
        <f aca="false">B8+B15+B22</f>
        <v>-450000</v>
      </c>
      <c r="C29" s="344" t="n">
        <f aca="false">C8+C15+C22</f>
        <v>0</v>
      </c>
      <c r="D29" s="344" t="n">
        <f aca="false">D8+D15+D22</f>
        <v>-450000</v>
      </c>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c r="AR29" s="220"/>
      <c r="AS29" s="220"/>
      <c r="AT29" s="220"/>
      <c r="AU29" s="220"/>
      <c r="AV29" s="220"/>
      <c r="AW29" s="220"/>
      <c r="AX29" s="220"/>
      <c r="AY29" s="220"/>
      <c r="AZ29" s="220"/>
      <c r="BA29" s="220"/>
      <c r="BB29" s="220"/>
      <c r="BC29" s="220"/>
      <c r="BD29" s="220"/>
      <c r="BE29" s="220"/>
      <c r="BF29" s="220"/>
      <c r="BG29" s="220"/>
      <c r="BH29" s="220"/>
      <c r="BI29" s="220"/>
      <c r="BJ29" s="220"/>
      <c r="BK29" s="220"/>
      <c r="BL29" s="220"/>
      <c r="BM29" s="220"/>
      <c r="BN29" s="220"/>
      <c r="BO29" s="220"/>
      <c r="BP29" s="220"/>
      <c r="BQ29" s="220"/>
      <c r="BR29" s="220"/>
      <c r="BS29" s="220"/>
      <c r="BT29" s="220"/>
      <c r="BU29" s="220"/>
      <c r="BV29" s="220"/>
      <c r="BW29" s="220"/>
      <c r="BX29" s="220"/>
      <c r="BY29" s="220"/>
      <c r="BZ29" s="220"/>
      <c r="CA29" s="220"/>
      <c r="CB29" s="220"/>
      <c r="CC29" s="220"/>
      <c r="CD29" s="220"/>
      <c r="CE29" s="220"/>
      <c r="CF29" s="220"/>
      <c r="CG29" s="220"/>
      <c r="CH29" s="220"/>
    </row>
    <row r="30" customFormat="false" ht="15" hidden="false" customHeight="true" outlineLevel="0" collapsed="false">
      <c r="A30" s="345" t="s">
        <v>1197</v>
      </c>
      <c r="B30" s="346" t="n">
        <f aca="false">B9+B16+B23</f>
        <v>-1318548.68110717</v>
      </c>
      <c r="C30" s="346" t="n">
        <f aca="false">C9+C16+C23</f>
        <v>-240125.881206445</v>
      </c>
      <c r="D30" s="346" t="n">
        <f aca="false">D9+D16+D23</f>
        <v>-1558674.56231362</v>
      </c>
      <c r="E30" s="220"/>
      <c r="F30" s="220"/>
      <c r="G30" s="220"/>
      <c r="H30" s="220"/>
      <c r="I30" s="220"/>
      <c r="J30" s="220"/>
      <c r="K30" s="220"/>
      <c r="L30" s="220"/>
      <c r="M30" s="220"/>
      <c r="N30" s="220"/>
      <c r="O30" s="220"/>
      <c r="P30" s="220"/>
      <c r="Q30" s="220"/>
      <c r="R30" s="220"/>
      <c r="S30" s="220"/>
      <c r="T30" s="220"/>
      <c r="U30" s="220"/>
      <c r="V30" s="220"/>
      <c r="W30" s="220"/>
      <c r="X30" s="220"/>
      <c r="Y30" s="220"/>
      <c r="Z30" s="220"/>
      <c r="AA30" s="220"/>
      <c r="AB30" s="220"/>
      <c r="AC30" s="220"/>
      <c r="AD30" s="220"/>
      <c r="AE30" s="220"/>
      <c r="AF30" s="220"/>
      <c r="AG30" s="220"/>
      <c r="AH30" s="220"/>
      <c r="AI30" s="220"/>
      <c r="AJ30" s="220"/>
      <c r="AK30" s="220"/>
      <c r="AL30" s="220"/>
      <c r="AM30" s="220"/>
      <c r="AN30" s="220"/>
      <c r="AO30" s="220"/>
      <c r="AP30" s="220"/>
      <c r="AQ30" s="220"/>
      <c r="AR30" s="220"/>
      <c r="AS30" s="220"/>
      <c r="AT30" s="220"/>
      <c r="AU30" s="220"/>
      <c r="AV30" s="220"/>
      <c r="AW30" s="220"/>
      <c r="AX30" s="220"/>
      <c r="AY30" s="220"/>
      <c r="AZ30" s="220"/>
      <c r="BA30" s="220"/>
      <c r="BB30" s="220"/>
      <c r="BC30" s="220"/>
      <c r="BD30" s="220"/>
      <c r="BE30" s="220"/>
      <c r="BF30" s="220"/>
      <c r="BG30" s="220"/>
      <c r="BH30" s="220"/>
      <c r="BI30" s="220"/>
      <c r="BJ30" s="220"/>
      <c r="BK30" s="220"/>
      <c r="BL30" s="220"/>
      <c r="BM30" s="220"/>
      <c r="BN30" s="220"/>
      <c r="BO30" s="220"/>
      <c r="BP30" s="220"/>
      <c r="BQ30" s="220"/>
      <c r="BR30" s="220"/>
      <c r="BS30" s="220"/>
      <c r="BT30" s="220"/>
      <c r="BU30" s="220"/>
      <c r="BV30" s="220"/>
      <c r="BW30" s="220"/>
      <c r="BX30" s="220"/>
      <c r="BY30" s="220"/>
      <c r="BZ30" s="220"/>
      <c r="CA30" s="220"/>
      <c r="CB30" s="220"/>
      <c r="CC30" s="220"/>
      <c r="CD30" s="220"/>
      <c r="CE30" s="220"/>
      <c r="CF30" s="220"/>
      <c r="CG30" s="220"/>
      <c r="CH30" s="220"/>
    </row>
    <row r="31" customFormat="false" ht="15" hidden="false" customHeight="true" outlineLevel="0" collapsed="false">
      <c r="A31" s="97" t="s">
        <v>1198</v>
      </c>
      <c r="B31" s="221" t="n">
        <f aca="false">B10+B17+B24</f>
        <v>-128321.351107174</v>
      </c>
      <c r="C31" s="221" t="n">
        <f aca="false">C10+C17+C24</f>
        <v>6738582.11879356</v>
      </c>
      <c r="D31" s="221" t="n">
        <f aca="false">D10+D17+D24</f>
        <v>6610260.76768638</v>
      </c>
      <c r="E31" s="220"/>
      <c r="F31" s="220"/>
      <c r="G31" s="220"/>
      <c r="H31" s="220"/>
      <c r="I31" s="220"/>
      <c r="J31" s="220"/>
      <c r="K31" s="220"/>
      <c r="L31" s="220"/>
      <c r="M31" s="220"/>
      <c r="N31" s="220"/>
      <c r="O31" s="220"/>
      <c r="P31" s="220"/>
      <c r="Q31" s="220"/>
      <c r="R31" s="220"/>
      <c r="S31" s="220"/>
      <c r="T31" s="220"/>
      <c r="U31" s="220"/>
      <c r="V31" s="220"/>
      <c r="W31" s="220"/>
      <c r="X31" s="220"/>
      <c r="Y31" s="220"/>
      <c r="Z31" s="220"/>
      <c r="AA31" s="220"/>
      <c r="AB31" s="220"/>
      <c r="AC31" s="220"/>
      <c r="AD31" s="220"/>
      <c r="AE31" s="220"/>
      <c r="AF31" s="220"/>
      <c r="AG31" s="220"/>
      <c r="AH31" s="220"/>
      <c r="AI31" s="220"/>
      <c r="AJ31" s="220"/>
      <c r="AK31" s="220"/>
      <c r="AL31" s="220"/>
      <c r="AM31" s="220"/>
      <c r="AN31" s="220"/>
      <c r="AO31" s="220"/>
      <c r="AP31" s="220"/>
      <c r="AQ31" s="220"/>
      <c r="AR31" s="220"/>
      <c r="AS31" s="220"/>
      <c r="AT31" s="220"/>
      <c r="AU31" s="220"/>
      <c r="AV31" s="220"/>
      <c r="AW31" s="220"/>
      <c r="AX31" s="220"/>
      <c r="AY31" s="220"/>
      <c r="AZ31" s="220"/>
      <c r="BA31" s="220"/>
      <c r="BB31" s="220"/>
      <c r="BC31" s="220"/>
      <c r="BD31" s="220"/>
      <c r="BE31" s="220"/>
      <c r="BF31" s="220"/>
      <c r="BG31" s="220"/>
      <c r="BH31" s="220"/>
      <c r="BI31" s="220"/>
      <c r="BJ31" s="220"/>
      <c r="BK31" s="220"/>
      <c r="BL31" s="220"/>
      <c r="BM31" s="220"/>
      <c r="BN31" s="220"/>
      <c r="BO31" s="220"/>
      <c r="BP31" s="220"/>
      <c r="BQ31" s="220"/>
      <c r="BR31" s="220"/>
      <c r="BS31" s="220"/>
      <c r="BT31" s="220"/>
      <c r="BU31" s="220"/>
      <c r="BV31" s="220"/>
      <c r="BW31" s="220"/>
      <c r="BX31" s="220"/>
      <c r="BY31" s="220"/>
      <c r="BZ31" s="220"/>
      <c r="CA31" s="220"/>
      <c r="CB31" s="220"/>
      <c r="CC31" s="220"/>
      <c r="CD31" s="220"/>
      <c r="CE31" s="220"/>
      <c r="CF31" s="220"/>
      <c r="CG31" s="220"/>
      <c r="CH31" s="220"/>
    </row>
    <row r="32" customFormat="false" ht="15" hidden="false" customHeight="true" outlineLevel="0" collapsed="false">
      <c r="A32" s="347"/>
      <c r="B32" s="348"/>
      <c r="C32" s="348"/>
      <c r="D32" s="348"/>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312"/>
      <c r="B33" s="338"/>
      <c r="C33" s="338"/>
      <c r="D33" s="338"/>
      <c r="E33" s="220"/>
      <c r="F33" s="220"/>
      <c r="G33" s="220"/>
      <c r="H33" s="220"/>
      <c r="I33" s="220"/>
      <c r="J33" s="220"/>
      <c r="K33" s="220"/>
      <c r="L33" s="220"/>
      <c r="M33" s="220"/>
      <c r="N33" s="220"/>
      <c r="O33" s="220"/>
      <c r="P33" s="220"/>
      <c r="Q33" s="220"/>
      <c r="R33" s="220"/>
      <c r="S33" s="220"/>
      <c r="T33" s="220"/>
      <c r="U33" s="220"/>
      <c r="V33" s="220"/>
      <c r="W33" s="220"/>
      <c r="X33" s="220"/>
      <c r="Y33" s="220"/>
      <c r="Z33" s="220"/>
      <c r="AA33" s="220"/>
      <c r="AB33" s="220"/>
      <c r="AC33" s="220"/>
      <c r="AD33" s="220"/>
      <c r="AE33" s="220"/>
      <c r="AF33" s="220"/>
      <c r="AG33" s="220"/>
      <c r="AH33" s="220"/>
      <c r="AI33" s="220"/>
      <c r="AJ33" s="220"/>
      <c r="AK33" s="220"/>
      <c r="AL33" s="220"/>
      <c r="AM33" s="220"/>
      <c r="AN33" s="220"/>
      <c r="AO33" s="220"/>
      <c r="AP33" s="220"/>
      <c r="AQ33" s="220"/>
      <c r="AR33" s="220"/>
      <c r="AS33" s="220"/>
      <c r="AT33" s="220"/>
      <c r="AU33" s="220"/>
      <c r="AV33" s="220"/>
      <c r="AW33" s="220"/>
      <c r="AX33" s="220"/>
      <c r="AY33" s="220"/>
      <c r="AZ33" s="220"/>
      <c r="BA33" s="220"/>
      <c r="BB33" s="220"/>
      <c r="BC33" s="220"/>
      <c r="BD33" s="220"/>
      <c r="BE33" s="220"/>
      <c r="BF33" s="220"/>
      <c r="BG33" s="220"/>
      <c r="BH33" s="220"/>
      <c r="BI33" s="220"/>
      <c r="BJ33" s="220"/>
      <c r="BK33" s="220"/>
      <c r="BL33" s="220"/>
      <c r="BM33" s="220"/>
      <c r="BN33" s="220"/>
      <c r="BO33" s="220"/>
      <c r="BP33" s="220"/>
      <c r="BQ33" s="220"/>
      <c r="BR33" s="220"/>
      <c r="BS33" s="220"/>
      <c r="BT33" s="220"/>
      <c r="BU33" s="220"/>
      <c r="BV33" s="220"/>
      <c r="BW33" s="220"/>
      <c r="BX33" s="220"/>
      <c r="BY33" s="220"/>
      <c r="BZ33" s="220"/>
      <c r="CA33" s="220"/>
      <c r="CB33" s="220"/>
      <c r="CC33" s="220"/>
      <c r="CD33" s="220"/>
      <c r="CE33" s="220"/>
      <c r="CF33" s="220"/>
      <c r="CG33" s="220"/>
      <c r="CH33" s="220"/>
    </row>
    <row r="34" customFormat="false" ht="15" hidden="false" customHeight="true" outlineLevel="0" collapsed="false">
      <c r="A34" s="347"/>
      <c r="B34" s="348"/>
      <c r="C34" s="348"/>
      <c r="D34" s="348"/>
    </row>
    <row r="35" customFormat="false" ht="15" hidden="false" customHeight="true" outlineLevel="0" collapsed="false">
      <c r="A35" s="325"/>
      <c r="B35" s="326"/>
      <c r="C35" s="326"/>
      <c r="D35" s="326"/>
    </row>
    <row r="37" customFormat="false" ht="15" hidden="false" customHeight="true" outlineLevel="0" collapsed="false">
      <c r="A37" s="349"/>
    </row>
    <row r="38" customFormat="false" ht="15" hidden="false" customHeight="true" outlineLevel="0" collapsed="false">
      <c r="A38" s="350"/>
    </row>
    <row r="39" customFormat="false" ht="15" hidden="false" customHeight="true" outlineLevel="0" collapsed="false">
      <c r="A39" s="350"/>
    </row>
    <row r="40" customFormat="false" ht="15" hidden="false" customHeight="true" outlineLevel="0" collapsed="false">
      <c r="A40" s="350" t="s">
        <v>1199</v>
      </c>
    </row>
    <row r="41" customFormat="false" ht="15" hidden="false" customHeight="true" outlineLevel="0" collapsed="false">
      <c r="A41" s="350" t="s">
        <v>1200</v>
      </c>
    </row>
    <row r="42" customFormat="false" ht="15" hidden="false" customHeight="true" outlineLevel="0" collapsed="false">
      <c r="A42" s="350" t="s">
        <v>1201</v>
      </c>
    </row>
    <row r="43" customFormat="false" ht="15" hidden="false" customHeight="true" outlineLevel="0" collapsed="false">
      <c r="A43" s="350" t="s">
        <v>1202</v>
      </c>
    </row>
    <row r="44" customFormat="false" ht="15" hidden="false" customHeight="true" outlineLevel="0" collapsed="false">
      <c r="A44" s="350" t="s">
        <v>1203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1204</v>
      </c>
    </row>
    <row r="2" customFormat="false" ht="15" hidden="false" customHeight="true" outlineLevel="0" collapsed="false">
      <c r="A2" s="90" t="s">
        <v>1205</v>
      </c>
      <c r="B2" s="351" t="n">
        <v>0.0025</v>
      </c>
    </row>
    <row r="3" customFormat="false" ht="15" hidden="false" customHeight="true" outlineLevel="0" collapsed="false">
      <c r="A3" s="90" t="s">
        <v>1206</v>
      </c>
      <c r="B3" s="352" t="n">
        <v>0.1</v>
      </c>
    </row>
    <row r="4" customFormat="false" ht="15" hidden="false" customHeight="true" outlineLevel="0" collapsed="false"/>
    <row r="5" customFormat="false" ht="30" hidden="false" customHeight="true" outlineLevel="0" collapsed="false">
      <c r="A5" s="353" t="s">
        <v>1207</v>
      </c>
      <c r="B5" s="353" t="s">
        <v>1208</v>
      </c>
      <c r="C5" s="353" t="s">
        <v>1209</v>
      </c>
      <c r="D5" s="354" t="s">
        <v>1210</v>
      </c>
      <c r="E5" s="354" t="s">
        <v>1211</v>
      </c>
      <c r="F5" s="354" t="s">
        <v>1212</v>
      </c>
      <c r="G5" s="355" t="s">
        <v>536</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56"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26182677.7591805</v>
      </c>
      <c r="E7" s="104" t="n">
        <f aca="false">SUM(Helpers!O101:Z101)</f>
        <v>24699166.9350593</v>
      </c>
      <c r="F7" s="104" t="n">
        <f aca="false">D7-E7</f>
        <v>1483510.82412124</v>
      </c>
      <c r="G7" s="356"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53655309.9414803</v>
      </c>
      <c r="E8" s="104" t="n">
        <f aca="false">SUM(Helpers!AA101:AL101)</f>
        <v>35077463.9093678</v>
      </c>
      <c r="F8" s="104" t="n">
        <f aca="false">D8-E8</f>
        <v>18577846.0321126</v>
      </c>
      <c r="G8" s="356"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5454020.6293392</v>
      </c>
      <c r="E9" s="104" t="n">
        <f aca="false">SUM(Helpers!AM101:AX101)</f>
        <v>489046.905573</v>
      </c>
      <c r="F9" s="104" t="n">
        <f aca="false">D9-E9</f>
        <v>4964973.7237662</v>
      </c>
      <c r="G9" s="356"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56"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56"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56"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56"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56" t="n">
        <f aca="false">IF(F14&gt;=Assumptions!$B$86,Assumptions!$C$86,IF(F14&gt;=Assumptions!$B$85,Assumptions!$C$85,IF(F14&gt;=Assumptions!$B$84,Assumptions!$C$84,Assumptions!$C$83)))</f>
        <v>0.25</v>
      </c>
    </row>
    <row r="15" customFormat="false" ht="15" hidden="false" customHeight="true" outlineLevel="0" collapsed="false">
      <c r="A15" s="230"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230" t="s">
        <v>1213</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464309.685</v>
      </c>
      <c r="O16" s="104" t="n">
        <f aca="false">-SUM(Model!N203:N233)-Model!N235</f>
        <v>492474.268333333</v>
      </c>
      <c r="P16" s="104" t="n">
        <f aca="false">-SUM(Model!O203:O233)-Model!O235</f>
        <v>569226.351666667</v>
      </c>
      <c r="Q16" s="104" t="n">
        <f aca="false">-SUM(Model!P203:P233)-Model!P235</f>
        <v>487476.351666667</v>
      </c>
      <c r="R16" s="104" t="n">
        <f aca="false">-SUM(Model!Q203:Q233)-Model!Q235</f>
        <v>567713.5037</v>
      </c>
      <c r="S16" s="104" t="n">
        <f aca="false">-SUM(Model!R203:R233)-Model!R235</f>
        <v>616473.7537</v>
      </c>
      <c r="T16" s="104" t="n">
        <f aca="false">-SUM(Model!S203:S233)-Model!S235</f>
        <v>591889.3787</v>
      </c>
      <c r="U16" s="104" t="n">
        <f aca="false">-SUM(Model!T203:T233)-Model!T235</f>
        <v>604055.0037</v>
      </c>
      <c r="V16" s="104" t="n">
        <f aca="false">-SUM(Model!U203:U233)-Model!U235</f>
        <v>585305.0037</v>
      </c>
      <c r="W16" s="104" t="n">
        <f aca="false">-SUM(Model!V203:V233)-Model!V235</f>
        <v>585305.0037</v>
      </c>
      <c r="X16" s="104" t="n">
        <f aca="false">-SUM(Model!W203:W233)-Model!W235</f>
        <v>585305.0037</v>
      </c>
      <c r="Y16" s="104" t="n">
        <f aca="false">-SUM(Model!X203:X233)-Model!X235</f>
        <v>585305.0037</v>
      </c>
      <c r="Z16" s="104" t="n">
        <f aca="false">-SUM(Model!Y203:Y233)-Model!Y235</f>
        <v>585305.0037</v>
      </c>
      <c r="AA16" s="104" t="n">
        <f aca="false">-SUM(Model!Z203:Z233)-Model!Z235</f>
        <v>582754.763315385</v>
      </c>
      <c r="AB16" s="104" t="n">
        <f aca="false">-SUM(Model!AA203:AA233)-Model!AA235</f>
        <v>573139.3787</v>
      </c>
      <c r="AC16" s="104" t="n">
        <f aca="false">-SUM(Model!AB203:AB233)-Model!AB235</f>
        <v>571507.224853846</v>
      </c>
      <c r="AD16" s="104" t="n">
        <f aca="false">-SUM(Model!AC203:AC233)-Model!AC235</f>
        <v>576660.446274</v>
      </c>
      <c r="AE16" s="104" t="n">
        <f aca="false">-SUM(Model!AD203:AD233)-Model!AD235</f>
        <v>570291.145697077</v>
      </c>
      <c r="AF16" s="104" t="n">
        <f aca="false">-SUM(Model!AE203:AE233)-Model!AE235</f>
        <v>548368.068774</v>
      </c>
      <c r="AG16" s="104" t="n">
        <f aca="false">-SUM(Model!AF203:AF233)-Model!AF235</f>
        <v>548368.068774</v>
      </c>
      <c r="AH16" s="104" t="n">
        <f aca="false">-SUM(Model!AG203:AG233)-Model!AG235</f>
        <v>548368.068774</v>
      </c>
      <c r="AI16" s="104" t="n">
        <f aca="false">-SUM(Model!AH203:AH233)-Model!AH235</f>
        <v>544792.321081692</v>
      </c>
      <c r="AJ16" s="104" t="n">
        <f aca="false">-SUM(Model!AI203:AI233)-Model!AI235</f>
        <v>532484.628774</v>
      </c>
      <c r="AK16" s="104" t="n">
        <f aca="false">-SUM(Model!AJ203:AJ233)-Model!AJ235</f>
        <v>532484.628774</v>
      </c>
      <c r="AL16" s="104" t="n">
        <f aca="false">-SUM(Model!AK203:AK233)-Model!AK235</f>
        <v>532484.628774</v>
      </c>
      <c r="AM16" s="104" t="n">
        <f aca="false">-SUM(Model!AL203:AL233)-Model!AL235</f>
        <v>530696.754927846</v>
      </c>
      <c r="AN16" s="104" t="n">
        <f aca="false">-SUM(Model!AM203:AM233)-Model!AM235</f>
        <v>510463.402235539</v>
      </c>
      <c r="AO16" s="104" t="n">
        <f aca="false">-SUM(Model!AN203:AN233)-Model!AN235</f>
        <v>455632.563197077</v>
      </c>
      <c r="AP16" s="104" t="n">
        <f aca="false">-SUM(Model!AO203:AO233)-Model!AO235</f>
        <v>442383.67599948</v>
      </c>
      <c r="AQ16" s="104" t="n">
        <f aca="false">-SUM(Model!AP203:AP233)-Model!AP235</f>
        <v>442383.67599948</v>
      </c>
      <c r="AR16" s="104" t="n">
        <f aca="false">-SUM(Model!AQ203:AQ233)-Model!AQ235</f>
        <v>436178.543464865</v>
      </c>
      <c r="AS16" s="104" t="n">
        <f aca="false">-SUM(Model!AR203:AR233)-Model!AR235</f>
        <v>416563.15884948</v>
      </c>
      <c r="AT16" s="104" t="n">
        <f aca="false">-SUM(Model!AS203:AS233)-Model!AS235</f>
        <v>413521.427214865</v>
      </c>
      <c r="AU16" s="104" t="n">
        <f aca="false">-SUM(Model!AT203:AT233)-Model!AT235</f>
        <v>403906.04259948</v>
      </c>
      <c r="AV16" s="104" t="n">
        <f aca="false">-SUM(Model!AU203:AU233)-Model!AU235</f>
        <v>403906.04259948</v>
      </c>
      <c r="AW16" s="104" t="n">
        <f aca="false">-SUM(Model!AV203:AV233)-Model!AV235</f>
        <v>403906.04259948</v>
      </c>
      <c r="AX16" s="104" t="n">
        <f aca="false">-SUM(Model!AW203:AW233)-Model!AW235</f>
        <v>403906.04259948</v>
      </c>
      <c r="AY16" s="104" t="n">
        <f aca="false">-SUM(Model!AX203:AX233)-Model!AX235</f>
        <v>403906.04259948</v>
      </c>
      <c r="AZ16" s="104" t="n">
        <f aca="false">-SUM(Model!AY203:AY233)-Model!AY235</f>
        <v>403906.04259948</v>
      </c>
      <c r="BA16" s="104" t="n">
        <f aca="false">-SUM(Model!AZ203:AZ233)-Model!AZ235</f>
        <v>403906.04259948</v>
      </c>
      <c r="BB16" s="104" t="n">
        <f aca="false">-SUM(Model!BA203:BA233)-Model!BA235</f>
        <v>411984.16345147</v>
      </c>
      <c r="BC16" s="104" t="n">
        <f aca="false">-SUM(Model!BB203:BB233)-Model!BB235</f>
        <v>411984.16345147</v>
      </c>
      <c r="BD16" s="104" t="n">
        <f aca="false">-SUM(Model!BC203:BC233)-Model!BC235</f>
        <v>411984.16345147</v>
      </c>
      <c r="BE16" s="104" t="n">
        <f aca="false">-SUM(Model!BD203:BD233)-Model!BD235</f>
        <v>411984.16345147</v>
      </c>
      <c r="BF16" s="104" t="n">
        <f aca="false">-SUM(Model!BE203:BE233)-Model!BE235</f>
        <v>411984.16345147</v>
      </c>
      <c r="BG16" s="104" t="n">
        <f aca="false">-SUM(Model!BF203:BF233)-Model!BF235</f>
        <v>411984.16345147</v>
      </c>
      <c r="BH16" s="104" t="n">
        <f aca="false">-SUM(Model!BG203:BG233)-Model!BG235</f>
        <v>411984.16345147</v>
      </c>
      <c r="BI16" s="104" t="n">
        <f aca="false">-SUM(Model!BH203:BH233)-Model!BH235</f>
        <v>411984.16345147</v>
      </c>
      <c r="BJ16" s="104" t="n">
        <f aca="false">-SUM(Model!BI203:BI233)-Model!BI235</f>
        <v>411984.16345147</v>
      </c>
      <c r="BK16" s="104" t="n">
        <f aca="false">-SUM(Model!BJ203:BJ233)-Model!BJ235</f>
        <v>411984.16345147</v>
      </c>
      <c r="BL16" s="104" t="n">
        <f aca="false">-SUM(Model!BK203:BK233)-Model!BK235</f>
        <v>411984.16345147</v>
      </c>
      <c r="BM16" s="104" t="n">
        <f aca="false">-SUM(Model!BL203:BL233)-Model!BL235</f>
        <v>411984.16345147</v>
      </c>
      <c r="BN16" s="104" t="n">
        <f aca="false">-SUM(Model!BM203:BM233)-Model!BM235</f>
        <v>420223.846720499</v>
      </c>
      <c r="BO16" s="104" t="n">
        <f aca="false">-SUM(Model!BN203:BN233)-Model!BN235</f>
        <v>420223.846720499</v>
      </c>
      <c r="BP16" s="104" t="n">
        <f aca="false">-SUM(Model!BO203:BO233)-Model!BO235</f>
        <v>420223.846720499</v>
      </c>
      <c r="BQ16" s="104" t="n">
        <f aca="false">-SUM(Model!BP203:BP233)-Model!BP235</f>
        <v>420223.846720499</v>
      </c>
      <c r="BR16" s="104" t="n">
        <f aca="false">-SUM(Model!BQ203:BQ233)-Model!BQ235</f>
        <v>420223.846720499</v>
      </c>
      <c r="BS16" s="104" t="n">
        <f aca="false">-SUM(Model!BR203:BR233)-Model!BR235</f>
        <v>420223.846720499</v>
      </c>
      <c r="BT16" s="104" t="n">
        <f aca="false">-SUM(Model!BS203:BS233)-Model!BS235</f>
        <v>420223.846720499</v>
      </c>
      <c r="BU16" s="104" t="n">
        <f aca="false">-SUM(Model!BT203:BT233)-Model!BT235</f>
        <v>420223.846720499</v>
      </c>
      <c r="BV16" s="104" t="n">
        <f aca="false">-SUM(Model!BU203:BU233)-Model!BU235</f>
        <v>420223.846720499</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230" t="s">
        <v>1214</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10</v>
      </c>
      <c r="V17" s="9" t="n">
        <f aca="false">SUMPRODUCT((Projects!$G$2:$G$14="Yes")*(V$15&gt;=Projects!$C$2:$C$14)*(V$15&lt;Projects!$C$2:$C$14+Projects!$D$2:$D$14))+SUMPRODUCT((Projects!$G$17:$G$46="Yes")*(V$15&gt;=Projects!$C$17:$C$46)*(V$15&lt;Projects!$C$17:$C$46+Projects!$D$17:$D$46))</f>
        <v>10</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10</v>
      </c>
      <c r="Y17" s="9" t="n">
        <f aca="false">SUMPRODUCT((Projects!$G$2:$G$14="Yes")*(Y$15&gt;=Projects!$C$2:$C$14)*(Y$15&lt;Projects!$C$2:$C$14+Projects!$D$2:$D$14))+SUMPRODUCT((Projects!$G$17:$G$46="Yes")*(Y$15&gt;=Projects!$C$17:$C$46)*(Y$15&lt;Projects!$C$17:$C$46+Projects!$D$17:$D$46))</f>
        <v>11</v>
      </c>
      <c r="Z17" s="9" t="n">
        <f aca="false">SUMPRODUCT((Projects!$G$2:$G$14="Yes")*(Z$15&gt;=Projects!$C$2:$C$14)*(Z$15&lt;Projects!$C$2:$C$14+Projects!$D$2:$D$14))+SUMPRODUCT((Projects!$G$17:$G$46="Yes")*(Z$15&gt;=Projects!$C$17:$C$46)*(Z$15&lt;Projects!$C$17:$C$46+Projects!$D$17:$D$46))</f>
        <v>11</v>
      </c>
      <c r="AA17" s="9" t="n">
        <f aca="false">SUMPRODUCT((Projects!$G$2:$G$14="Yes")*(AA$15&gt;=Projects!$C$2:$C$14)*(AA$15&lt;Projects!$C$2:$C$14+Projects!$D$2:$D$14))+SUMPRODUCT((Projects!$G$17:$G$46="Yes")*(AA$15&gt;=Projects!$C$17:$C$46)*(AA$15&lt;Projects!$C$17:$C$46+Projects!$D$17:$D$46))</f>
        <v>11</v>
      </c>
      <c r="AB17" s="9" t="n">
        <f aca="false">SUMPRODUCT((Projects!$G$2:$G$14="Yes")*(AB$15&gt;=Projects!$C$2:$C$14)*(AB$15&lt;Projects!$C$2:$C$14+Projects!$D$2:$D$14))+SUMPRODUCT((Projects!$G$17:$G$46="Yes")*(AB$15&gt;=Projects!$C$17:$C$46)*(AB$15&lt;Projects!$C$17:$C$46+Projects!$D$17:$D$46))</f>
        <v>11</v>
      </c>
      <c r="AC17" s="9" t="n">
        <f aca="false">SUMPRODUCT((Projects!$G$2:$G$14="Yes")*(AC$15&gt;=Projects!$C$2:$C$14)*(AC$15&lt;Projects!$C$2:$C$14+Projects!$D$2:$D$14))+SUMPRODUCT((Projects!$G$17:$G$46="Yes")*(AC$15&gt;=Projects!$C$17:$C$46)*(AC$15&lt;Projects!$C$17:$C$46+Projects!$D$17:$D$46))</f>
        <v>10</v>
      </c>
      <c r="AD17" s="9" t="n">
        <f aca="false">SUMPRODUCT((Projects!$G$2:$G$14="Yes")*(AD$15&gt;=Projects!$C$2:$C$14)*(AD$15&lt;Projects!$C$2:$C$14+Projects!$D$2:$D$14))+SUMPRODUCT((Projects!$G$17:$G$46="Yes")*(AD$15&gt;=Projects!$C$17:$C$46)*(AD$15&lt;Projects!$C$17:$C$46+Projects!$D$17:$D$46))</f>
        <v>9</v>
      </c>
      <c r="AE17" s="9" t="n">
        <f aca="false">SUMPRODUCT((Projects!$G$2:$G$14="Yes")*(AE$15&gt;=Projects!$C$2:$C$14)*(AE$15&lt;Projects!$C$2:$C$14+Projects!$D$2:$D$14))+SUMPRODUCT((Projects!$G$17:$G$46="Yes")*(AE$15&gt;=Projects!$C$17:$C$46)*(AE$15&lt;Projects!$C$17:$C$46+Projects!$D$17:$D$46))</f>
        <v>9</v>
      </c>
      <c r="AF17" s="9" t="n">
        <f aca="false">SUMPRODUCT((Projects!$G$2:$G$14="Yes")*(AF$15&gt;=Projects!$C$2:$C$14)*(AF$15&lt;Projects!$C$2:$C$14+Projects!$D$2:$D$14))+SUMPRODUCT((Projects!$G$17:$G$46="Yes")*(AF$15&gt;=Projects!$C$17:$C$46)*(AF$15&lt;Projects!$C$17:$C$46+Projects!$D$17:$D$46))</f>
        <v>10</v>
      </c>
      <c r="AG17" s="9" t="n">
        <f aca="false">SUMPRODUCT((Projects!$G$2:$G$14="Yes")*(AG$15&gt;=Projects!$C$2:$C$14)*(AG$15&lt;Projects!$C$2:$C$14+Projects!$D$2:$D$14))+SUMPRODUCT((Projects!$G$17:$G$46="Yes")*(AG$15&gt;=Projects!$C$17:$C$46)*(AG$15&lt;Projects!$C$17:$C$46+Projects!$D$17:$D$46))</f>
        <v>10</v>
      </c>
      <c r="AH17" s="9" t="n">
        <f aca="false">SUMPRODUCT((Projects!$G$2:$G$14="Yes")*(AH$15&gt;=Projects!$C$2:$C$14)*(AH$15&lt;Projects!$C$2:$C$14+Projects!$D$2:$D$14))+SUMPRODUCT((Projects!$G$17:$G$46="Yes")*(AH$15&gt;=Projects!$C$17:$C$46)*(AH$15&lt;Projects!$C$17:$C$46+Projects!$D$17:$D$46))</f>
        <v>8</v>
      </c>
      <c r="AI17" s="9" t="n">
        <f aca="false">SUMPRODUCT((Projects!$G$2:$G$14="Yes")*(AI$15&gt;=Projects!$C$2:$C$14)*(AI$15&lt;Projects!$C$2:$C$14+Projects!$D$2:$D$14))+SUMPRODUCT((Projects!$G$17:$G$46="Yes")*(AI$15&gt;=Projects!$C$17:$C$46)*(AI$15&lt;Projects!$C$17:$C$46+Projects!$D$17:$D$46))</f>
        <v>7</v>
      </c>
      <c r="AJ17" s="9" t="n">
        <f aca="false">SUMPRODUCT((Projects!$G$2:$G$14="Yes")*(AJ$15&gt;=Projects!$C$2:$C$14)*(AJ$15&lt;Projects!$C$2:$C$14+Projects!$D$2:$D$14))+SUMPRODUCT((Projects!$G$17:$G$46="Yes")*(AJ$15&gt;=Projects!$C$17:$C$46)*(AJ$15&lt;Projects!$C$17:$C$46+Projects!$D$17:$D$46))</f>
        <v>7</v>
      </c>
      <c r="AK17" s="9" t="n">
        <f aca="false">SUMPRODUCT((Projects!$G$2:$G$14="Yes")*(AK$15&gt;=Projects!$C$2:$C$14)*(AK$15&lt;Projects!$C$2:$C$14+Projects!$D$2:$D$14))+SUMPRODUCT((Projects!$G$17:$G$46="Yes")*(AK$15&gt;=Projects!$C$17:$C$46)*(AK$15&lt;Projects!$C$17:$C$46+Projects!$D$17:$D$46))</f>
        <v>7</v>
      </c>
      <c r="AL17" s="9" t="n">
        <f aca="false">SUMPRODUCT((Projects!$G$2:$G$14="Yes")*(AL$15&gt;=Projects!$C$2:$C$14)*(AL$15&lt;Projects!$C$2:$C$14+Projects!$D$2:$D$14))+SUMPRODUCT((Projects!$G$17:$G$46="Yes")*(AL$15&gt;=Projects!$C$17:$C$46)*(AL$15&lt;Projects!$C$17:$C$46+Projects!$D$17:$D$46))</f>
        <v>5</v>
      </c>
      <c r="AM17" s="9" t="n">
        <f aca="false">SUMPRODUCT((Projects!$G$2:$G$14="Yes")*(AM$15&gt;=Projects!$C$2:$C$14)*(AM$15&lt;Projects!$C$2:$C$14+Projects!$D$2:$D$14))+SUMPRODUCT((Projects!$G$17:$G$46="Yes")*(AM$15&gt;=Projects!$C$17:$C$46)*(AM$15&lt;Projects!$C$17:$C$46+Projects!$D$17:$D$46))</f>
        <v>4</v>
      </c>
      <c r="AN17" s="9" t="n">
        <f aca="false">SUMPRODUCT((Projects!$G$2:$G$14="Yes")*(AN$15&gt;=Projects!$C$2:$C$14)*(AN$15&lt;Projects!$C$2:$C$14+Projects!$D$2:$D$14))+SUMPRODUCT((Projects!$G$17:$G$46="Yes")*(AN$15&gt;=Projects!$C$17:$C$46)*(AN$15&lt;Projects!$C$17:$C$46+Projects!$D$17:$D$46))</f>
        <v>3</v>
      </c>
      <c r="AO17" s="9" t="n">
        <f aca="false">SUMPRODUCT((Projects!$G$2:$G$14="Yes")*(AO$15&gt;=Projects!$C$2:$C$14)*(AO$15&lt;Projects!$C$2:$C$14+Projects!$D$2:$D$14))+SUMPRODUCT((Projects!$G$17:$G$46="Yes")*(AO$15&gt;=Projects!$C$17:$C$46)*(AO$15&lt;Projects!$C$17:$C$46+Projects!$D$17:$D$46))</f>
        <v>3</v>
      </c>
      <c r="AP17" s="9" t="n">
        <f aca="false">SUMPRODUCT((Projects!$G$2:$G$14="Yes")*(AP$15&gt;=Projects!$C$2:$C$14)*(AP$15&lt;Projects!$C$2:$C$14+Projects!$D$2:$D$14))+SUMPRODUCT((Projects!$G$17:$G$46="Yes")*(AP$15&gt;=Projects!$C$17:$C$46)*(AP$15&lt;Projects!$C$17:$C$46+Projects!$D$17:$D$46))</f>
        <v>3</v>
      </c>
      <c r="AQ17" s="9" t="n">
        <f aca="false">SUMPRODUCT((Projects!$G$2:$G$14="Yes")*(AQ$15&gt;=Projects!$C$2:$C$14)*(AQ$15&lt;Projects!$C$2:$C$14+Projects!$D$2:$D$14))+SUMPRODUCT((Projects!$G$17:$G$46="Yes")*(AQ$15&gt;=Projects!$C$17:$C$46)*(AQ$15&lt;Projects!$C$17:$C$46+Projects!$D$17:$D$46))</f>
        <v>3</v>
      </c>
      <c r="AR17" s="9" t="n">
        <f aca="false">SUMPRODUCT((Projects!$G$2:$G$14="Yes")*(AR$15&gt;=Projects!$C$2:$C$14)*(AR$15&lt;Projects!$C$2:$C$14+Projects!$D$2:$D$14))+SUMPRODUCT((Projects!$G$17:$G$46="Yes")*(AR$15&gt;=Projects!$C$17:$C$46)*(AR$15&lt;Projects!$C$17:$C$46+Projects!$D$17:$D$46))</f>
        <v>3</v>
      </c>
      <c r="AS17" s="9" t="n">
        <f aca="false">SUMPRODUCT((Projects!$G$2:$G$14="Yes")*(AS$15&gt;=Projects!$C$2:$C$14)*(AS$15&lt;Projects!$C$2:$C$14+Projects!$D$2:$D$14))+SUMPRODUCT((Projects!$G$17:$G$46="Yes")*(AS$15&gt;=Projects!$C$17:$C$46)*(AS$15&lt;Projects!$C$17:$C$46+Projects!$D$17:$D$46))</f>
        <v>3</v>
      </c>
      <c r="AT17" s="9" t="n">
        <f aca="false">SUMPRODUCT((Projects!$G$2:$G$14="Yes")*(AT$15&gt;=Projects!$C$2:$C$14)*(AT$15&lt;Projects!$C$2:$C$14+Projects!$D$2:$D$14))+SUMPRODUCT((Projects!$G$17:$G$46="Yes")*(AT$15&gt;=Projects!$C$17:$C$46)*(AT$15&lt;Projects!$C$17:$C$46+Projects!$D$17:$D$46))</f>
        <v>3</v>
      </c>
      <c r="AU17" s="9" t="n">
        <f aca="false">SUMPRODUCT((Projects!$G$2:$G$14="Yes")*(AU$15&gt;=Projects!$C$2:$C$14)*(AU$15&lt;Projects!$C$2:$C$14+Projects!$D$2:$D$14))+SUMPRODUCT((Projects!$G$17:$G$46="Yes")*(AU$15&gt;=Projects!$C$17:$C$46)*(AU$15&lt;Projects!$C$17:$C$46+Projects!$D$17:$D$46))</f>
        <v>3</v>
      </c>
      <c r="AV17" s="9" t="n">
        <f aca="false">SUMPRODUCT((Projects!$G$2:$G$14="Yes")*(AV$15&gt;=Projects!$C$2:$C$14)*(AV$15&lt;Projects!$C$2:$C$14+Projects!$D$2:$D$14))+SUMPRODUCT((Projects!$G$17:$G$46="Yes")*(AV$15&gt;=Projects!$C$17:$C$46)*(AV$15&lt;Projects!$C$17:$C$46+Projects!$D$17:$D$46))</f>
        <v>2</v>
      </c>
      <c r="AW17" s="9" t="n">
        <f aca="false">SUMPRODUCT((Projects!$G$2:$G$14="Yes")*(AW$15&gt;=Projects!$C$2:$C$14)*(AW$15&lt;Projects!$C$2:$C$14+Projects!$D$2:$D$14))+SUMPRODUCT((Projects!$G$17:$G$46="Yes")*(AW$15&gt;=Projects!$C$17:$C$46)*(AW$15&lt;Projects!$C$17:$C$46+Projects!$D$17:$D$46))</f>
        <v>1</v>
      </c>
      <c r="AX17" s="9" t="n">
        <f aca="false">SUMPRODUCT((Projects!$G$2:$G$14="Yes")*(AX$15&gt;=Projects!$C$2:$C$14)*(AX$15&lt;Projects!$C$2:$C$14+Projects!$D$2:$D$14))+SUMPRODUCT((Projects!$G$17:$G$46="Yes")*(AX$15&gt;=Projects!$C$17:$C$46)*(AX$15&lt;Projects!$C$17:$C$46+Projects!$D$17:$D$46))</f>
        <v>1</v>
      </c>
      <c r="AY17" s="9" t="n">
        <f aca="false">SUMPRODUCT((Projects!$G$2:$G$14="Yes")*(AY$15&gt;=Projects!$C$2:$C$14)*(AY$15&lt;Projects!$C$2:$C$14+Projects!$D$2:$D$14))+SUMPRODUCT((Projects!$G$17:$G$46="Yes")*(AY$15&gt;=Projects!$C$17:$C$46)*(AY$15&lt;Projects!$C$17:$C$46+Projects!$D$17:$D$46))</f>
        <v>1</v>
      </c>
      <c r="AZ17" s="9" t="n">
        <f aca="false">SUMPRODUCT((Projects!$G$2:$G$14="Yes")*(AZ$15&gt;=Projects!$C$2:$C$14)*(AZ$15&lt;Projects!$C$2:$C$14+Projects!$D$2:$D$14))+SUMPRODUCT((Projects!$G$17:$G$46="Yes")*(AZ$15&gt;=Projects!$C$17:$C$46)*(AZ$15&lt;Projects!$C$17:$C$46+Projects!$D$17:$D$46))</f>
        <v>1</v>
      </c>
      <c r="BA17" s="9" t="n">
        <f aca="false">SUMPRODUCT((Projects!$G$2:$G$14="Yes")*(BA$15&gt;=Projects!$C$2:$C$14)*(BA$15&lt;Projects!$C$2:$C$14+Projects!$D$2:$D$14))+SUMPRODUCT((Projects!$G$17:$G$46="Yes")*(BA$15&gt;=Projects!$C$17:$C$46)*(BA$15&lt;Projects!$C$17:$C$46+Projects!$D$17:$D$46))</f>
        <v>1</v>
      </c>
      <c r="BB17" s="9" t="n">
        <f aca="false">SUMPRODUCT((Projects!$G$2:$G$14="Yes")*(BB$15&gt;=Projects!$C$2:$C$14)*(BB$15&lt;Projects!$C$2:$C$14+Projects!$D$2:$D$14))+SUMPRODUCT((Projects!$G$17:$G$46="Yes")*(BB$15&gt;=Projects!$C$17:$C$46)*(BB$15&lt;Projects!$C$17:$C$46+Projects!$D$17:$D$46))</f>
        <v>1</v>
      </c>
      <c r="BC17" s="9" t="n">
        <f aca="false">SUMPRODUCT((Projects!$G$2:$G$14="Yes")*(BC$15&gt;=Projects!$C$2:$C$14)*(BC$15&lt;Projects!$C$2:$C$14+Projects!$D$2:$D$14))+SUMPRODUCT((Projects!$G$17:$G$46="Yes")*(BC$15&gt;=Projects!$C$17:$C$46)*(BC$15&lt;Projects!$C$17:$C$46+Projects!$D$17:$D$46))</f>
        <v>1</v>
      </c>
      <c r="BD17" s="9" t="n">
        <f aca="false">SUMPRODUCT((Projects!$G$2:$G$14="Yes")*(BD$15&gt;=Projects!$C$2:$C$14)*(BD$15&lt;Projects!$C$2:$C$14+Projects!$D$2:$D$14))+SUMPRODUCT((Projects!$G$17:$G$46="Yes")*(BD$15&gt;=Projects!$C$17:$C$46)*(BD$15&lt;Projects!$C$17:$C$46+Projects!$D$17:$D$46))</f>
        <v>1</v>
      </c>
      <c r="BE17" s="9" t="n">
        <f aca="false">SUMPRODUCT((Projects!$G$2:$G$14="Yes")*(BE$15&gt;=Projects!$C$2:$C$14)*(BE$15&lt;Projects!$C$2:$C$14+Projects!$D$2:$D$14))+SUMPRODUCT((Projects!$G$17:$G$46="Yes")*(BE$15&gt;=Projects!$C$17:$C$46)*(BE$15&lt;Projects!$C$17:$C$46+Projects!$D$17:$D$46))</f>
        <v>1</v>
      </c>
      <c r="BF17" s="9" t="n">
        <f aca="false">SUMPRODUCT((Projects!$G$2:$G$14="Yes")*(BF$15&gt;=Projects!$C$2:$C$14)*(BF$15&lt;Projects!$C$2:$C$14+Projects!$D$2:$D$14))+SUMPRODUCT((Projects!$G$17:$G$46="Yes")*(BF$15&gt;=Projects!$C$17:$C$46)*(BF$15&lt;Projects!$C$17:$C$46+Projects!$D$17:$D$46))</f>
        <v>1</v>
      </c>
      <c r="BG17" s="9" t="n">
        <f aca="false">SUMPRODUCT((Projects!$G$2:$G$14="Yes")*(BG$15&gt;=Projects!$C$2:$C$14)*(BG$15&lt;Projects!$C$2:$C$14+Projects!$D$2:$D$14))+SUMPRODUCT((Projects!$G$17:$G$46="Yes")*(BG$15&gt;=Projects!$C$17:$C$46)*(BG$15&lt;Projects!$C$17:$C$46+Projects!$D$17:$D$46))</f>
        <v>1</v>
      </c>
      <c r="BH17" s="9" t="n">
        <f aca="false">SUMPRODUCT((Projects!$G$2:$G$14="Yes")*(BH$15&gt;=Projects!$C$2:$C$14)*(BH$15&lt;Projects!$C$2:$C$14+Projects!$D$2:$D$14))+SUMPRODUCT((Projects!$G$17:$G$46="Yes")*(BH$15&gt;=Projects!$C$17:$C$46)*(BH$15&lt;Projects!$C$17:$C$46+Projects!$D$17:$D$46))</f>
        <v>1</v>
      </c>
      <c r="BI17" s="9" t="n">
        <f aca="false">SUMPRODUCT((Projects!$G$2:$G$14="Yes")*(BI$15&gt;=Projects!$C$2:$C$14)*(BI$15&lt;Projects!$C$2:$C$14+Projects!$D$2:$D$14))+SUMPRODUCT((Projects!$G$17:$G$46="Yes")*(BI$15&gt;=Projects!$C$17:$C$46)*(BI$15&lt;Projects!$C$17:$C$46+Projects!$D$17:$D$46))</f>
        <v>1</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230" t="s">
        <v>1215</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154769.895</v>
      </c>
      <c r="O18" s="104" t="n">
        <f aca="false">IFERROR(O16/O17,0)</f>
        <v>98494.8536666667</v>
      </c>
      <c r="P18" s="104" t="n">
        <f aca="false">IFERROR(P16/P17,0)</f>
        <v>94871.0586111111</v>
      </c>
      <c r="Q18" s="104" t="n">
        <f aca="false">IFERROR(Q16/Q17,0)</f>
        <v>81246.0586111111</v>
      </c>
      <c r="R18" s="104" t="n">
        <f aca="false">IFERROR(R16/R17,0)</f>
        <v>81101.9291</v>
      </c>
      <c r="S18" s="104" t="n">
        <f aca="false">IFERROR(S16/S17,0)</f>
        <v>77059.2192125</v>
      </c>
      <c r="T18" s="104" t="n">
        <f aca="false">IFERROR(T16/T17,0)</f>
        <v>65765.4865222222</v>
      </c>
      <c r="U18" s="104" t="n">
        <f aca="false">IFERROR(U16/U17,0)</f>
        <v>60405.50037</v>
      </c>
      <c r="V18" s="104" t="n">
        <f aca="false">IFERROR(V16/V17,0)</f>
        <v>58530.50037</v>
      </c>
      <c r="W18" s="104" t="n">
        <f aca="false">IFERROR(W16/W17,0)</f>
        <v>58530.50037</v>
      </c>
      <c r="X18" s="104" t="n">
        <f aca="false">IFERROR(X16/X17,0)</f>
        <v>58530.50037</v>
      </c>
      <c r="Y18" s="104" t="n">
        <f aca="false">IFERROR(Y16/Y17,0)</f>
        <v>53209.5457909091</v>
      </c>
      <c r="Z18" s="104" t="n">
        <f aca="false">IFERROR(Z16/Z17,0)</f>
        <v>53209.5457909091</v>
      </c>
      <c r="AA18" s="104" t="n">
        <f aca="false">IFERROR(AA16/AA17,0)</f>
        <v>52977.7057559441</v>
      </c>
      <c r="AB18" s="104" t="n">
        <f aca="false">IFERROR(AB16/AB17,0)</f>
        <v>52103.5798818182</v>
      </c>
      <c r="AC18" s="104" t="n">
        <f aca="false">IFERROR(AC16/AC17,0)</f>
        <v>57150.7224853846</v>
      </c>
      <c r="AD18" s="104" t="n">
        <f aca="false">IFERROR(AD16/AD17,0)</f>
        <v>64073.3829193333</v>
      </c>
      <c r="AE18" s="104" t="n">
        <f aca="false">IFERROR(AE16/AE17,0)</f>
        <v>63365.6828552308</v>
      </c>
      <c r="AF18" s="104" t="n">
        <f aca="false">IFERROR(AF16/AF17,0)</f>
        <v>54836.8068774</v>
      </c>
      <c r="AG18" s="104" t="n">
        <f aca="false">IFERROR(AG16/AG17,0)</f>
        <v>54836.8068774</v>
      </c>
      <c r="AH18" s="104" t="n">
        <f aca="false">IFERROR(AH16/AH17,0)</f>
        <v>68546.00859675</v>
      </c>
      <c r="AI18" s="104" t="n">
        <f aca="false">IFERROR(AI16/AI17,0)</f>
        <v>77827.4744402418</v>
      </c>
      <c r="AJ18" s="104" t="n">
        <f aca="false">IFERROR(AJ16/AJ17,0)</f>
        <v>76069.232682</v>
      </c>
      <c r="AK18" s="104" t="n">
        <f aca="false">IFERROR(AK16/AK17,0)</f>
        <v>76069.232682</v>
      </c>
      <c r="AL18" s="104" t="n">
        <f aca="false">IFERROR(AL16/AL17,0)</f>
        <v>106496.9257548</v>
      </c>
      <c r="AM18" s="104" t="n">
        <f aca="false">IFERROR(AM16/AM17,0)</f>
        <v>132674.188731962</v>
      </c>
      <c r="AN18" s="104" t="n">
        <f aca="false">IFERROR(AN16/AN17,0)</f>
        <v>170154.467411846</v>
      </c>
      <c r="AO18" s="104" t="n">
        <f aca="false">IFERROR(AO16/AO17,0)</f>
        <v>151877.521065692</v>
      </c>
      <c r="AP18" s="104" t="n">
        <f aca="false">IFERROR(AP16/AP17,0)</f>
        <v>147461.22533316</v>
      </c>
      <c r="AQ18" s="104" t="n">
        <f aca="false">IFERROR(AQ16/AQ17,0)</f>
        <v>147461.22533316</v>
      </c>
      <c r="AR18" s="104" t="n">
        <f aca="false">IFERROR(AR16/AR17,0)</f>
        <v>145392.847821622</v>
      </c>
      <c r="AS18" s="104" t="n">
        <f aca="false">IFERROR(AS16/AS17,0)</f>
        <v>138854.38628316</v>
      </c>
      <c r="AT18" s="104" t="n">
        <f aca="false">IFERROR(AT16/AT17,0)</f>
        <v>137840.475738288</v>
      </c>
      <c r="AU18" s="104" t="n">
        <f aca="false">IFERROR(AU16/AU17,0)</f>
        <v>134635.34753316</v>
      </c>
      <c r="AV18" s="104" t="n">
        <f aca="false">IFERROR(AV16/AV17,0)</f>
        <v>201953.02129974</v>
      </c>
      <c r="AW18" s="104" t="n">
        <f aca="false">IFERROR(AW16/AW17,0)</f>
        <v>403906.04259948</v>
      </c>
      <c r="AX18" s="104" t="n">
        <f aca="false">IFERROR(AX16/AX17,0)</f>
        <v>403906.04259948</v>
      </c>
      <c r="AY18" s="104" t="n">
        <f aca="false">IFERROR(AY16/AY17,0)</f>
        <v>403906.04259948</v>
      </c>
      <c r="AZ18" s="104" t="n">
        <f aca="false">IFERROR(AZ16/AZ17,0)</f>
        <v>403906.04259948</v>
      </c>
      <c r="BA18" s="104" t="n">
        <f aca="false">IFERROR(BA16/BA17,0)</f>
        <v>403906.04259948</v>
      </c>
      <c r="BB18" s="104" t="n">
        <f aca="false">IFERROR(BB16/BB17,0)</f>
        <v>411984.16345147</v>
      </c>
      <c r="BC18" s="104" t="n">
        <f aca="false">IFERROR(BC16/BC17,0)</f>
        <v>411984.16345147</v>
      </c>
      <c r="BD18" s="104" t="n">
        <f aca="false">IFERROR(BD16/BD17,0)</f>
        <v>411984.16345147</v>
      </c>
      <c r="BE18" s="104" t="n">
        <f aca="false">IFERROR(BE16/BE17,0)</f>
        <v>411984.16345147</v>
      </c>
      <c r="BF18" s="104" t="n">
        <f aca="false">IFERROR(BF16/BF17,0)</f>
        <v>411984.16345147</v>
      </c>
      <c r="BG18" s="104" t="n">
        <f aca="false">IFERROR(BG16/BG17,0)</f>
        <v>411984.16345147</v>
      </c>
      <c r="BH18" s="104" t="n">
        <f aca="false">IFERROR(BH16/BH17,0)</f>
        <v>411984.16345147</v>
      </c>
      <c r="BI18" s="104" t="n">
        <f aca="false">IFERROR(BI16/BI17,0)</f>
        <v>411984.16345147</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1216</v>
      </c>
      <c r="B20" s="124" t="s">
        <v>905</v>
      </c>
      <c r="C20" s="124" t="s">
        <v>581</v>
      </c>
      <c r="D20" s="124" t="s">
        <v>583</v>
      </c>
      <c r="E20" s="124" t="s">
        <v>556</v>
      </c>
      <c r="F20" s="124" t="s">
        <v>1217</v>
      </c>
      <c r="G20" s="124" t="s">
        <v>582</v>
      </c>
      <c r="H20" s="124" t="s">
        <v>1218</v>
      </c>
      <c r="I20" s="124" t="s">
        <v>1219</v>
      </c>
      <c r="J20" s="124" t="s">
        <v>1220</v>
      </c>
      <c r="K20" s="124" t="s">
        <v>1221</v>
      </c>
      <c r="L20" s="124" t="s">
        <v>1222</v>
      </c>
      <c r="M20" s="124" t="s">
        <v>1223</v>
      </c>
      <c r="N20" s="124" t="s">
        <v>1224</v>
      </c>
      <c r="O20" s="124" t="s">
        <v>1225</v>
      </c>
      <c r="P20" s="124" t="s">
        <v>476</v>
      </c>
      <c r="Q20" s="124" t="s">
        <v>1226</v>
      </c>
    </row>
    <row r="21" customFormat="false" ht="15" hidden="false" customHeight="true" outlineLevel="0" collapsed="false">
      <c r="A21" s="1" t="str">
        <f aca="false">Projects!A17</f>
        <v>Dickens</v>
      </c>
      <c r="B21" s="104" t="n">
        <f aca="false">Projects!B17</f>
        <v>15316015</v>
      </c>
      <c r="C21" s="9" t="n">
        <f aca="false">Projects!C17</f>
        <v>14</v>
      </c>
      <c r="D21" s="9" t="n">
        <f aca="false">Projects!D17</f>
        <v>19</v>
      </c>
      <c r="E21" s="1" t="str">
        <f aca="false">Projects!G17</f>
        <v>Yes</v>
      </c>
      <c r="F21" s="1" t="str">
        <f aca="false">Projects!M17</f>
        <v>Yes</v>
      </c>
      <c r="G21" s="9" t="n">
        <f aca="false">C21+D21-1</f>
        <v>32</v>
      </c>
      <c r="H21" s="9" t="n">
        <f aca="false">C21+1</f>
        <v>15</v>
      </c>
      <c r="I21" s="352" t="n">
        <f aca="false">IF($F21="Yes",INDEX($G$6:$G$14,MATCH(MIN($G21,105),$B$6:$B$14,1)),1)</f>
        <v>0.25</v>
      </c>
      <c r="J21" s="104" t="n">
        <f aca="false">IF($E21="Yes",$B21*Assumptions!$B$9*0.95/$D21*SUMPRODUCT(($C$15:$DF$15&gt;=$C21)*($C$15:$DF$15&lt;$C21+$D21))+$B21*Assumptions!$B$9*0.05*SUMPRODUCT(--($C$15:$DF$15=$G21)),0)</f>
        <v>1843910.361865</v>
      </c>
      <c r="K21" s="104" t="n">
        <f aca="false">IF($E21="Yes",SUMPRODUCT(($C$15:$DF$15&gt;=$C21)*($C$15:$DF$15&lt;$C21+$D21)*$C$18:$DF$18),0)</f>
        <v>1183097.43485004</v>
      </c>
      <c r="L21" s="104" t="n">
        <f aca="false">J21-K21</f>
        <v>660812.927014957</v>
      </c>
      <c r="M21" s="352" t="n">
        <f aca="false">$B$3*I21</f>
        <v>0.025</v>
      </c>
      <c r="N21" s="104" t="n">
        <f aca="false">IF($E21="Yes",$B$2*$B21,0)</f>
        <v>38290.0375</v>
      </c>
      <c r="O21" s="104" t="n">
        <f aca="false">M21*MAX(0,L21)</f>
        <v>16520.3231753739</v>
      </c>
      <c r="P21" s="104" t="n">
        <f aca="false">N21+Q21</f>
        <v>38290.0375</v>
      </c>
      <c r="Q21" s="104" t="n">
        <f aca="false">MAX(0,O21-N21)</f>
        <v>0</v>
      </c>
    </row>
    <row r="22" customFormat="false" ht="15" hidden="false" customHeight="true" outlineLevel="0" collapsed="false">
      <c r="A22" s="1" t="str">
        <f aca="false">Projects!A18</f>
        <v>Riverton 75</v>
      </c>
      <c r="B22" s="104" t="n">
        <f aca="false">Projects!B18</f>
        <v>11317385</v>
      </c>
      <c r="C22" s="9" t="n">
        <f aca="false">Projects!C18</f>
        <v>15</v>
      </c>
      <c r="D22" s="9" t="n">
        <f aca="false">Projects!D18</f>
        <v>19</v>
      </c>
      <c r="E22" s="1" t="str">
        <f aca="false">Projects!G18</f>
        <v>Yes</v>
      </c>
      <c r="F22" s="1" t="str">
        <f aca="false">Projects!M18</f>
        <v>Yes</v>
      </c>
      <c r="G22" s="9" t="n">
        <f aca="false">C22+D22-1</f>
        <v>33</v>
      </c>
      <c r="H22" s="9" t="n">
        <f aca="false">C22+1</f>
        <v>16</v>
      </c>
      <c r="I22" s="352" t="n">
        <f aca="false">IF($F22="Yes",INDEX($G$6:$G$14,MATCH(MIN($G22,105),$B$6:$B$14,1)),1)</f>
        <v>0.25</v>
      </c>
      <c r="J22" s="104" t="n">
        <f aca="false">IF($E22="Yes",$B22*Assumptions!$B$9*0.95/$D22*SUMPRODUCT(($C$15:$DF$15&gt;=$C22)*($C$15:$DF$15&lt;$C22+$D22))+$B22*Assumptions!$B$9*0.05*SUMPRODUCT(--($C$15:$DF$15=$G22)),0)</f>
        <v>1362511.297535</v>
      </c>
      <c r="K22" s="104" t="n">
        <f aca="false">IF($E22="Yes",SUMPRODUCT(($C$15:$DF$15&gt;=$C22)*($C$15:$DF$15&lt;$C22+$D22)*$C$18:$DF$18),0)</f>
        <v>1212535.14139234</v>
      </c>
      <c r="L22" s="104" t="n">
        <f aca="false">J22-K22</f>
        <v>149976.156142657</v>
      </c>
      <c r="M22" s="352" t="n">
        <f aca="false">$B$3*I22</f>
        <v>0.025</v>
      </c>
      <c r="N22" s="104" t="n">
        <f aca="false">IF($E22="Yes",$B$2*$B22,0)</f>
        <v>28293.4625</v>
      </c>
      <c r="O22" s="104" t="n">
        <f aca="false">M22*MAX(0,L22)</f>
        <v>3749.40390356642</v>
      </c>
      <c r="P22" s="104" t="n">
        <f aca="false">N22+Q22</f>
        <v>28293.4625</v>
      </c>
      <c r="Q22" s="104" t="n">
        <f aca="false">MAX(0,O22-N22)</f>
        <v>0</v>
      </c>
    </row>
    <row r="23" customFormat="false" ht="15" hidden="false" customHeight="true" outlineLevel="0" collapsed="false">
      <c r="A23" s="1" t="str">
        <f aca="false">Projects!A19</f>
        <v>Moorpark</v>
      </c>
      <c r="B23" s="104" t="n">
        <f aca="false">Projects!B19</f>
        <v>18442769</v>
      </c>
      <c r="C23" s="9" t="n">
        <f aca="false">Projects!C19</f>
        <v>16</v>
      </c>
      <c r="D23" s="9" t="n">
        <f aca="false">Projects!D19</f>
        <v>19</v>
      </c>
      <c r="E23" s="1" t="str">
        <f aca="false">Projects!G19</f>
        <v>Yes</v>
      </c>
      <c r="F23" s="1" t="str">
        <f aca="false">Projects!M19</f>
        <v>Yes</v>
      </c>
      <c r="G23" s="9" t="n">
        <f aca="false">C23+D23-1</f>
        <v>34</v>
      </c>
      <c r="H23" s="9" t="n">
        <f aca="false">C23+1</f>
        <v>17</v>
      </c>
      <c r="I23" s="352" t="n">
        <f aca="false">IF($F23="Yes",INDEX($G$6:$G$14,MATCH(MIN($G23,105),$B$6:$B$14,1)),1)</f>
        <v>0.25</v>
      </c>
      <c r="J23" s="104" t="n">
        <f aca="false">IF($E23="Yes",$B23*Assumptions!$B$9*0.95/$D23*SUMPRODUCT(($C$15:$DF$15&gt;=$C23)*($C$15:$DF$15&lt;$C23+$D23))+$B23*Assumptions!$B$9*0.05*SUMPRODUCT(--($C$15:$DF$15=$G23)),0)</f>
        <v>2220343.402679</v>
      </c>
      <c r="K23" s="104" t="n">
        <f aca="false">IF($E23="Yes",SUMPRODUCT(($C$15:$DF$15&gt;=$C23)*($C$15:$DF$15&lt;$C23+$D23)*$C$18:$DF$18),0)</f>
        <v>1279443.84360208</v>
      </c>
      <c r="L23" s="104" t="n">
        <f aca="false">J23-K23</f>
        <v>940899.559076918</v>
      </c>
      <c r="M23" s="352" t="n">
        <f aca="false">$B$3*I23</f>
        <v>0.025</v>
      </c>
      <c r="N23" s="104" t="n">
        <f aca="false">IF($E23="Yes",$B$2*$B23,0)</f>
        <v>46106.9225</v>
      </c>
      <c r="O23" s="104" t="n">
        <f aca="false">M23*MAX(0,L23)</f>
        <v>23522.4889769229</v>
      </c>
      <c r="P23" s="104" t="n">
        <f aca="false">N23+Q23</f>
        <v>46106.9225</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Projects!G20</f>
        <v>Yes</v>
      </c>
      <c r="F24" s="1" t="str">
        <f aca="false">Projects!M20</f>
        <v>No</v>
      </c>
      <c r="G24" s="9" t="n">
        <f aca="false">C24+D24-1</f>
        <v>43</v>
      </c>
      <c r="H24" s="9" t="n">
        <f aca="false">C24+1</f>
        <v>21</v>
      </c>
      <c r="I24" s="352"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2419077.35994191</v>
      </c>
      <c r="L24" s="104" t="n">
        <f aca="false">J24-K24</f>
        <v>593867.604914868</v>
      </c>
      <c r="M24" s="352" t="n">
        <f aca="false">$B$3*I24</f>
        <v>0.1</v>
      </c>
      <c r="N24" s="104" t="n">
        <f aca="false">IF($E24="Yes",$B$2*$B24,0)</f>
        <v>62565.82645</v>
      </c>
      <c r="O24" s="104" t="n">
        <f aca="false">M24*MAX(0,L24)</f>
        <v>59386.7604914868</v>
      </c>
      <c r="P24" s="104" t="n">
        <f aca="false">N24+Q24</f>
        <v>62565.82645</v>
      </c>
      <c r="Q24" s="104" t="n">
        <f aca="false">MAX(0,O24-N24)</f>
        <v>0</v>
      </c>
    </row>
    <row r="25" customFormat="false" ht="15" hidden="false" customHeight="true" outlineLevel="0" collapsed="false">
      <c r="A25" s="1" t="str">
        <f aca="false">Projects!A21</f>
        <v>Troost (HVN)</v>
      </c>
      <c r="B25" s="104" t="n">
        <f aca="false">Projects!B21</f>
        <v>15189508.75</v>
      </c>
      <c r="C25" s="9" t="n">
        <f aca="false">Projects!C21</f>
        <v>10</v>
      </c>
      <c r="D25" s="9" t="n">
        <f aca="false">Projects!D21</f>
        <v>19</v>
      </c>
      <c r="E25" s="1" t="str">
        <f aca="false">Projects!G21</f>
        <v>Yes</v>
      </c>
      <c r="F25" s="1" t="str">
        <f aca="false">Projects!M21</f>
        <v>Yes</v>
      </c>
      <c r="G25" s="9" t="n">
        <f aca="false">C25+D25-1</f>
        <v>28</v>
      </c>
      <c r="H25" s="9" t="n">
        <f aca="false">C25+1</f>
        <v>11</v>
      </c>
      <c r="I25" s="352" t="n">
        <f aca="false">IF($F25="Yes",INDEX($G$6:$G$14,MATCH(MIN($G25,105),$B$6:$B$14,1)),1)</f>
        <v>0.25</v>
      </c>
      <c r="J25" s="104" t="n">
        <f aca="false">IF($E25="Yes",$B25*Assumptions!$B$9*0.95/$D25*SUMPRODUCT(($C$15:$DF$15&gt;=$C25)*($C$15:$DF$15&lt;$C25+$D25))+$B25*Assumptions!$B$9*0.05*SUMPRODUCT(--($C$15:$DF$15=$G25)),0)</f>
        <v>1828680.14792125</v>
      </c>
      <c r="K25" s="104" t="n">
        <f aca="false">IF($E25="Yes",SUMPRODUCT(($C$15:$DF$15&gt;=$C25)*($C$15:$DF$15&lt;$C25+$D25)*$C$18:$DF$18),0)</f>
        <v>1240299.38643794</v>
      </c>
      <c r="L25" s="104" t="n">
        <f aca="false">J25-K25</f>
        <v>588380.76148331</v>
      </c>
      <c r="M25" s="352" t="n">
        <f aca="false">$B$3*I25</f>
        <v>0.025</v>
      </c>
      <c r="N25" s="104" t="n">
        <f aca="false">IF($E25="Yes",$B$2*$B25,0)</f>
        <v>37973.771875</v>
      </c>
      <c r="O25" s="104" t="n">
        <f aca="false">M25*MAX(0,L25)</f>
        <v>14709.5190370827</v>
      </c>
      <c r="P25" s="104" t="n">
        <f aca="false">N25+Q25</f>
        <v>37973.771875</v>
      </c>
      <c r="Q25" s="104" t="n">
        <f aca="false">MAX(0,O25-N25)</f>
        <v>0</v>
      </c>
    </row>
    <row r="26" customFormat="false" ht="15" hidden="false" customHeight="true" outlineLevel="0" collapsed="false">
      <c r="A26" s="1" t="str">
        <f aca="false">Projects!A22</f>
        <v>BD-06</v>
      </c>
      <c r="B26" s="104" t="n">
        <f aca="false">Projects!B22</f>
        <v>15000000</v>
      </c>
      <c r="C26" s="9" t="n">
        <f aca="false">Projects!C22</f>
        <v>31</v>
      </c>
      <c r="D26" s="9" t="n">
        <f aca="false">Projects!D22</f>
        <v>19</v>
      </c>
      <c r="E26" s="1" t="str">
        <f aca="false">Projects!G22</f>
        <v>No</v>
      </c>
      <c r="F26" s="1" t="str">
        <f aca="false">Projects!M22</f>
        <v>No</v>
      </c>
      <c r="G26" s="9" t="n">
        <f aca="false">C26+D26-1</f>
        <v>49</v>
      </c>
      <c r="H26" s="9" t="n">
        <f aca="false">C26+1</f>
        <v>32</v>
      </c>
      <c r="I26" s="352"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52"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Projects!G23</f>
        <v>No</v>
      </c>
      <c r="F27" s="1" t="str">
        <f aca="false">Projects!M23</f>
        <v>Yes</v>
      </c>
      <c r="G27" s="9" t="n">
        <f aca="false">C27+D27-1</f>
        <v>52</v>
      </c>
      <c r="H27" s="9" t="n">
        <f aca="false">C27+1</f>
        <v>35</v>
      </c>
      <c r="I27" s="352"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52"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Projects!G24</f>
        <v>No</v>
      </c>
      <c r="F28" s="1" t="str">
        <f aca="false">Projects!M24</f>
        <v>No</v>
      </c>
      <c r="G28" s="9" t="n">
        <f aca="false">C28+D28-1</f>
        <v>55</v>
      </c>
      <c r="H28" s="9" t="n">
        <f aca="false">C28+1</f>
        <v>38</v>
      </c>
      <c r="I28" s="352"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52"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Projects!G25</f>
        <v>No</v>
      </c>
      <c r="F29" s="1" t="str">
        <f aca="false">Projects!M25</f>
        <v>No</v>
      </c>
      <c r="G29" s="9" t="n">
        <f aca="false">C29+D29-1</f>
        <v>58</v>
      </c>
      <c r="H29" s="9" t="n">
        <f aca="false">C29+1</f>
        <v>41</v>
      </c>
      <c r="I29" s="352"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52"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Projects!G26</f>
        <v>No</v>
      </c>
      <c r="F30" s="1" t="str">
        <f aca="false">Projects!M26</f>
        <v>No</v>
      </c>
      <c r="G30" s="9" t="n">
        <f aca="false">C30+D30-1</f>
        <v>60</v>
      </c>
      <c r="H30" s="9" t="n">
        <f aca="false">C30+1</f>
        <v>43</v>
      </c>
      <c r="I30" s="352"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52"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Projects!G27</f>
        <v>No</v>
      </c>
      <c r="F31" s="1" t="str">
        <f aca="false">Projects!M27</f>
        <v>No</v>
      </c>
      <c r="G31" s="9" t="n">
        <f aca="false">C31+D31-1</f>
        <v>62</v>
      </c>
      <c r="H31" s="9" t="n">
        <f aca="false">C31+1</f>
        <v>45</v>
      </c>
      <c r="I31" s="352"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52"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Projects!G28</f>
        <v>No</v>
      </c>
      <c r="F32" s="1" t="str">
        <f aca="false">Projects!M28</f>
        <v>Yes</v>
      </c>
      <c r="G32" s="9" t="n">
        <f aca="false">C32+D32-1</f>
        <v>64</v>
      </c>
      <c r="H32" s="9" t="n">
        <f aca="false">C32+1</f>
        <v>47</v>
      </c>
      <c r="I32" s="352"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52"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Projects!G29</f>
        <v>No</v>
      </c>
      <c r="F33" s="1" t="str">
        <f aca="false">Projects!M29</f>
        <v>No</v>
      </c>
      <c r="G33" s="9" t="n">
        <f aca="false">C33+D33-1</f>
        <v>66</v>
      </c>
      <c r="H33" s="9" t="n">
        <f aca="false">C33+1</f>
        <v>49</v>
      </c>
      <c r="I33" s="352"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52"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Projects!G30</f>
        <v>No</v>
      </c>
      <c r="F34" s="1" t="str">
        <f aca="false">Projects!M30</f>
        <v>No</v>
      </c>
      <c r="G34" s="9" t="n">
        <f aca="false">C34+D34-1</f>
        <v>68</v>
      </c>
      <c r="H34" s="9" t="n">
        <f aca="false">C34+1</f>
        <v>51</v>
      </c>
      <c r="I34" s="352"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52"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Projects!G31</f>
        <v>No</v>
      </c>
      <c r="F35" s="1" t="str">
        <f aca="false">Projects!M31</f>
        <v>No</v>
      </c>
      <c r="G35" s="9" t="n">
        <f aca="false">C35+D35-1</f>
        <v>70</v>
      </c>
      <c r="H35" s="9" t="n">
        <f aca="false">C35+1</f>
        <v>53</v>
      </c>
      <c r="I35" s="352"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52"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Projects!G32</f>
        <v>No</v>
      </c>
      <c r="F36" s="1" t="str">
        <f aca="false">Projects!M32</f>
        <v>No</v>
      </c>
      <c r="G36" s="9" t="n">
        <f aca="false">C36+D36-1</f>
        <v>72</v>
      </c>
      <c r="H36" s="9" t="n">
        <f aca="false">C36+1</f>
        <v>55</v>
      </c>
      <c r="I36" s="352"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52"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Projects!G33</f>
        <v>No</v>
      </c>
      <c r="F37" s="1" t="str">
        <f aca="false">Projects!M33</f>
        <v>No</v>
      </c>
      <c r="G37" s="9" t="n">
        <f aca="false">C37+D37-1</f>
        <v>74</v>
      </c>
      <c r="H37" s="9" t="n">
        <f aca="false">C37+1</f>
        <v>57</v>
      </c>
      <c r="I37" s="352"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52"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Projects!G34</f>
        <v>No</v>
      </c>
      <c r="F38" s="1" t="str">
        <f aca="false">Projects!M34</f>
        <v>Yes</v>
      </c>
      <c r="G38" s="9" t="n">
        <f aca="false">C38+D38-1</f>
        <v>76</v>
      </c>
      <c r="H38" s="9" t="n">
        <f aca="false">C38+1</f>
        <v>59</v>
      </c>
      <c r="I38" s="352"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52"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Projects!G35</f>
        <v>No</v>
      </c>
      <c r="F39" s="1" t="str">
        <f aca="false">Projects!M35</f>
        <v>No</v>
      </c>
      <c r="G39" s="9" t="n">
        <f aca="false">C39+D39-1</f>
        <v>78</v>
      </c>
      <c r="H39" s="9" t="n">
        <f aca="false">C39+1</f>
        <v>61</v>
      </c>
      <c r="I39" s="352"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52"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Projects!G36</f>
        <v>No</v>
      </c>
      <c r="F40" s="1" t="str">
        <f aca="false">Projects!M36</f>
        <v>No</v>
      </c>
      <c r="G40" s="9" t="n">
        <f aca="false">C40+D40-1</f>
        <v>80</v>
      </c>
      <c r="H40" s="9" t="n">
        <f aca="false">C40+1</f>
        <v>63</v>
      </c>
      <c r="I40" s="352"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52"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Projects!G37</f>
        <v>No</v>
      </c>
      <c r="F41" s="1" t="str">
        <f aca="false">Projects!M37</f>
        <v>No</v>
      </c>
      <c r="G41" s="9" t="n">
        <f aca="false">C41+D41-1</f>
        <v>82</v>
      </c>
      <c r="H41" s="9" t="n">
        <f aca="false">C41+1</f>
        <v>65</v>
      </c>
      <c r="I41" s="352"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52"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Projects!G38</f>
        <v>No</v>
      </c>
      <c r="F42" s="1" t="str">
        <f aca="false">Projects!M38</f>
        <v>No</v>
      </c>
      <c r="G42" s="9" t="n">
        <f aca="false">C42+D42-1</f>
        <v>84</v>
      </c>
      <c r="H42" s="9" t="n">
        <f aca="false">C42+1</f>
        <v>67</v>
      </c>
      <c r="I42" s="352"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52"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Projects!G39</f>
        <v>No</v>
      </c>
      <c r="F43" s="1" t="str">
        <f aca="false">Projects!M39</f>
        <v>No</v>
      </c>
      <c r="G43" s="9" t="n">
        <f aca="false">C43+D43-1</f>
        <v>86</v>
      </c>
      <c r="H43" s="9" t="n">
        <f aca="false">C43+1</f>
        <v>69</v>
      </c>
      <c r="I43" s="352"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52"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Projects!G40</f>
        <v>No</v>
      </c>
      <c r="F44" s="1" t="str">
        <f aca="false">Projects!M40</f>
        <v>Yes</v>
      </c>
      <c r="G44" s="9" t="n">
        <f aca="false">C44+D44-1</f>
        <v>88</v>
      </c>
      <c r="H44" s="9" t="n">
        <f aca="false">C44+1</f>
        <v>71</v>
      </c>
      <c r="I44" s="352"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52"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Projects!G41</f>
        <v>No</v>
      </c>
      <c r="F45" s="1" t="str">
        <f aca="false">Projects!M41</f>
        <v>No</v>
      </c>
      <c r="G45" s="9" t="n">
        <f aca="false">C45+D45-1</f>
        <v>90</v>
      </c>
      <c r="H45" s="9" t="n">
        <f aca="false">C45+1</f>
        <v>73</v>
      </c>
      <c r="I45" s="352"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52"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Projects!G42</f>
        <v>No</v>
      </c>
      <c r="F46" s="1" t="str">
        <f aca="false">Projects!M42</f>
        <v>No</v>
      </c>
      <c r="G46" s="9" t="n">
        <f aca="false">C46+D46-1</f>
        <v>92</v>
      </c>
      <c r="H46" s="9" t="n">
        <f aca="false">C46+1</f>
        <v>75</v>
      </c>
      <c r="I46" s="352"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52"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Projects!G43</f>
        <v>No</v>
      </c>
      <c r="F47" s="1" t="str">
        <f aca="false">Projects!M43</f>
        <v>No</v>
      </c>
      <c r="G47" s="9" t="n">
        <f aca="false">C47+D47-1</f>
        <v>94</v>
      </c>
      <c r="H47" s="9" t="n">
        <f aca="false">C47+1</f>
        <v>77</v>
      </c>
      <c r="I47" s="352"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52"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Projects!G44</f>
        <v>No</v>
      </c>
      <c r="F48" s="1" t="str">
        <f aca="false">Projects!M44</f>
        <v>No</v>
      </c>
      <c r="G48" s="9" t="n">
        <f aca="false">C48+D48-1</f>
        <v>96</v>
      </c>
      <c r="H48" s="9" t="n">
        <f aca="false">C48+1</f>
        <v>79</v>
      </c>
      <c r="I48" s="352"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52"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Projects!G45</f>
        <v>No</v>
      </c>
      <c r="F49" s="1" t="str">
        <f aca="false">Projects!M45</f>
        <v>No</v>
      </c>
      <c r="G49" s="9" t="n">
        <f aca="false">C49+D49-1</f>
        <v>98</v>
      </c>
      <c r="H49" s="9" t="n">
        <f aca="false">C49+1</f>
        <v>81</v>
      </c>
      <c r="I49" s="352"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52"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Projects!G46</f>
        <v>No</v>
      </c>
      <c r="F50" s="1" t="str">
        <f aca="false">Projects!M46</f>
        <v>Yes</v>
      </c>
      <c r="G50" s="9" t="n">
        <f aca="false">C50+D50-1</f>
        <v>100</v>
      </c>
      <c r="H50" s="9" t="n">
        <f aca="false">C50+1</f>
        <v>83</v>
      </c>
      <c r="I50" s="352"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52"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1227</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37973.771875</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38290.0375</v>
      </c>
      <c r="U53" s="104" t="n">
        <f aca="false">SUMPRODUCT(($H$21:$H$50=U$15)*$N$21:$N$50)+SUMPRODUCT(($G$21:$G$50=U$15)*$Q$21:$Q$50)</f>
        <v>28293.4625</v>
      </c>
      <c r="V53" s="104" t="n">
        <f aca="false">SUMPRODUCT(($H$21:$H$50=V$15)*$N$21:$N$50)+SUMPRODUCT(($G$21:$G$50=V$15)*$Q$21:$Q$50)</f>
        <v>46106.9225</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62565.82645</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4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F283" activeCellId="0" sqref="F283"/>
    </sheetView>
  </sheetViews>
  <sheetFormatPr defaultColWidth="8.7109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58" customFormat="true" ht="15" hidden="false" customHeight="true" outlineLevel="0" collapsed="false">
      <c r="A1" s="357" t="s">
        <v>550</v>
      </c>
      <c r="B1" s="357" t="s">
        <v>1228</v>
      </c>
      <c r="C1" s="357" t="s">
        <v>1229</v>
      </c>
      <c r="D1" s="357" t="s">
        <v>1230</v>
      </c>
      <c r="E1" s="357" t="s">
        <v>1231</v>
      </c>
      <c r="F1" s="357" t="s">
        <v>1232</v>
      </c>
      <c r="G1" s="357" t="s">
        <v>1233</v>
      </c>
    </row>
    <row r="2" customFormat="false" ht="15" hidden="false" customHeight="true" outlineLevel="0" collapsed="false">
      <c r="A2" s="177" t="s">
        <v>7</v>
      </c>
      <c r="B2" s="178" t="n">
        <v>64068.16</v>
      </c>
      <c r="C2" s="178" t="n">
        <v>262447.96</v>
      </c>
      <c r="D2" s="359" t="n">
        <f aca="false">C2*0.05</f>
        <v>13122.398</v>
      </c>
      <c r="E2" s="359" t="n">
        <f aca="false">B2+D2</f>
        <v>77190.558</v>
      </c>
      <c r="F2" s="360" t="n">
        <f aca="false">Projects!$C$2+Projects!$D$2-1</f>
        <v>8</v>
      </c>
      <c r="G2" s="361" t="n">
        <f aca="false">EDATE(DATE(2026,4,1),F2-1)</f>
        <v>46327</v>
      </c>
    </row>
    <row r="3" customFormat="false" ht="15" hidden="false" customHeight="true" outlineLevel="0" collapsed="false">
      <c r="A3" s="177" t="s">
        <v>8</v>
      </c>
      <c r="B3" s="178" t="n">
        <v>71716.43</v>
      </c>
      <c r="C3" s="178" t="n">
        <v>1314727.24</v>
      </c>
      <c r="D3" s="359" t="n">
        <f aca="false">C3*0.05</f>
        <v>65736.362</v>
      </c>
      <c r="E3" s="359" t="n">
        <f aca="false">B3+D3</f>
        <v>137452.792</v>
      </c>
      <c r="F3" s="360" t="n">
        <v>18</v>
      </c>
      <c r="G3" s="361" t="n">
        <f aca="false">EDATE(DATE(2026,4,1),F3-1)</f>
        <v>46631</v>
      </c>
    </row>
    <row r="4" customFormat="false" ht="15" hidden="false" customHeight="true" outlineLevel="0" collapsed="false">
      <c r="A4" s="177" t="s">
        <v>9</v>
      </c>
      <c r="B4" s="178" t="n">
        <v>37008.93</v>
      </c>
      <c r="C4" s="178" t="n">
        <v>876131.96</v>
      </c>
      <c r="D4" s="359" t="n">
        <f aca="false">C4*0.05</f>
        <v>43806.598</v>
      </c>
      <c r="E4" s="359" t="n">
        <f aca="false">B4+D4</f>
        <v>80815.528</v>
      </c>
      <c r="F4" s="360" t="n">
        <v>17</v>
      </c>
      <c r="G4" s="361" t="n">
        <f aca="false">EDATE(DATE(2026,4,1),F4-1)</f>
        <v>46600</v>
      </c>
    </row>
    <row r="5" customFormat="false" ht="15" hidden="false" customHeight="true" outlineLevel="0" collapsed="false">
      <c r="A5" s="177" t="s">
        <v>10</v>
      </c>
      <c r="B5" s="178" t="n">
        <v>41184.33</v>
      </c>
      <c r="C5" s="178" t="n">
        <v>1021070.74</v>
      </c>
      <c r="D5" s="359" t="n">
        <f aca="false">C5*0.05</f>
        <v>51053.537</v>
      </c>
      <c r="E5" s="359" t="n">
        <f aca="false">B5+D5</f>
        <v>92237.867</v>
      </c>
      <c r="F5" s="360" t="n">
        <v>19</v>
      </c>
      <c r="G5" s="361" t="n">
        <f aca="false">EDATE(DATE(2026,4,1),F5-1)</f>
        <v>46661</v>
      </c>
    </row>
    <row r="6" customFormat="false" ht="15" hidden="false" customHeight="true" outlineLevel="0" collapsed="false">
      <c r="A6" s="177" t="s">
        <v>11</v>
      </c>
      <c r="B6" s="178" t="n">
        <v>15059.01</v>
      </c>
      <c r="C6" s="178" t="n">
        <v>307369.47</v>
      </c>
      <c r="D6" s="359" t="n">
        <f aca="false">C6*0.05</f>
        <v>15368.4735</v>
      </c>
      <c r="E6" s="359" t="n">
        <f aca="false">B6+D6</f>
        <v>30427.4835</v>
      </c>
      <c r="F6" s="360" t="n">
        <v>15</v>
      </c>
      <c r="G6" s="361" t="n">
        <f aca="false">EDATE(DATE(2026,4,1),F6-1)</f>
        <v>46539</v>
      </c>
    </row>
    <row r="7" customFormat="false" ht="15" hidden="false" customHeight="true" outlineLevel="0" collapsed="false">
      <c r="A7" s="177" t="s">
        <v>12</v>
      </c>
      <c r="B7" s="178" t="n">
        <v>5444.32</v>
      </c>
      <c r="C7" s="359" t="n">
        <v>5038551.52</v>
      </c>
      <c r="D7" s="359" t="n">
        <f aca="false">C7*0.05</f>
        <v>251927.576</v>
      </c>
      <c r="E7" s="359" t="n">
        <f aca="false">B7+D7</f>
        <v>257371.896</v>
      </c>
      <c r="F7" s="360" t="n">
        <v>36</v>
      </c>
      <c r="G7" s="361" t="n">
        <f aca="false">EDATE(DATE(2026,4,1),F7-1)</f>
        <v>47178</v>
      </c>
    </row>
    <row r="8" customFormat="false" ht="15" hidden="false" customHeight="true" outlineLevel="0" collapsed="false">
      <c r="A8" s="177" t="s">
        <v>13</v>
      </c>
      <c r="B8" s="178" t="n">
        <v>0</v>
      </c>
      <c r="C8" s="359" t="n">
        <f aca="false">IF(Projects!$G$8="Yes",Projects!$B$8*(Assumptions!$B$10+Assumptions!$B$11+Assumptions!$B$12),0)</f>
        <v>1564333.69243555</v>
      </c>
      <c r="D8" s="359" t="n">
        <f aca="false">C8*0.05</f>
        <v>78216.6846217775</v>
      </c>
      <c r="E8" s="359" t="n">
        <f aca="false">B8+D8</f>
        <v>78216.6846217775</v>
      </c>
      <c r="F8" s="360" t="n">
        <f aca="false">Projects!$C$8+Projects!$D$8-1</f>
        <v>24</v>
      </c>
      <c r="G8" s="361" t="n">
        <f aca="false">EDATE(DATE(2026,4,1),F8-1)</f>
        <v>46813</v>
      </c>
    </row>
    <row r="9" customFormat="false" ht="15" hidden="false" customHeight="true" outlineLevel="0" collapsed="false">
      <c r="A9" s="177" t="s">
        <v>14</v>
      </c>
      <c r="B9" s="178" t="n">
        <v>6916.62</v>
      </c>
      <c r="C9" s="359" t="n">
        <v>1587341.45</v>
      </c>
      <c r="D9" s="359" t="n">
        <f aca="false">C9*0.05</f>
        <v>79367.0725</v>
      </c>
      <c r="E9" s="359" t="n">
        <f aca="false">B9+D9</f>
        <v>86283.6925</v>
      </c>
      <c r="F9" s="360" t="n">
        <f aca="false">Projects!$C$9+Projects!$D$9-1</f>
        <v>23</v>
      </c>
      <c r="G9" s="361" t="n">
        <f aca="false">EDATE(DATE(2026,4,1),F9-1)</f>
        <v>46784</v>
      </c>
    </row>
    <row r="10" customFormat="false" ht="15" hidden="false" customHeight="true" outlineLevel="0" collapsed="false">
      <c r="A10" s="177" t="s">
        <v>15</v>
      </c>
      <c r="B10" s="178" t="n">
        <v>0</v>
      </c>
      <c r="C10" s="359" t="n">
        <f aca="false">IF(Projects!$G$10="Yes",Projects!$B$10*(Assumptions!$B$10+Assumptions!$B$11+Assumptions!$B$12),0)</f>
        <v>2559922.591355</v>
      </c>
      <c r="D10" s="359" t="n">
        <f aca="false">C10*0.05</f>
        <v>127996.12956775</v>
      </c>
      <c r="E10" s="359" t="n">
        <f aca="false">B10+D10</f>
        <v>127996.12956775</v>
      </c>
      <c r="F10" s="360" t="n">
        <f aca="false">Projects!$C$10+Projects!$D$10-1</f>
        <v>32</v>
      </c>
      <c r="G10" s="361" t="n">
        <f aca="false">EDATE(DATE(2026,4,1),F10-1)</f>
        <v>47058</v>
      </c>
    </row>
    <row r="11" customFormat="false" ht="15" hidden="false" customHeight="true" outlineLevel="0" collapsed="false">
      <c r="A11" s="177" t="s">
        <v>16</v>
      </c>
      <c r="B11" s="178" t="n">
        <v>0</v>
      </c>
      <c r="C11" s="359" t="n">
        <f aca="false">IF(Projects!$G$11="Yes",Projects!$B$11*(Assumptions!$B$10+Assumptions!$B$11+Assumptions!$B$12),0)</f>
        <v>1152997.729619</v>
      </c>
      <c r="D11" s="359" t="n">
        <f aca="false">C11*0.05</f>
        <v>57649.88648095</v>
      </c>
      <c r="E11" s="359" t="n">
        <f aca="false">B11+D11</f>
        <v>57649.88648095</v>
      </c>
      <c r="F11" s="360" t="n">
        <f aca="false">Projects!$C$11+Projects!$D$11-1</f>
        <v>29</v>
      </c>
      <c r="G11" s="361" t="n">
        <f aca="false">EDATE(DATE(2026,4,1),F11-1)</f>
        <v>46966</v>
      </c>
    </row>
    <row r="12" customFormat="false" ht="15" hidden="false" customHeight="true" outlineLevel="0" collapsed="false">
      <c r="A12" s="177" t="s">
        <v>17</v>
      </c>
      <c r="B12" s="178" t="n">
        <v>0</v>
      </c>
      <c r="C12" s="359" t="n">
        <f aca="false">IF(Projects!$G$12="Yes",Projects!$B$12*(Assumptions!$B$10+Assumptions!$B$11+Assumptions!$B$12),0)</f>
        <v>908374.534373</v>
      </c>
      <c r="D12" s="359" t="n">
        <f aca="false">C12*0.05</f>
        <v>45418.72671865</v>
      </c>
      <c r="E12" s="359" t="n">
        <f aca="false">B12+D12</f>
        <v>45418.72671865</v>
      </c>
      <c r="F12" s="360" t="n">
        <f aca="false">Projects!$C$12+Projects!$D$12-1</f>
        <v>28</v>
      </c>
      <c r="G12" s="361" t="n">
        <f aca="false">EDATE(DATE(2026,4,1),F12-1)</f>
        <v>46935</v>
      </c>
    </row>
    <row r="13" customFormat="false" ht="15" hidden="false" customHeight="true" outlineLevel="0" collapsed="false">
      <c r="A13" s="177" t="s">
        <v>18</v>
      </c>
      <c r="B13" s="178" t="n">
        <v>0</v>
      </c>
      <c r="C13" s="359" t="n">
        <f aca="false">IF(Projects!$G$13="Yes",Projects!$B$13*(Assumptions!$B$10+Assumptions!$B$11+Assumptions!$B$12),0)</f>
        <v>5449711.70707</v>
      </c>
      <c r="D13" s="359" t="n">
        <f aca="false">C13*0.05</f>
        <v>272485.5853535</v>
      </c>
      <c r="E13" s="359" t="n">
        <f aca="false">B13+D13</f>
        <v>272485.5853535</v>
      </c>
      <c r="F13" s="360" t="n">
        <f aca="false">Projects!$C$13+Projects!$D$13-1</f>
        <v>42</v>
      </c>
      <c r="G13" s="361" t="n">
        <f aca="false">EDATE(DATE(2026,4,1),F13-1)</f>
        <v>47362</v>
      </c>
    </row>
    <row r="14" customFormat="false" ht="15" hidden="false" customHeight="true" outlineLevel="0" collapsed="false">
      <c r="A14" s="177" t="s">
        <v>19</v>
      </c>
      <c r="B14" s="178" t="n">
        <v>0</v>
      </c>
      <c r="C14" s="359" t="n">
        <f aca="false">IF(Projects!$G$14="Yes",Projects!$B$14*(Assumptions!$B$10+Assumptions!$B$11+Assumptions!$B$12),0)</f>
        <v>4978725.501112</v>
      </c>
      <c r="D14" s="359" t="n">
        <f aca="false">C14*0.05</f>
        <v>248936.2750556</v>
      </c>
      <c r="E14" s="359" t="n">
        <f aca="false">B14+D14</f>
        <v>248936.2750556</v>
      </c>
      <c r="F14" s="360" t="n">
        <f aca="false">Projects!$C$14+Projects!$D$14-1</f>
        <v>56</v>
      </c>
      <c r="G14" s="361" t="n">
        <f aca="false">EDATE(DATE(2026,4,1),F14-1)</f>
        <v>47788</v>
      </c>
    </row>
    <row r="15" customFormat="false" ht="15" hidden="false" customHeight="true" outlineLevel="0" collapsed="false">
      <c r="A15" s="177" t="s">
        <v>1234</v>
      </c>
      <c r="B15" s="178" t="n">
        <v>0</v>
      </c>
      <c r="C15" s="359" t="n">
        <f aca="false">IF(Projects!$G$17="Yes",Projects!$B$17*(Assumptions!$B$10+Assumptions!$B$11+Assumptions!$B$12),0)</f>
        <v>1843910.361865</v>
      </c>
      <c r="D15" s="359" t="n">
        <f aca="false">C15*0.05</f>
        <v>92195.51809325</v>
      </c>
      <c r="E15" s="359" t="n">
        <f aca="false">B15+D15</f>
        <v>92195.51809325</v>
      </c>
      <c r="F15" s="360" t="n">
        <f aca="false">Projects!$C$17+Projects!$D$17-1</f>
        <v>32</v>
      </c>
      <c r="G15" s="361" t="n">
        <f aca="false">EDATE(DATE(2026,4,1),F15-1)</f>
        <v>47058</v>
      </c>
    </row>
    <row r="16" customFormat="false" ht="15" hidden="false" customHeight="true" outlineLevel="0" collapsed="false">
      <c r="A16" s="177" t="s">
        <v>1235</v>
      </c>
      <c r="B16" s="178" t="n">
        <v>0</v>
      </c>
      <c r="C16" s="359" t="n">
        <f aca="false">IF(Projects!$G$18="Yes",Projects!$B$18*(Assumptions!$B$10+Assumptions!$B$11+Assumptions!$B$12),0)</f>
        <v>1362511.297535</v>
      </c>
      <c r="D16" s="359" t="n">
        <f aca="false">C16*0.05</f>
        <v>68125.56487675</v>
      </c>
      <c r="E16" s="359" t="n">
        <f aca="false">B16+D16</f>
        <v>68125.56487675</v>
      </c>
      <c r="F16" s="360" t="n">
        <f aca="false">Projects!$C$18+Projects!$D$18-1</f>
        <v>33</v>
      </c>
      <c r="G16" s="361" t="n">
        <f aca="false">EDATE(DATE(2026,4,1),F16-1)</f>
        <v>47088</v>
      </c>
    </row>
    <row r="17" customFormat="false" ht="15" hidden="false" customHeight="true" outlineLevel="0" collapsed="false">
      <c r="A17" s="177" t="s">
        <v>1236</v>
      </c>
      <c r="B17" s="178" t="n">
        <v>0</v>
      </c>
      <c r="C17" s="359" t="n">
        <f aca="false">IF(Projects!$G$19="Yes",Projects!$B$19*(Assumptions!$B$10+Assumptions!$B$11+Assumptions!$B$12),0)</f>
        <v>2220343.402679</v>
      </c>
      <c r="D17" s="359" t="n">
        <f aca="false">C17*0.05</f>
        <v>111017.17013395</v>
      </c>
      <c r="E17" s="359" t="n">
        <f aca="false">B17+D17</f>
        <v>111017.17013395</v>
      </c>
      <c r="F17" s="360" t="n">
        <f aca="false">Projects!$C$19+Projects!$D$19-1</f>
        <v>34</v>
      </c>
      <c r="G17" s="361" t="n">
        <f aca="false">EDATE(DATE(2026,4,1),F17-1)</f>
        <v>47119</v>
      </c>
    </row>
    <row r="18" customFormat="false" ht="15" hidden="false" customHeight="true" outlineLevel="0" collapsed="false">
      <c r="A18" s="177" t="s">
        <v>23</v>
      </c>
      <c r="B18" s="178" t="n">
        <v>0</v>
      </c>
      <c r="C18" s="359" t="n">
        <f aca="false">IF(Projects!$G$20="Yes",Projects!$B$20*(Assumptions!$B$10+Assumptions!$B$11+Assumptions!$B$12),0)</f>
        <v>3012944.96485678</v>
      </c>
      <c r="D18" s="359" t="n">
        <f aca="false">C18*0.05</f>
        <v>150647.248242839</v>
      </c>
      <c r="E18" s="359" t="n">
        <f aca="false">B18+D18</f>
        <v>150647.248242839</v>
      </c>
      <c r="F18" s="360" t="n">
        <f aca="false">Projects!$C$20+Projects!$D$20-1</f>
        <v>43</v>
      </c>
      <c r="G18" s="361" t="n">
        <f aca="false">EDATE(DATE(2026,4,1),F18-1)</f>
        <v>47392</v>
      </c>
    </row>
    <row r="19" customFormat="false" ht="15" hidden="false" customHeight="true" outlineLevel="0" collapsed="false">
      <c r="A19" s="177" t="s">
        <v>24</v>
      </c>
      <c r="B19" s="178" t="n">
        <v>0</v>
      </c>
      <c r="C19" s="359" t="n">
        <f aca="false">IF(Projects!$G$21="Yes",Projects!$B$21*(Assumptions!$B$10+Assumptions!$B$11+Assumptions!$B$12),0)</f>
        <v>1828680.14792125</v>
      </c>
      <c r="D19" s="359" t="n">
        <f aca="false">C19*0.05</f>
        <v>91434.0073960625</v>
      </c>
      <c r="E19" s="359" t="n">
        <f aca="false">B19+D19</f>
        <v>91434.0073960625</v>
      </c>
      <c r="F19" s="360" t="n">
        <f aca="false">Projects!$C$21+Projects!$D$21-1</f>
        <v>28</v>
      </c>
      <c r="G19" s="361" t="n">
        <f aca="false">EDATE(DATE(2026,4,1),F19-1)</f>
        <v>46935</v>
      </c>
    </row>
    <row r="20" customFormat="false" ht="15" hidden="false" customHeight="true" outlineLevel="0" collapsed="false">
      <c r="A20" s="177" t="s">
        <v>25</v>
      </c>
      <c r="B20" s="178" t="n">
        <v>0</v>
      </c>
      <c r="C20" s="359" t="n">
        <f aca="false">IF(Projects!$G$22="Yes",Projects!$B$22*(Assumptions!$B$10+Assumptions!$B$11+Assumptions!$B$12),0)</f>
        <v>0</v>
      </c>
      <c r="D20" s="359" t="n">
        <f aca="false">C20*0.05</f>
        <v>0</v>
      </c>
      <c r="E20" s="359" t="n">
        <f aca="false">B20+D20</f>
        <v>0</v>
      </c>
      <c r="F20" s="360" t="n">
        <f aca="false">Projects!$C$22+Projects!$D$22-1</f>
        <v>49</v>
      </c>
      <c r="G20" s="361" t="n">
        <f aca="false">EDATE(DATE(2026,4,1),F20-1)</f>
        <v>47574</v>
      </c>
    </row>
    <row r="21" customFormat="false" ht="15" hidden="false" customHeight="true" outlineLevel="0" collapsed="false">
      <c r="A21" s="177" t="s">
        <v>26</v>
      </c>
      <c r="B21" s="178" t="n">
        <v>0</v>
      </c>
      <c r="C21" s="359" t="n">
        <f aca="false">IF(Projects!$G$23="Yes",Projects!$B$23*(Assumptions!$B$10+Assumptions!$B$11+Assumptions!$B$12),0)</f>
        <v>0</v>
      </c>
      <c r="D21" s="359" t="n">
        <f aca="false">C21*0.05</f>
        <v>0</v>
      </c>
      <c r="E21" s="359" t="n">
        <f aca="false">B21+D21</f>
        <v>0</v>
      </c>
      <c r="F21" s="360" t="n">
        <f aca="false">Projects!$C$23+Projects!$D$23-1</f>
        <v>52</v>
      </c>
      <c r="G21" s="361" t="n">
        <f aca="false">EDATE(DATE(2026,4,1),F21-1)</f>
        <v>47665</v>
      </c>
    </row>
    <row r="22" customFormat="false" ht="15" hidden="false" customHeight="true" outlineLevel="0" collapsed="false">
      <c r="A22" s="177" t="s">
        <v>27</v>
      </c>
      <c r="B22" s="178" t="n">
        <v>0</v>
      </c>
      <c r="C22" s="359" t="n">
        <f aca="false">IF(Projects!$G$24="Yes",Projects!$B$24*(Assumptions!$B$10+Assumptions!$B$11+Assumptions!$B$12),0)</f>
        <v>0</v>
      </c>
      <c r="D22" s="359" t="n">
        <f aca="false">C22*0.05</f>
        <v>0</v>
      </c>
      <c r="E22" s="359" t="n">
        <f aca="false">B22+D22</f>
        <v>0</v>
      </c>
      <c r="F22" s="360" t="n">
        <f aca="false">Projects!$C$24+Projects!$D$24-1</f>
        <v>55</v>
      </c>
      <c r="G22" s="361" t="n">
        <f aca="false">EDATE(DATE(2026,4,1),F22-1)</f>
        <v>47757</v>
      </c>
    </row>
    <row r="23" customFormat="false" ht="15" hidden="false" customHeight="true" outlineLevel="0" collapsed="false">
      <c r="A23" s="177" t="s">
        <v>28</v>
      </c>
      <c r="B23" s="178" t="n">
        <v>0</v>
      </c>
      <c r="C23" s="359" t="n">
        <f aca="false">IF(Projects!$G$25="Yes",Projects!$B$25*(Assumptions!$B$10+Assumptions!$B$11+Assumptions!$B$12),0)</f>
        <v>0</v>
      </c>
      <c r="D23" s="359" t="n">
        <f aca="false">C23*0.05</f>
        <v>0</v>
      </c>
      <c r="E23" s="359" t="n">
        <f aca="false">B23+D23</f>
        <v>0</v>
      </c>
      <c r="F23" s="360" t="n">
        <f aca="false">Projects!$C$25+Projects!$D$25-1</f>
        <v>58</v>
      </c>
      <c r="G23" s="361" t="n">
        <f aca="false">EDATE(DATE(2026,4,1),F23-1)</f>
        <v>47849</v>
      </c>
    </row>
    <row r="24" customFormat="false" ht="15" hidden="false" customHeight="true" outlineLevel="0" collapsed="false">
      <c r="A24" s="177" t="s">
        <v>29</v>
      </c>
      <c r="B24" s="178" t="n">
        <v>0</v>
      </c>
      <c r="C24" s="359" t="n">
        <f aca="false">IF(Projects!$G$26="Yes",Projects!$B$26*(Assumptions!$B$10+Assumptions!$B$11+Assumptions!$B$12),0)</f>
        <v>0</v>
      </c>
      <c r="D24" s="359" t="n">
        <f aca="false">C24*0.05</f>
        <v>0</v>
      </c>
      <c r="E24" s="359" t="n">
        <f aca="false">B24+D24</f>
        <v>0</v>
      </c>
      <c r="F24" s="360" t="n">
        <f aca="false">Projects!$C$26+Projects!$D$26-1</f>
        <v>60</v>
      </c>
      <c r="G24" s="361" t="n">
        <f aca="false">EDATE(DATE(2026,4,1),F24-1)</f>
        <v>47908</v>
      </c>
    </row>
    <row r="25" customFormat="false" ht="15" hidden="false" customHeight="true" outlineLevel="0" collapsed="false">
      <c r="A25" s="177" t="s">
        <v>30</v>
      </c>
      <c r="B25" s="178" t="n">
        <v>0</v>
      </c>
      <c r="C25" s="359" t="n">
        <f aca="false">IF(Projects!$G$27="Yes",Projects!$B$27*(Assumptions!$B$10+Assumptions!$B$11+Assumptions!$B$12),0)</f>
        <v>0</v>
      </c>
      <c r="D25" s="359" t="n">
        <f aca="false">C25*0.05</f>
        <v>0</v>
      </c>
      <c r="E25" s="359" t="n">
        <f aca="false">B25+D25</f>
        <v>0</v>
      </c>
      <c r="F25" s="360" t="n">
        <f aca="false">Projects!$C$27+Projects!$D$27-1</f>
        <v>62</v>
      </c>
      <c r="G25" s="361" t="n">
        <f aca="false">EDATE(DATE(2026,4,1),F25-1)</f>
        <v>47969</v>
      </c>
    </row>
    <row r="26" customFormat="false" ht="15" hidden="false" customHeight="true" outlineLevel="0" collapsed="false">
      <c r="A26" s="177" t="s">
        <v>31</v>
      </c>
      <c r="B26" s="178" t="n">
        <v>0</v>
      </c>
      <c r="C26" s="359" t="n">
        <f aca="false">IF(Projects!$G$28="Yes",Projects!$B$28*(Assumptions!$B$10+Assumptions!$B$11+Assumptions!$B$12),0)</f>
        <v>0</v>
      </c>
      <c r="D26" s="359" t="n">
        <f aca="false">C26*0.05</f>
        <v>0</v>
      </c>
      <c r="E26" s="359" t="n">
        <f aca="false">B26+D26</f>
        <v>0</v>
      </c>
      <c r="F26" s="360" t="n">
        <f aca="false">Projects!$C$28+Projects!$D$28-1</f>
        <v>64</v>
      </c>
      <c r="G26" s="361" t="n">
        <f aca="false">EDATE(DATE(2026,4,1),F26-1)</f>
        <v>48030</v>
      </c>
    </row>
    <row r="27" customFormat="false" ht="15" hidden="false" customHeight="true" outlineLevel="0" collapsed="false">
      <c r="A27" s="177" t="s">
        <v>32</v>
      </c>
      <c r="B27" s="178" t="n">
        <v>0</v>
      </c>
      <c r="C27" s="359" t="n">
        <f aca="false">IF(Projects!$G$29="Yes",Projects!$B$29*(Assumptions!$B$10+Assumptions!$B$11+Assumptions!$B$12),0)</f>
        <v>0</v>
      </c>
      <c r="D27" s="359" t="n">
        <f aca="false">C27*0.05</f>
        <v>0</v>
      </c>
      <c r="E27" s="359" t="n">
        <f aca="false">B27+D27</f>
        <v>0</v>
      </c>
      <c r="F27" s="360" t="n">
        <f aca="false">Projects!$C$29+Projects!$D$29-1</f>
        <v>66</v>
      </c>
      <c r="G27" s="361" t="n">
        <f aca="false">EDATE(DATE(2026,4,1),F27-1)</f>
        <v>48092</v>
      </c>
    </row>
    <row r="28" customFormat="false" ht="15" hidden="false" customHeight="true" outlineLevel="0" collapsed="false">
      <c r="A28" s="177" t="s">
        <v>33</v>
      </c>
      <c r="B28" s="178" t="n">
        <v>0</v>
      </c>
      <c r="C28" s="359" t="n">
        <f aca="false">IF(Projects!$G$30="Yes",Projects!$B$30*(Assumptions!$B$10+Assumptions!$B$11+Assumptions!$B$12),0)</f>
        <v>0</v>
      </c>
      <c r="D28" s="359" t="n">
        <f aca="false">C28*0.05</f>
        <v>0</v>
      </c>
      <c r="E28" s="359" t="n">
        <f aca="false">B28+D28</f>
        <v>0</v>
      </c>
      <c r="F28" s="360" t="n">
        <f aca="false">Projects!$C$30+Projects!$D$30-1</f>
        <v>68</v>
      </c>
      <c r="G28" s="361" t="n">
        <f aca="false">EDATE(DATE(2026,4,1),F28-1)</f>
        <v>48153</v>
      </c>
    </row>
    <row r="29" customFormat="false" ht="15" hidden="false" customHeight="true" outlineLevel="0" collapsed="false">
      <c r="A29" s="177" t="s">
        <v>34</v>
      </c>
      <c r="B29" s="178" t="n">
        <v>0</v>
      </c>
      <c r="C29" s="359" t="n">
        <f aca="false">IF(Projects!$G$31="Yes",Projects!$B$31*(Assumptions!$B$10+Assumptions!$B$11+Assumptions!$B$12),0)</f>
        <v>0</v>
      </c>
      <c r="D29" s="359" t="n">
        <f aca="false">C29*0.05</f>
        <v>0</v>
      </c>
      <c r="E29" s="359" t="n">
        <f aca="false">B29+D29</f>
        <v>0</v>
      </c>
      <c r="F29" s="360" t="n">
        <f aca="false">Projects!$C$31+Projects!$D$31-1</f>
        <v>70</v>
      </c>
      <c r="G29" s="361" t="n">
        <f aca="false">EDATE(DATE(2026,4,1),F29-1)</f>
        <v>48214</v>
      </c>
    </row>
    <row r="30" customFormat="false" ht="15" hidden="false" customHeight="true" outlineLevel="0" collapsed="false">
      <c r="A30" s="177" t="s">
        <v>35</v>
      </c>
      <c r="B30" s="178" t="n">
        <v>0</v>
      </c>
      <c r="C30" s="359" t="n">
        <f aca="false">IF(Projects!$G$32="Yes",Projects!$B$32*(Assumptions!$B$10+Assumptions!$B$11+Assumptions!$B$12),0)</f>
        <v>0</v>
      </c>
      <c r="D30" s="359" t="n">
        <f aca="false">C30*0.05</f>
        <v>0</v>
      </c>
      <c r="E30" s="359" t="n">
        <f aca="false">B30+D30</f>
        <v>0</v>
      </c>
      <c r="F30" s="360" t="n">
        <f aca="false">Projects!$C$32+Projects!$D$32-1</f>
        <v>72</v>
      </c>
      <c r="G30" s="361" t="n">
        <f aca="false">EDATE(DATE(2026,4,1),F30-1)</f>
        <v>48274</v>
      </c>
    </row>
    <row r="31" customFormat="false" ht="15" hidden="false" customHeight="true" outlineLevel="0" collapsed="false">
      <c r="A31" s="177" t="s">
        <v>36</v>
      </c>
      <c r="B31" s="178" t="n">
        <v>0</v>
      </c>
      <c r="C31" s="359" t="n">
        <f aca="false">IF(Projects!$G$33="Yes",Projects!$B$33*(Assumptions!$B$10+Assumptions!$B$11+Assumptions!$B$12),0)</f>
        <v>0</v>
      </c>
      <c r="D31" s="359" t="n">
        <f aca="false">C31*0.05</f>
        <v>0</v>
      </c>
      <c r="E31" s="359" t="n">
        <f aca="false">B31+D31</f>
        <v>0</v>
      </c>
      <c r="F31" s="360" t="n">
        <f aca="false">Projects!$C$33+Projects!$D$33-1</f>
        <v>74</v>
      </c>
      <c r="G31" s="361" t="n">
        <f aca="false">EDATE(DATE(2026,4,1),F31-1)</f>
        <v>48335</v>
      </c>
    </row>
    <row r="32" customFormat="false" ht="15" hidden="false" customHeight="true" outlineLevel="0" collapsed="false">
      <c r="A32" s="177" t="s">
        <v>37</v>
      </c>
      <c r="B32" s="178" t="n">
        <v>0</v>
      </c>
      <c r="C32" s="359" t="n">
        <f aca="false">IF(Projects!$G$34="Yes",Projects!$B$34*(Assumptions!$B$10+Assumptions!$B$11+Assumptions!$B$12),0)</f>
        <v>0</v>
      </c>
      <c r="D32" s="359" t="n">
        <f aca="false">C32*0.05</f>
        <v>0</v>
      </c>
      <c r="E32" s="359" t="n">
        <f aca="false">B32+D32</f>
        <v>0</v>
      </c>
      <c r="F32" s="360" t="n">
        <f aca="false">Projects!$C$34+Projects!$D$34-1</f>
        <v>76</v>
      </c>
      <c r="G32" s="361" t="n">
        <f aca="false">EDATE(DATE(2026,4,1),F32-1)</f>
        <v>48396</v>
      </c>
    </row>
    <row r="33" customFormat="false" ht="15" hidden="false" customHeight="true" outlineLevel="0" collapsed="false">
      <c r="A33" s="177" t="s">
        <v>38</v>
      </c>
      <c r="B33" s="178" t="n">
        <v>0</v>
      </c>
      <c r="C33" s="359" t="n">
        <f aca="false">IF(Projects!$G$35="Yes",Projects!$B$35*(Assumptions!$B$10+Assumptions!$B$11+Assumptions!$B$12),0)</f>
        <v>0</v>
      </c>
      <c r="D33" s="359" t="n">
        <f aca="false">C33*0.05</f>
        <v>0</v>
      </c>
      <c r="E33" s="359" t="n">
        <f aca="false">B33+D33</f>
        <v>0</v>
      </c>
      <c r="F33" s="360" t="n">
        <f aca="false">Projects!$C$35+Projects!$D$35-1</f>
        <v>78</v>
      </c>
      <c r="G33" s="361" t="n">
        <f aca="false">EDATE(DATE(2026,4,1),F33-1)</f>
        <v>48458</v>
      </c>
    </row>
    <row r="34" customFormat="false" ht="15" hidden="false" customHeight="true" outlineLevel="0" collapsed="false">
      <c r="A34" s="177" t="s">
        <v>39</v>
      </c>
      <c r="B34" s="178" t="n">
        <v>0</v>
      </c>
      <c r="C34" s="359" t="n">
        <f aca="false">IF(Projects!$G$36="Yes",Projects!$B$36*(Assumptions!$B$10+Assumptions!$B$11+Assumptions!$B$12),0)</f>
        <v>0</v>
      </c>
      <c r="D34" s="359" t="n">
        <f aca="false">C34*0.05</f>
        <v>0</v>
      </c>
      <c r="E34" s="359" t="n">
        <f aca="false">B34+D34</f>
        <v>0</v>
      </c>
      <c r="F34" s="360" t="n">
        <f aca="false">Projects!$C$36+Projects!$D$36-1</f>
        <v>80</v>
      </c>
      <c r="G34" s="361" t="n">
        <f aca="false">EDATE(DATE(2026,4,1),F34-1)</f>
        <v>48519</v>
      </c>
    </row>
    <row r="35" customFormat="false" ht="15" hidden="false" customHeight="true" outlineLevel="0" collapsed="false">
      <c r="A35" s="177" t="s">
        <v>40</v>
      </c>
      <c r="B35" s="178" t="n">
        <v>0</v>
      </c>
      <c r="C35" s="359" t="n">
        <f aca="false">IF(Projects!$G$37="Yes",Projects!$B$37*(Assumptions!$B$10+Assumptions!$B$11+Assumptions!$B$12),0)</f>
        <v>0</v>
      </c>
      <c r="D35" s="359" t="n">
        <f aca="false">C35*0.05</f>
        <v>0</v>
      </c>
      <c r="E35" s="359" t="n">
        <f aca="false">B35+D35</f>
        <v>0</v>
      </c>
      <c r="F35" s="360" t="n">
        <f aca="false">Projects!$C$37+Projects!$D$37-1</f>
        <v>82</v>
      </c>
      <c r="G35" s="361" t="n">
        <f aca="false">EDATE(DATE(2026,4,1),F35-1)</f>
        <v>48580</v>
      </c>
    </row>
    <row r="36" customFormat="false" ht="15" hidden="false" customHeight="true" outlineLevel="0" collapsed="false">
      <c r="A36" s="177" t="s">
        <v>41</v>
      </c>
      <c r="B36" s="178" t="n">
        <v>0</v>
      </c>
      <c r="C36" s="359" t="n">
        <f aca="false">IF(Projects!$G$38="Yes",Projects!$B$38*(Assumptions!$B$10+Assumptions!$B$11+Assumptions!$B$12),0)</f>
        <v>0</v>
      </c>
      <c r="D36" s="359" t="n">
        <f aca="false">C36*0.05</f>
        <v>0</v>
      </c>
      <c r="E36" s="359" t="n">
        <f aca="false">B36+D36</f>
        <v>0</v>
      </c>
      <c r="F36" s="360" t="n">
        <f aca="false">Projects!$C$38+Projects!$D$38-1</f>
        <v>84</v>
      </c>
      <c r="G36" s="361" t="n">
        <f aca="false">EDATE(DATE(2026,4,1),F36-1)</f>
        <v>48639</v>
      </c>
    </row>
    <row r="37" customFormat="false" ht="15" hidden="false" customHeight="true" outlineLevel="0" collapsed="false">
      <c r="A37" s="177" t="s">
        <v>42</v>
      </c>
      <c r="B37" s="178" t="n">
        <v>0</v>
      </c>
      <c r="C37" s="359" t="n">
        <f aca="false">IF(Projects!$G$39="Yes",Projects!$B$39*(Assumptions!$B$10+Assumptions!$B$11+Assumptions!$B$12),0)</f>
        <v>0</v>
      </c>
      <c r="D37" s="359" t="n">
        <f aca="false">C37*0.05</f>
        <v>0</v>
      </c>
      <c r="E37" s="359" t="n">
        <f aca="false">B37+D37</f>
        <v>0</v>
      </c>
      <c r="F37" s="360" t="n">
        <f aca="false">Projects!$C$39+Projects!$D$39-1</f>
        <v>86</v>
      </c>
      <c r="G37" s="361" t="n">
        <f aca="false">EDATE(DATE(2026,4,1),F37-1)</f>
        <v>48700</v>
      </c>
    </row>
    <row r="38" customFormat="false" ht="15" hidden="false" customHeight="true" outlineLevel="0" collapsed="false">
      <c r="A38" s="177" t="s">
        <v>43</v>
      </c>
      <c r="B38" s="178" t="n">
        <v>0</v>
      </c>
      <c r="C38" s="359" t="n">
        <f aca="false">IF(Projects!$G$40="Yes",Projects!$B$40*(Assumptions!$B$10+Assumptions!$B$11+Assumptions!$B$12),0)</f>
        <v>0</v>
      </c>
      <c r="D38" s="359" t="n">
        <f aca="false">C38*0.05</f>
        <v>0</v>
      </c>
      <c r="E38" s="359" t="n">
        <f aca="false">B38+D38</f>
        <v>0</v>
      </c>
      <c r="F38" s="360" t="n">
        <f aca="false">Projects!$C$40+Projects!$D$40-1</f>
        <v>88</v>
      </c>
      <c r="G38" s="361" t="n">
        <f aca="false">EDATE(DATE(2026,4,1),F38-1)</f>
        <v>48761</v>
      </c>
    </row>
    <row r="39" customFormat="false" ht="15" hidden="false" customHeight="true" outlineLevel="0" collapsed="false">
      <c r="A39" s="177" t="s">
        <v>44</v>
      </c>
      <c r="B39" s="178" t="n">
        <v>0</v>
      </c>
      <c r="C39" s="359" t="n">
        <f aca="false">IF(Projects!$G$41="Yes",Projects!$B$41*(Assumptions!$B$10+Assumptions!$B$11+Assumptions!$B$12),0)</f>
        <v>0</v>
      </c>
      <c r="D39" s="359" t="n">
        <f aca="false">C39*0.05</f>
        <v>0</v>
      </c>
      <c r="E39" s="359" t="n">
        <f aca="false">B39+D39</f>
        <v>0</v>
      </c>
      <c r="F39" s="360" t="n">
        <f aca="false">Projects!$C$41+Projects!$D$41-1</f>
        <v>90</v>
      </c>
      <c r="G39" s="361" t="n">
        <f aca="false">EDATE(DATE(2026,4,1),F39-1)</f>
        <v>48823</v>
      </c>
    </row>
    <row r="40" customFormat="false" ht="15" hidden="false" customHeight="true" outlineLevel="0" collapsed="false">
      <c r="A40" s="177" t="s">
        <v>45</v>
      </c>
      <c r="B40" s="178" t="n">
        <v>0</v>
      </c>
      <c r="C40" s="359" t="n">
        <f aca="false">IF(Projects!$G$42="Yes",Projects!$B$42*(Assumptions!$B$10+Assumptions!$B$11+Assumptions!$B$12),0)</f>
        <v>0</v>
      </c>
      <c r="D40" s="359" t="n">
        <f aca="false">C40*0.05</f>
        <v>0</v>
      </c>
      <c r="E40" s="359" t="n">
        <f aca="false">B40+D40</f>
        <v>0</v>
      </c>
      <c r="F40" s="360" t="n">
        <f aca="false">Projects!$C$42+Projects!$D$42-1</f>
        <v>92</v>
      </c>
      <c r="G40" s="361" t="n">
        <f aca="false">EDATE(DATE(2026,4,1),F40-1)</f>
        <v>48884</v>
      </c>
    </row>
    <row r="41" customFormat="false" ht="15" hidden="false" customHeight="true" outlineLevel="0" collapsed="false">
      <c r="A41" s="177" t="s">
        <v>46</v>
      </c>
      <c r="B41" s="178" t="n">
        <v>0</v>
      </c>
      <c r="C41" s="359" t="n">
        <f aca="false">IF(Projects!$G$43="Yes",Projects!$B$43*(Assumptions!$B$10+Assumptions!$B$11+Assumptions!$B$12),0)</f>
        <v>0</v>
      </c>
      <c r="D41" s="359" t="n">
        <f aca="false">C41*0.05</f>
        <v>0</v>
      </c>
      <c r="E41" s="359" t="n">
        <f aca="false">B41+D41</f>
        <v>0</v>
      </c>
      <c r="F41" s="360" t="n">
        <f aca="false">Projects!$C$43+Projects!$D$43-1</f>
        <v>94</v>
      </c>
      <c r="G41" s="361" t="n">
        <f aca="false">EDATE(DATE(2026,4,1),F41-1)</f>
        <v>48945</v>
      </c>
    </row>
    <row r="42" customFormat="false" ht="15" hidden="false" customHeight="true" outlineLevel="0" collapsed="false">
      <c r="A42" s="177" t="s">
        <v>47</v>
      </c>
      <c r="B42" s="178" t="n">
        <v>0</v>
      </c>
      <c r="C42" s="359" t="n">
        <f aca="false">IF(Projects!$G$44="Yes",Projects!$B$44*(Assumptions!$B$10+Assumptions!$B$11+Assumptions!$B$12),0)</f>
        <v>0</v>
      </c>
      <c r="D42" s="359" t="n">
        <f aca="false">C42*0.05</f>
        <v>0</v>
      </c>
      <c r="E42" s="359" t="n">
        <f aca="false">B42+D42</f>
        <v>0</v>
      </c>
      <c r="F42" s="360" t="n">
        <f aca="false">Projects!$C$44+Projects!$D$44-1</f>
        <v>96</v>
      </c>
      <c r="G42" s="361" t="n">
        <f aca="false">EDATE(DATE(2026,4,1),F42-1)</f>
        <v>49004</v>
      </c>
    </row>
    <row r="43" customFormat="false" ht="15" hidden="false" customHeight="true" outlineLevel="0" collapsed="false">
      <c r="A43" s="177" t="s">
        <v>48</v>
      </c>
      <c r="B43" s="178" t="n">
        <v>0</v>
      </c>
      <c r="C43" s="359" t="n">
        <f aca="false">IF(Projects!$G$45="Yes",Projects!$B$45*(Assumptions!$B$10+Assumptions!$B$11+Assumptions!$B$12),0)</f>
        <v>0</v>
      </c>
      <c r="D43" s="359" t="n">
        <f aca="false">C43*0.05</f>
        <v>0</v>
      </c>
      <c r="E43" s="359" t="n">
        <f aca="false">B43+D43</f>
        <v>0</v>
      </c>
      <c r="F43" s="360" t="n">
        <f aca="false">Projects!$C$45+Projects!$D$45-1</f>
        <v>98</v>
      </c>
      <c r="G43" s="361" t="n">
        <f aca="false">EDATE(DATE(2026,4,1),F43-1)</f>
        <v>49065</v>
      </c>
    </row>
    <row r="44" customFormat="false" ht="15" hidden="false" customHeight="true" outlineLevel="0" collapsed="false">
      <c r="A44" s="177" t="s">
        <v>49</v>
      </c>
      <c r="B44" s="178" t="n">
        <v>0</v>
      </c>
      <c r="C44" s="359" t="n">
        <f aca="false">IF(Projects!$G$46="Yes",Projects!$B$46*(Assumptions!$B$10+Assumptions!$B$11+Assumptions!$B$12),0)</f>
        <v>0</v>
      </c>
      <c r="D44" s="359" t="n">
        <f aca="false">C44*0.05</f>
        <v>0</v>
      </c>
      <c r="E44" s="359" t="n">
        <f aca="false">B44+D44</f>
        <v>0</v>
      </c>
      <c r="F44" s="360" t="n">
        <f aca="false">Projects!$C$46+Projects!$D$46-1</f>
        <v>100</v>
      </c>
      <c r="G44" s="361" t="n">
        <f aca="false">EDATE(DATE(2026,4,1),F44-1)</f>
        <v>49126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C4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58"/>
  </cols>
  <sheetData>
    <row r="1" customFormat="false" ht="15.75" hidden="false" customHeight="true" outlineLevel="0" collapsed="false">
      <c r="A1" s="94" t="s">
        <v>1237</v>
      </c>
    </row>
    <row r="2" customFormat="false" ht="15" hidden="false" customHeight="true" outlineLevel="0" collapsed="false">
      <c r="A2" s="72" t="s">
        <v>1238</v>
      </c>
    </row>
    <row r="4" customFormat="false" ht="15" hidden="false" customHeight="true" outlineLevel="0" collapsed="false">
      <c r="A4" s="23" t="s">
        <v>1239</v>
      </c>
      <c r="B4" s="23"/>
      <c r="C4" s="23"/>
    </row>
    <row r="5" customFormat="false" ht="15" hidden="false" customHeight="true" outlineLevel="0" collapsed="false">
      <c r="A5" s="177" t="s">
        <v>1240</v>
      </c>
      <c r="B5" s="178" t="n">
        <v>180000</v>
      </c>
      <c r="C5" s="72" t="s">
        <v>1241</v>
      </c>
    </row>
    <row r="6" customFormat="false" ht="15" hidden="false" customHeight="true" outlineLevel="0" collapsed="false">
      <c r="A6" s="177" t="s">
        <v>1242</v>
      </c>
      <c r="B6" s="362" t="n">
        <v>1</v>
      </c>
      <c r="C6" s="72" t="s">
        <v>493</v>
      </c>
    </row>
    <row r="7" customFormat="false" ht="15" hidden="false" customHeight="true" outlineLevel="0" collapsed="false">
      <c r="A7" s="177" t="s">
        <v>1243</v>
      </c>
      <c r="B7" s="362" t="n">
        <v>7</v>
      </c>
      <c r="C7" s="72" t="s">
        <v>1244</v>
      </c>
    </row>
    <row r="8" customFormat="false" ht="15" hidden="false" customHeight="true" outlineLevel="0" collapsed="false">
      <c r="A8" s="177" t="s">
        <v>1245</v>
      </c>
      <c r="B8" s="359" t="n">
        <f aca="false">B5/B7</f>
        <v>25714.2857142857</v>
      </c>
      <c r="C8" s="72" t="s">
        <v>1246</v>
      </c>
    </row>
    <row r="9" customFormat="false" ht="15" hidden="false" customHeight="true" outlineLevel="0" collapsed="false">
      <c r="A9" s="177" t="s">
        <v>1247</v>
      </c>
      <c r="B9" s="178" t="n">
        <v>2500</v>
      </c>
      <c r="C9" s="72" t="s">
        <v>1248</v>
      </c>
    </row>
    <row r="10" customFormat="false" ht="15" hidden="false" customHeight="true" outlineLevel="0" collapsed="false">
      <c r="A10" s="177" t="s">
        <v>1249</v>
      </c>
      <c r="B10" s="362" t="n">
        <v>9</v>
      </c>
      <c r="C10" s="72" t="s">
        <v>1250</v>
      </c>
    </row>
    <row r="11" customFormat="false" ht="15" hidden="false" customHeight="true" outlineLevel="0" collapsed="false">
      <c r="A11" s="177" t="s">
        <v>1251</v>
      </c>
      <c r="B11" s="362" t="n">
        <v>30</v>
      </c>
      <c r="C11" s="72" t="s">
        <v>1252</v>
      </c>
    </row>
    <row r="12" customFormat="false" ht="15" hidden="false" customHeight="true" outlineLevel="0" collapsed="false">
      <c r="A12" s="177" t="s">
        <v>1253</v>
      </c>
      <c r="B12" s="178" t="n">
        <v>2694</v>
      </c>
      <c r="C12" s="72" t="s">
        <v>1254</v>
      </c>
    </row>
    <row r="13" customFormat="false" ht="15" hidden="false" customHeight="true" outlineLevel="0" collapsed="false">
      <c r="A13" s="177" t="s">
        <v>1255</v>
      </c>
      <c r="B13" s="362" t="n">
        <v>2</v>
      </c>
      <c r="C13" s="72" t="s">
        <v>494</v>
      </c>
    </row>
    <row r="14" customFormat="false" ht="15" hidden="false" customHeight="true" outlineLevel="0" collapsed="false">
      <c r="A14" s="177" t="s">
        <v>1256</v>
      </c>
      <c r="B14" s="362" t="n">
        <v>15</v>
      </c>
      <c r="C14" s="72" t="s">
        <v>1257</v>
      </c>
    </row>
    <row r="15" customFormat="false" ht="15" hidden="false" customHeight="true" outlineLevel="0" collapsed="false">
      <c r="A15" s="177" t="s">
        <v>1258</v>
      </c>
      <c r="B15" s="178" t="n">
        <v>2500</v>
      </c>
      <c r="C15" s="72" t="s">
        <v>1259</v>
      </c>
    </row>
    <row r="16" customFormat="false" ht="15" hidden="false" customHeight="true" outlineLevel="0" collapsed="false">
      <c r="A16" s="177" t="s">
        <v>1260</v>
      </c>
      <c r="B16" s="362" t="n">
        <v>2</v>
      </c>
      <c r="C16" s="72" t="s">
        <v>494</v>
      </c>
    </row>
    <row r="17" customFormat="false" ht="15" hidden="false" customHeight="true" outlineLevel="0" collapsed="false">
      <c r="A17" s="177" t="s">
        <v>1261</v>
      </c>
      <c r="B17" s="362" t="n">
        <v>30</v>
      </c>
      <c r="C17" s="72" t="s">
        <v>1262</v>
      </c>
    </row>
    <row r="18" customFormat="false" ht="15" hidden="false" customHeight="true" outlineLevel="0" collapsed="false">
      <c r="A18" s="177" t="s">
        <v>1263</v>
      </c>
      <c r="B18" s="178" t="n">
        <v>7500</v>
      </c>
      <c r="C18" s="72" t="s">
        <v>1264</v>
      </c>
    </row>
    <row r="19" customFormat="false" ht="15" hidden="false" customHeight="true" outlineLevel="0" collapsed="false">
      <c r="A19" s="177" t="s">
        <v>1265</v>
      </c>
      <c r="B19" s="362" t="n">
        <v>2</v>
      </c>
      <c r="C19" s="72" t="s">
        <v>494</v>
      </c>
    </row>
    <row r="20" customFormat="false" ht="15" hidden="false" customHeight="true" outlineLevel="0" collapsed="false">
      <c r="A20" s="177" t="s">
        <v>1266</v>
      </c>
      <c r="B20" s="178" t="n">
        <v>32000</v>
      </c>
      <c r="C20" s="72" t="s">
        <v>1267</v>
      </c>
    </row>
    <row r="21" customFormat="false" ht="15" hidden="false" customHeight="true" outlineLevel="0" collapsed="false">
      <c r="A21" s="177" t="s">
        <v>1268</v>
      </c>
      <c r="B21" s="178" t="n">
        <v>600000</v>
      </c>
      <c r="C21" s="72" t="s">
        <v>1269</v>
      </c>
    </row>
    <row r="22" customFormat="false" ht="15" hidden="false" customHeight="true" outlineLevel="0" collapsed="false">
      <c r="A22" s="177" t="s">
        <v>1270</v>
      </c>
      <c r="B22" s="362" t="n">
        <v>7</v>
      </c>
      <c r="C22" s="72" t="s">
        <v>1271</v>
      </c>
    </row>
    <row r="23" customFormat="false" ht="15" hidden="false" customHeight="true" outlineLevel="0" collapsed="false">
      <c r="A23" s="177" t="s">
        <v>1272</v>
      </c>
      <c r="B23" s="362" t="n">
        <v>12</v>
      </c>
      <c r="C23" s="72" t="s">
        <v>1273</v>
      </c>
    </row>
    <row r="24" customFormat="false" ht="15" hidden="false" customHeight="true" outlineLevel="0" collapsed="false">
      <c r="A24" s="177" t="s">
        <v>1274</v>
      </c>
      <c r="B24" s="359" t="n">
        <f aca="false">B21/B23</f>
        <v>50000</v>
      </c>
      <c r="C24" s="72" t="s">
        <v>1246</v>
      </c>
    </row>
    <row r="25" customFormat="false" ht="15" hidden="false" customHeight="true" outlineLevel="0" collapsed="false">
      <c r="A25" s="177" t="s">
        <v>1275</v>
      </c>
      <c r="B25" s="178" t="n">
        <v>2500</v>
      </c>
      <c r="C25" s="72" t="s">
        <v>1269</v>
      </c>
    </row>
    <row r="26" customFormat="false" ht="15" hidden="false" customHeight="true" outlineLevel="0" collapsed="false">
      <c r="A26" s="177" t="s">
        <v>1276</v>
      </c>
      <c r="B26" s="362" t="n">
        <v>22</v>
      </c>
      <c r="C26" s="72" t="s">
        <v>1277</v>
      </c>
    </row>
    <row r="27" customFormat="false" ht="15" hidden="false" customHeight="true" outlineLevel="0" collapsed="false">
      <c r="A27" s="177" t="s">
        <v>1278</v>
      </c>
      <c r="B27" s="362" t="n">
        <v>30</v>
      </c>
      <c r="C27" s="72" t="s">
        <v>1279</v>
      </c>
    </row>
    <row r="28" customFormat="false" ht="15" hidden="false" customHeight="true" outlineLevel="0" collapsed="false">
      <c r="A28" s="23" t="s">
        <v>1280</v>
      </c>
      <c r="B28" s="23"/>
      <c r="C28" s="23"/>
    </row>
    <row r="29" customFormat="false" ht="15" hidden="false" customHeight="true" outlineLevel="0" collapsed="false">
      <c r="A29" s="177" t="s">
        <v>1281</v>
      </c>
      <c r="B29" s="178" t="n">
        <v>12500</v>
      </c>
      <c r="C29" s="72" t="s">
        <v>1282</v>
      </c>
    </row>
    <row r="30" customFormat="false" ht="15" hidden="false" customHeight="true" outlineLevel="0" collapsed="false">
      <c r="A30" s="177" t="s">
        <v>1283</v>
      </c>
      <c r="B30" s="362" t="n">
        <v>18750</v>
      </c>
      <c r="C30" s="72" t="s">
        <v>1284</v>
      </c>
    </row>
    <row r="31" customFormat="false" ht="15" hidden="false" customHeight="true" outlineLevel="0" collapsed="false">
      <c r="A31" s="177" t="s">
        <v>1285</v>
      </c>
      <c r="B31" s="360" t="n">
        <f aca="false">B22</f>
        <v>7</v>
      </c>
      <c r="C31" s="72" t="s">
        <v>1286</v>
      </c>
    </row>
    <row r="32" customFormat="false" ht="15" hidden="false" customHeight="true" outlineLevel="0" collapsed="false">
      <c r="A32" s="177" t="s">
        <v>1287</v>
      </c>
      <c r="B32" s="178" t="n">
        <v>365</v>
      </c>
      <c r="C32" s="72" t="s">
        <v>1288</v>
      </c>
    </row>
    <row r="33" customFormat="false" ht="15" hidden="false" customHeight="true" outlineLevel="0" collapsed="false">
      <c r="A33" s="177" t="s">
        <v>1289</v>
      </c>
      <c r="B33" s="178" t="n">
        <v>8000</v>
      </c>
      <c r="C33" s="72" t="s">
        <v>1290</v>
      </c>
    </row>
    <row r="34" customFormat="false" ht="15" hidden="false" customHeight="true" outlineLevel="0" collapsed="false">
      <c r="A34" s="177" t="s">
        <v>1291</v>
      </c>
      <c r="B34" s="362" t="n">
        <v>5000</v>
      </c>
      <c r="C34" s="72" t="s">
        <v>1292</v>
      </c>
    </row>
    <row r="35" customFormat="false" ht="15" hidden="false" customHeight="true" outlineLevel="0" collapsed="false">
      <c r="A35" s="177" t="s">
        <v>1293</v>
      </c>
      <c r="B35" s="362" t="n">
        <v>2500</v>
      </c>
      <c r="C35" s="72" t="s">
        <v>1294</v>
      </c>
    </row>
    <row r="36" customFormat="false" ht="15" hidden="false" customHeight="true" outlineLevel="0" collapsed="false">
      <c r="A36" s="177" t="s">
        <v>1295</v>
      </c>
      <c r="B36" s="362" t="n">
        <v>2</v>
      </c>
      <c r="C36" s="72" t="s">
        <v>494</v>
      </c>
    </row>
    <row r="38" customFormat="false" ht="15" hidden="false" customHeight="true" outlineLevel="0" collapsed="false">
      <c r="A38" s="23" t="s">
        <v>1296</v>
      </c>
    </row>
    <row r="39" customFormat="false" ht="15" hidden="false" customHeight="true" outlineLevel="0" collapsed="false">
      <c r="A39" s="177" t="s">
        <v>1297</v>
      </c>
      <c r="B39" s="363" t="n">
        <v>0.6</v>
      </c>
      <c r="C39" s="72" t="s">
        <v>1298</v>
      </c>
    </row>
    <row r="40" customFormat="false" ht="15" hidden="false" customHeight="true" outlineLevel="0" collapsed="false">
      <c r="A40" s="177" t="s">
        <v>1299</v>
      </c>
      <c r="B40" s="178" t="n">
        <v>10</v>
      </c>
      <c r="C40" s="72" t="s">
        <v>1300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AN3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6"/>
    <col collapsed="false" customWidth="true" hidden="false" outlineLevel="0" max="40" min="2" style="1" width="12.42"/>
  </cols>
  <sheetData>
    <row r="1" customFormat="false" ht="15.75" hidden="false" customHeight="true" outlineLevel="0" collapsed="false">
      <c r="A1" s="94" t="s">
        <v>1301</v>
      </c>
    </row>
    <row r="3" customFormat="false" ht="15" hidden="false" customHeight="true" outlineLevel="0" collapsed="false">
      <c r="A3" s="49" t="s">
        <v>1</v>
      </c>
      <c r="B3" s="364" t="n">
        <v>1</v>
      </c>
      <c r="C3" s="364" t="n">
        <v>2</v>
      </c>
      <c r="D3" s="364" t="n">
        <v>3</v>
      </c>
      <c r="E3" s="364" t="n">
        <v>4</v>
      </c>
      <c r="F3" s="364" t="n">
        <v>5</v>
      </c>
      <c r="G3" s="364" t="n">
        <v>6</v>
      </c>
      <c r="H3" s="364" t="n">
        <v>7</v>
      </c>
      <c r="I3" s="364" t="n">
        <v>8</v>
      </c>
      <c r="J3" s="364" t="n">
        <v>9</v>
      </c>
      <c r="K3" s="364" t="n">
        <v>10</v>
      </c>
      <c r="L3" s="364" t="n">
        <v>11</v>
      </c>
      <c r="M3" s="364" t="n">
        <v>12</v>
      </c>
      <c r="N3" s="364" t="n">
        <v>13</v>
      </c>
      <c r="O3" s="364" t="n">
        <v>14</v>
      </c>
      <c r="P3" s="364" t="n">
        <v>15</v>
      </c>
      <c r="Q3" s="364" t="n">
        <v>16</v>
      </c>
      <c r="R3" s="364" t="n">
        <v>17</v>
      </c>
      <c r="S3" s="364" t="n">
        <v>18</v>
      </c>
      <c r="T3" s="364" t="n">
        <v>19</v>
      </c>
      <c r="U3" s="364" t="n">
        <v>20</v>
      </c>
      <c r="V3" s="364" t="n">
        <v>21</v>
      </c>
      <c r="W3" s="364" t="n">
        <v>22</v>
      </c>
      <c r="X3" s="364" t="n">
        <v>23</v>
      </c>
      <c r="Y3" s="364" t="n">
        <v>24</v>
      </c>
      <c r="Z3" s="364" t="n">
        <v>25</v>
      </c>
      <c r="AA3" s="364" t="n">
        <v>26</v>
      </c>
      <c r="AB3" s="364" t="n">
        <v>27</v>
      </c>
      <c r="AC3" s="364" t="n">
        <v>28</v>
      </c>
      <c r="AD3" s="364" t="n">
        <v>29</v>
      </c>
      <c r="AE3" s="364" t="n">
        <v>30</v>
      </c>
      <c r="AF3" s="364" t="n">
        <v>31</v>
      </c>
      <c r="AG3" s="364" t="n">
        <v>32</v>
      </c>
      <c r="AH3" s="364" t="n">
        <v>33</v>
      </c>
      <c r="AI3" s="364" t="n">
        <v>34</v>
      </c>
      <c r="AJ3" s="364" t="n">
        <v>35</v>
      </c>
      <c r="AK3" s="364" t="n">
        <v>36</v>
      </c>
      <c r="AL3" s="364" t="n">
        <v>37</v>
      </c>
      <c r="AM3" s="364" t="n">
        <v>38</v>
      </c>
      <c r="AN3" s="364"/>
    </row>
    <row r="4" customFormat="false" ht="15" hidden="false" customHeight="true" outlineLevel="0" collapsed="false">
      <c r="A4" s="5"/>
      <c r="B4" s="5" t="n">
        <v>46204</v>
      </c>
      <c r="C4" s="5" t="n">
        <v>46235</v>
      </c>
      <c r="D4" s="5" t="n">
        <v>46266</v>
      </c>
      <c r="E4" s="5" t="n">
        <v>46296</v>
      </c>
      <c r="F4" s="5" t="n">
        <v>46327</v>
      </c>
      <c r="G4" s="5" t="n">
        <v>46357</v>
      </c>
      <c r="H4" s="5" t="n">
        <v>46388</v>
      </c>
      <c r="I4" s="5" t="n">
        <v>46419</v>
      </c>
      <c r="J4" s="5" t="n">
        <v>46447</v>
      </c>
      <c r="K4" s="5" t="n">
        <v>46478</v>
      </c>
      <c r="L4" s="5" t="n">
        <v>46508</v>
      </c>
      <c r="M4" s="5" t="n">
        <v>46539</v>
      </c>
      <c r="N4" s="5" t="n">
        <v>46569</v>
      </c>
      <c r="O4" s="5" t="n">
        <v>46600</v>
      </c>
      <c r="P4" s="5" t="n">
        <v>46631</v>
      </c>
      <c r="Q4" s="5" t="n">
        <v>46661</v>
      </c>
      <c r="R4" s="5" t="n">
        <v>46692</v>
      </c>
      <c r="S4" s="5" t="n">
        <v>46722</v>
      </c>
      <c r="T4" s="5" t="n">
        <v>46753</v>
      </c>
      <c r="U4" s="5" t="n">
        <v>46784</v>
      </c>
      <c r="V4" s="5" t="n">
        <v>46813</v>
      </c>
      <c r="W4" s="5" t="n">
        <v>46844</v>
      </c>
      <c r="X4" s="5" t="n">
        <v>46874</v>
      </c>
      <c r="Y4" s="5" t="n">
        <v>46905</v>
      </c>
      <c r="Z4" s="5" t="n">
        <v>46935</v>
      </c>
      <c r="AA4" s="5" t="n">
        <v>46966</v>
      </c>
      <c r="AB4" s="5" t="n">
        <v>46997</v>
      </c>
      <c r="AC4" s="5" t="n">
        <v>47027</v>
      </c>
      <c r="AD4" s="5" t="n">
        <v>47058</v>
      </c>
      <c r="AE4" s="5" t="n">
        <v>47088</v>
      </c>
      <c r="AF4" s="5" t="n">
        <v>47119</v>
      </c>
      <c r="AG4" s="5" t="n">
        <v>47150</v>
      </c>
      <c r="AH4" s="5" t="n">
        <v>47178</v>
      </c>
      <c r="AI4" s="5" t="n">
        <v>47209</v>
      </c>
      <c r="AJ4" s="5" t="n">
        <v>47239</v>
      </c>
      <c r="AK4" s="5" t="n">
        <v>47270</v>
      </c>
      <c r="AL4" s="5" t="n">
        <v>47300</v>
      </c>
      <c r="AM4" s="5" t="n">
        <v>47331</v>
      </c>
      <c r="AN4" s="5" t="s">
        <v>476</v>
      </c>
    </row>
    <row r="6" customFormat="false" ht="15" hidden="false" customHeight="true" outlineLevel="0" collapsed="false">
      <c r="A6" s="23" t="s">
        <v>1239</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customFormat="false" ht="15" hidden="false" customHeight="true" outlineLevel="0" collapsed="false">
      <c r="A7" s="125" t="s">
        <v>1302</v>
      </c>
      <c r="B7" s="359" t="n">
        <f aca="false">IF(AND(B$3&gt;='APA Assumptions'!$B$6,B$3&lt;'APA Assumptions'!$B$6+'APA Assumptions'!$B$7),'APA Assumptions'!$B$8,0)</f>
        <v>25714.2857142857</v>
      </c>
      <c r="C7" s="359" t="n">
        <f aca="false">IF(AND(C$3&gt;='APA Assumptions'!$B$6,C$3&lt;'APA Assumptions'!$B$6+'APA Assumptions'!$B$7),'APA Assumptions'!$B$8,0)</f>
        <v>25714.2857142857</v>
      </c>
      <c r="D7" s="359" t="n">
        <f aca="false">IF(AND(D$3&gt;='APA Assumptions'!$B$6,D$3&lt;'APA Assumptions'!$B$6+'APA Assumptions'!$B$7),'APA Assumptions'!$B$8,0)</f>
        <v>25714.2857142857</v>
      </c>
      <c r="E7" s="359" t="n">
        <f aca="false">IF(AND(E$3&gt;='APA Assumptions'!$B$6,E$3&lt;'APA Assumptions'!$B$6+'APA Assumptions'!$B$7),'APA Assumptions'!$B$8,0)</f>
        <v>25714.2857142857</v>
      </c>
      <c r="F7" s="359" t="n">
        <f aca="false">IF(AND(F$3&gt;='APA Assumptions'!$B$6,F$3&lt;'APA Assumptions'!$B$6+'APA Assumptions'!$B$7),'APA Assumptions'!$B$8,0)</f>
        <v>25714.2857142857</v>
      </c>
      <c r="G7" s="359" t="n">
        <f aca="false">IF(AND(G$3&gt;='APA Assumptions'!$B$6,G$3&lt;'APA Assumptions'!$B$6+'APA Assumptions'!$B$7),'APA Assumptions'!$B$8,0)</f>
        <v>25714.2857142857</v>
      </c>
      <c r="H7" s="359" t="n">
        <f aca="false">IF(AND(H$3&gt;='APA Assumptions'!$B$6,H$3&lt;'APA Assumptions'!$B$6+'APA Assumptions'!$B$7),'APA Assumptions'!$B$8,0)</f>
        <v>25714.2857142857</v>
      </c>
      <c r="I7" s="359" t="n">
        <f aca="false">IF(AND(I$3&gt;='APA Assumptions'!$B$6,I$3&lt;'APA Assumptions'!$B$6+'APA Assumptions'!$B$7),'APA Assumptions'!$B$8,0)</f>
        <v>0</v>
      </c>
      <c r="J7" s="359" t="n">
        <f aca="false">IF(AND(J$3&gt;='APA Assumptions'!$B$6,J$3&lt;'APA Assumptions'!$B$6+'APA Assumptions'!$B$7),'APA Assumptions'!$B$8,0)</f>
        <v>0</v>
      </c>
      <c r="K7" s="359" t="n">
        <f aca="false">IF(AND(K$3&gt;='APA Assumptions'!$B$6,K$3&lt;'APA Assumptions'!$B$6+'APA Assumptions'!$B$7),'APA Assumptions'!$B$8,0)</f>
        <v>0</v>
      </c>
      <c r="L7" s="359" t="n">
        <f aca="false">IF(AND(L$3&gt;='APA Assumptions'!$B$6,L$3&lt;'APA Assumptions'!$B$6+'APA Assumptions'!$B$7),'APA Assumptions'!$B$8,0)</f>
        <v>0</v>
      </c>
      <c r="M7" s="359" t="n">
        <f aca="false">IF(AND(M$3&gt;='APA Assumptions'!$B$6,M$3&lt;'APA Assumptions'!$B$6+'APA Assumptions'!$B$7),'APA Assumptions'!$B$8,0)</f>
        <v>0</v>
      </c>
      <c r="N7" s="359" t="n">
        <f aca="false">IF(AND(N$3&gt;='APA Assumptions'!$B$6,N$3&lt;'APA Assumptions'!$B$6+'APA Assumptions'!$B$7),'APA Assumptions'!$B$8,0)</f>
        <v>0</v>
      </c>
      <c r="O7" s="359" t="n">
        <f aca="false">IF(AND(O$3&gt;='APA Assumptions'!$B$6,O$3&lt;'APA Assumptions'!$B$6+'APA Assumptions'!$B$7),'APA Assumptions'!$B$8,0)</f>
        <v>0</v>
      </c>
      <c r="P7" s="359" t="n">
        <f aca="false">IF(AND(P$3&gt;='APA Assumptions'!$B$6,P$3&lt;'APA Assumptions'!$B$6+'APA Assumptions'!$B$7),'APA Assumptions'!$B$8,0)</f>
        <v>0</v>
      </c>
      <c r="Q7" s="359" t="n">
        <f aca="false">IF(AND(Q$3&gt;='APA Assumptions'!$B$6,Q$3&lt;'APA Assumptions'!$B$6+'APA Assumptions'!$B$7),'APA Assumptions'!$B$8,0)</f>
        <v>0</v>
      </c>
      <c r="R7" s="359" t="n">
        <f aca="false">IF(AND(R$3&gt;='APA Assumptions'!$B$6,R$3&lt;'APA Assumptions'!$B$6+'APA Assumptions'!$B$7),'APA Assumptions'!$B$8,0)</f>
        <v>0</v>
      </c>
      <c r="S7" s="359" t="n">
        <f aca="false">IF(AND(S$3&gt;='APA Assumptions'!$B$6,S$3&lt;'APA Assumptions'!$B$6+'APA Assumptions'!$B$7),'APA Assumptions'!$B$8,0)</f>
        <v>0</v>
      </c>
      <c r="T7" s="359" t="n">
        <f aca="false">IF(AND(T$3&gt;='APA Assumptions'!$B$6,T$3&lt;'APA Assumptions'!$B$6+'APA Assumptions'!$B$7),'APA Assumptions'!$B$8,0)</f>
        <v>0</v>
      </c>
      <c r="U7" s="359" t="n">
        <f aca="false">IF(AND(U$3&gt;='APA Assumptions'!$B$6,U$3&lt;'APA Assumptions'!$B$6+'APA Assumptions'!$B$7),'APA Assumptions'!$B$8,0)</f>
        <v>0</v>
      </c>
      <c r="V7" s="359" t="n">
        <f aca="false">IF(AND(V$3&gt;='APA Assumptions'!$B$6,V$3&lt;'APA Assumptions'!$B$6+'APA Assumptions'!$B$7),'APA Assumptions'!$B$8,0)</f>
        <v>0</v>
      </c>
      <c r="W7" s="359" t="n">
        <f aca="false">IF(AND(W$3&gt;='APA Assumptions'!$B$6,W$3&lt;'APA Assumptions'!$B$6+'APA Assumptions'!$B$7),'APA Assumptions'!$B$8,0)</f>
        <v>0</v>
      </c>
      <c r="X7" s="359" t="n">
        <f aca="false">IF(AND(X$3&gt;='APA Assumptions'!$B$6,X$3&lt;'APA Assumptions'!$B$6+'APA Assumptions'!$B$7),'APA Assumptions'!$B$8,0)</f>
        <v>0</v>
      </c>
      <c r="Y7" s="359" t="n">
        <f aca="false">IF(AND(Y$3&gt;='APA Assumptions'!$B$6,Y$3&lt;'APA Assumptions'!$B$6+'APA Assumptions'!$B$7),'APA Assumptions'!$B$8,0)</f>
        <v>0</v>
      </c>
      <c r="Z7" s="359" t="n">
        <f aca="false">IF(AND(Z$3&gt;='APA Assumptions'!$B$6,Z$3&lt;'APA Assumptions'!$B$6+'APA Assumptions'!$B$7),'APA Assumptions'!$B$8,0)</f>
        <v>0</v>
      </c>
      <c r="AA7" s="359" t="n">
        <f aca="false">IF(AND(AA$3&gt;='APA Assumptions'!$B$6,AA$3&lt;'APA Assumptions'!$B$6+'APA Assumptions'!$B$7),'APA Assumptions'!$B$8,0)</f>
        <v>0</v>
      </c>
      <c r="AB7" s="359" t="n">
        <f aca="false">IF(AND(AB$3&gt;='APA Assumptions'!$B$6,AB$3&lt;'APA Assumptions'!$B$6+'APA Assumptions'!$B$7),'APA Assumptions'!$B$8,0)</f>
        <v>0</v>
      </c>
      <c r="AC7" s="359" t="n">
        <f aca="false">IF(AND(AC$3&gt;='APA Assumptions'!$B$6,AC$3&lt;'APA Assumptions'!$B$6+'APA Assumptions'!$B$7),'APA Assumptions'!$B$8,0)</f>
        <v>0</v>
      </c>
      <c r="AD7" s="359" t="n">
        <f aca="false">IF(AND(AD$3&gt;='APA Assumptions'!$B$6,AD$3&lt;'APA Assumptions'!$B$6+'APA Assumptions'!$B$7),'APA Assumptions'!$B$8,0)</f>
        <v>0</v>
      </c>
      <c r="AE7" s="359" t="n">
        <f aca="false">IF(AND(AE$3&gt;='APA Assumptions'!$B$6,AE$3&lt;'APA Assumptions'!$B$6+'APA Assumptions'!$B$7),'APA Assumptions'!$B$8,0)</f>
        <v>0</v>
      </c>
      <c r="AF7" s="359" t="n">
        <f aca="false">IF(AND(AF$3&gt;='APA Assumptions'!$B$6,AF$3&lt;'APA Assumptions'!$B$6+'APA Assumptions'!$B$7),'APA Assumptions'!$B$8,0)</f>
        <v>0</v>
      </c>
      <c r="AG7" s="359" t="n">
        <f aca="false">IF(AND(AG$3&gt;='APA Assumptions'!$B$6,AG$3&lt;'APA Assumptions'!$B$6+'APA Assumptions'!$B$7),'APA Assumptions'!$B$8,0)</f>
        <v>0</v>
      </c>
      <c r="AH7" s="359" t="n">
        <f aca="false">IF(AND(AH$3&gt;='APA Assumptions'!$B$6,AH$3&lt;'APA Assumptions'!$B$6+'APA Assumptions'!$B$7),'APA Assumptions'!$B$8,0)</f>
        <v>0</v>
      </c>
      <c r="AI7" s="359" t="n">
        <f aca="false">IF(AND(AI$3&gt;='APA Assumptions'!$B$6,AI$3&lt;'APA Assumptions'!$B$6+'APA Assumptions'!$B$7),'APA Assumptions'!$B$8,0)</f>
        <v>0</v>
      </c>
      <c r="AJ7" s="359" t="n">
        <f aca="false">IF(AND(AJ$3&gt;='APA Assumptions'!$B$6,AJ$3&lt;'APA Assumptions'!$B$6+'APA Assumptions'!$B$7),'APA Assumptions'!$B$8,0)</f>
        <v>0</v>
      </c>
      <c r="AK7" s="359" t="n">
        <f aca="false">IF(AND(AK$3&gt;='APA Assumptions'!$B$6,AK$3&lt;'APA Assumptions'!$B$6+'APA Assumptions'!$B$7),'APA Assumptions'!$B$8,0)</f>
        <v>0</v>
      </c>
      <c r="AL7" s="359" t="n">
        <f aca="false">IF(AND(AL$3&gt;='APA Assumptions'!$B$6,AL$3&lt;'APA Assumptions'!$B$6+'APA Assumptions'!$B$7),'APA Assumptions'!$B$8,0)</f>
        <v>0</v>
      </c>
      <c r="AM7" s="359" t="n">
        <f aca="false">IF(AND(AM$3&gt;='APA Assumptions'!$B$6,AM$3&lt;'APA Assumptions'!$B$6+'APA Assumptions'!$B$7),'APA Assumptions'!$B$8,0)</f>
        <v>0</v>
      </c>
      <c r="AN7" s="359" t="n">
        <f aca="false">SUM(B7:AM7)</f>
        <v>180000</v>
      </c>
    </row>
    <row r="8" customFormat="false" ht="15" hidden="false" customHeight="true" outlineLevel="0" collapsed="false">
      <c r="A8" s="125" t="s">
        <v>1303</v>
      </c>
      <c r="B8" s="359" t="n">
        <f aca="false">IF(AND(B$3&gt;='APA Assumptions'!$B$10,B$3&lt;'APA Assumptions'!$B$10+'APA Assumptions'!$B$11),'APA Assumptions'!$B$9,0)</f>
        <v>0</v>
      </c>
      <c r="C8" s="359" t="n">
        <f aca="false">IF(AND(C$3&gt;='APA Assumptions'!$B$10,C$3&lt;'APA Assumptions'!$B$10+'APA Assumptions'!$B$11),'APA Assumptions'!$B$9,0)</f>
        <v>0</v>
      </c>
      <c r="D8" s="359" t="n">
        <f aca="false">IF(AND(D$3&gt;='APA Assumptions'!$B$10,D$3&lt;'APA Assumptions'!$B$10+'APA Assumptions'!$B$11),'APA Assumptions'!$B$9,0)</f>
        <v>0</v>
      </c>
      <c r="E8" s="359" t="n">
        <f aca="false">IF(AND(E$3&gt;='APA Assumptions'!$B$10,E$3&lt;'APA Assumptions'!$B$10+'APA Assumptions'!$B$11),'APA Assumptions'!$B$9,0)</f>
        <v>0</v>
      </c>
      <c r="F8" s="359" t="n">
        <f aca="false">IF(AND(F$3&gt;='APA Assumptions'!$B$10,F$3&lt;'APA Assumptions'!$B$10+'APA Assumptions'!$B$11),'APA Assumptions'!$B$9,0)</f>
        <v>0</v>
      </c>
      <c r="G8" s="359" t="n">
        <f aca="false">IF(AND(G$3&gt;='APA Assumptions'!$B$10,G$3&lt;'APA Assumptions'!$B$10+'APA Assumptions'!$B$11),'APA Assumptions'!$B$9,0)</f>
        <v>0</v>
      </c>
      <c r="H8" s="359" t="n">
        <f aca="false">IF(AND(H$3&gt;='APA Assumptions'!$B$10,H$3&lt;'APA Assumptions'!$B$10+'APA Assumptions'!$B$11),'APA Assumptions'!$B$9,0)</f>
        <v>0</v>
      </c>
      <c r="I8" s="359" t="n">
        <f aca="false">IF(AND(I$3&gt;='APA Assumptions'!$B$10,I$3&lt;'APA Assumptions'!$B$10+'APA Assumptions'!$B$11),'APA Assumptions'!$B$9,0)</f>
        <v>0</v>
      </c>
      <c r="J8" s="359" t="n">
        <f aca="false">IF(AND(J$3&gt;='APA Assumptions'!$B$10,J$3&lt;'APA Assumptions'!$B$10+'APA Assumptions'!$B$11),'APA Assumptions'!$B$9,0)</f>
        <v>2500</v>
      </c>
      <c r="K8" s="359" t="n">
        <f aca="false">IF(AND(K$3&gt;='APA Assumptions'!$B$10,K$3&lt;'APA Assumptions'!$B$10+'APA Assumptions'!$B$11),'APA Assumptions'!$B$9,0)</f>
        <v>2500</v>
      </c>
      <c r="L8" s="359" t="n">
        <f aca="false">IF(AND(L$3&gt;='APA Assumptions'!$B$10,L$3&lt;'APA Assumptions'!$B$10+'APA Assumptions'!$B$11),'APA Assumptions'!$B$9,0)</f>
        <v>2500</v>
      </c>
      <c r="M8" s="359" t="n">
        <f aca="false">IF(AND(M$3&gt;='APA Assumptions'!$B$10,M$3&lt;'APA Assumptions'!$B$10+'APA Assumptions'!$B$11),'APA Assumptions'!$B$9,0)</f>
        <v>2500</v>
      </c>
      <c r="N8" s="359" t="n">
        <f aca="false">IF(AND(N$3&gt;='APA Assumptions'!$B$10,N$3&lt;'APA Assumptions'!$B$10+'APA Assumptions'!$B$11),'APA Assumptions'!$B$9,0)</f>
        <v>2500</v>
      </c>
      <c r="O8" s="359" t="n">
        <f aca="false">IF(AND(O$3&gt;='APA Assumptions'!$B$10,O$3&lt;'APA Assumptions'!$B$10+'APA Assumptions'!$B$11),'APA Assumptions'!$B$9,0)</f>
        <v>2500</v>
      </c>
      <c r="P8" s="359" t="n">
        <f aca="false">IF(AND(P$3&gt;='APA Assumptions'!$B$10,P$3&lt;'APA Assumptions'!$B$10+'APA Assumptions'!$B$11),'APA Assumptions'!$B$9,0)</f>
        <v>2500</v>
      </c>
      <c r="Q8" s="359" t="n">
        <f aca="false">IF(AND(Q$3&gt;='APA Assumptions'!$B$10,Q$3&lt;'APA Assumptions'!$B$10+'APA Assumptions'!$B$11),'APA Assumptions'!$B$9,0)</f>
        <v>2500</v>
      </c>
      <c r="R8" s="359" t="n">
        <f aca="false">IF(AND(R$3&gt;='APA Assumptions'!$B$10,R$3&lt;'APA Assumptions'!$B$10+'APA Assumptions'!$B$11),'APA Assumptions'!$B$9,0)</f>
        <v>2500</v>
      </c>
      <c r="S8" s="359" t="n">
        <f aca="false">IF(AND(S$3&gt;='APA Assumptions'!$B$10,S$3&lt;'APA Assumptions'!$B$10+'APA Assumptions'!$B$11),'APA Assumptions'!$B$9,0)</f>
        <v>2500</v>
      </c>
      <c r="T8" s="359" t="n">
        <f aca="false">IF(AND(T$3&gt;='APA Assumptions'!$B$10,T$3&lt;'APA Assumptions'!$B$10+'APA Assumptions'!$B$11),'APA Assumptions'!$B$9,0)</f>
        <v>2500</v>
      </c>
      <c r="U8" s="359" t="n">
        <f aca="false">IF(AND(U$3&gt;='APA Assumptions'!$B$10,U$3&lt;'APA Assumptions'!$B$10+'APA Assumptions'!$B$11),'APA Assumptions'!$B$9,0)</f>
        <v>2500</v>
      </c>
      <c r="V8" s="359" t="n">
        <f aca="false">IF(AND(V$3&gt;='APA Assumptions'!$B$10,V$3&lt;'APA Assumptions'!$B$10+'APA Assumptions'!$B$11),'APA Assumptions'!$B$9,0)</f>
        <v>2500</v>
      </c>
      <c r="W8" s="359" t="n">
        <f aca="false">IF(AND(W$3&gt;='APA Assumptions'!$B$10,W$3&lt;'APA Assumptions'!$B$10+'APA Assumptions'!$B$11),'APA Assumptions'!$B$9,0)</f>
        <v>2500</v>
      </c>
      <c r="X8" s="359" t="n">
        <f aca="false">IF(AND(X$3&gt;='APA Assumptions'!$B$10,X$3&lt;'APA Assumptions'!$B$10+'APA Assumptions'!$B$11),'APA Assumptions'!$B$9,0)</f>
        <v>2500</v>
      </c>
      <c r="Y8" s="359" t="n">
        <f aca="false">IF(AND(Y$3&gt;='APA Assumptions'!$B$10,Y$3&lt;'APA Assumptions'!$B$10+'APA Assumptions'!$B$11),'APA Assumptions'!$B$9,0)</f>
        <v>2500</v>
      </c>
      <c r="Z8" s="359" t="n">
        <f aca="false">IF(AND(Z$3&gt;='APA Assumptions'!$B$10,Z$3&lt;'APA Assumptions'!$B$10+'APA Assumptions'!$B$11),'APA Assumptions'!$B$9,0)</f>
        <v>2500</v>
      </c>
      <c r="AA8" s="359" t="n">
        <f aca="false">IF(AND(AA$3&gt;='APA Assumptions'!$B$10,AA$3&lt;'APA Assumptions'!$B$10+'APA Assumptions'!$B$11),'APA Assumptions'!$B$9,0)</f>
        <v>2500</v>
      </c>
      <c r="AB8" s="359" t="n">
        <f aca="false">IF(AND(AB$3&gt;='APA Assumptions'!$B$10,AB$3&lt;'APA Assumptions'!$B$10+'APA Assumptions'!$B$11),'APA Assumptions'!$B$9,0)</f>
        <v>2500</v>
      </c>
      <c r="AC8" s="359" t="n">
        <f aca="false">IF(AND(AC$3&gt;='APA Assumptions'!$B$10,AC$3&lt;'APA Assumptions'!$B$10+'APA Assumptions'!$B$11),'APA Assumptions'!$B$9,0)</f>
        <v>2500</v>
      </c>
      <c r="AD8" s="359" t="n">
        <f aca="false">IF(AND(AD$3&gt;='APA Assumptions'!$B$10,AD$3&lt;'APA Assumptions'!$B$10+'APA Assumptions'!$B$11),'APA Assumptions'!$B$9,0)</f>
        <v>2500</v>
      </c>
      <c r="AE8" s="359" t="n">
        <f aca="false">IF(AND(AE$3&gt;='APA Assumptions'!$B$10,AE$3&lt;'APA Assumptions'!$B$10+'APA Assumptions'!$B$11),'APA Assumptions'!$B$9,0)</f>
        <v>2500</v>
      </c>
      <c r="AF8" s="359" t="n">
        <f aca="false">IF(AND(AF$3&gt;='APA Assumptions'!$B$10,AF$3&lt;'APA Assumptions'!$B$10+'APA Assumptions'!$B$11),'APA Assumptions'!$B$9,0)</f>
        <v>2500</v>
      </c>
      <c r="AG8" s="359" t="n">
        <f aca="false">IF(AND(AG$3&gt;='APA Assumptions'!$B$10,AG$3&lt;'APA Assumptions'!$B$10+'APA Assumptions'!$B$11),'APA Assumptions'!$B$9,0)</f>
        <v>2500</v>
      </c>
      <c r="AH8" s="359" t="n">
        <f aca="false">IF(AND(AH$3&gt;='APA Assumptions'!$B$10,AH$3&lt;'APA Assumptions'!$B$10+'APA Assumptions'!$B$11),'APA Assumptions'!$B$9,0)</f>
        <v>2500</v>
      </c>
      <c r="AI8" s="359" t="n">
        <f aca="false">IF(AND(AI$3&gt;='APA Assumptions'!$B$10,AI$3&lt;'APA Assumptions'!$B$10+'APA Assumptions'!$B$11),'APA Assumptions'!$B$9,0)</f>
        <v>2500</v>
      </c>
      <c r="AJ8" s="359" t="n">
        <f aca="false">IF(AND(AJ$3&gt;='APA Assumptions'!$B$10,AJ$3&lt;'APA Assumptions'!$B$10+'APA Assumptions'!$B$11),'APA Assumptions'!$B$9,0)</f>
        <v>2500</v>
      </c>
      <c r="AK8" s="359" t="n">
        <f aca="false">IF(AND(AK$3&gt;='APA Assumptions'!$B$10,AK$3&lt;'APA Assumptions'!$B$10+'APA Assumptions'!$B$11),'APA Assumptions'!$B$9,0)</f>
        <v>2500</v>
      </c>
      <c r="AL8" s="359" t="n">
        <f aca="false">IF(AND(AL$3&gt;='APA Assumptions'!$B$10,AL$3&lt;'APA Assumptions'!$B$10+'APA Assumptions'!$B$11),'APA Assumptions'!$B$9,0)</f>
        <v>2500</v>
      </c>
      <c r="AM8" s="359" t="n">
        <f aca="false">IF(AND(AM$3&gt;='APA Assumptions'!$B$10,AM$3&lt;'APA Assumptions'!$B$10+'APA Assumptions'!$B$11),'APA Assumptions'!$B$9,0)</f>
        <v>2500</v>
      </c>
      <c r="AN8" s="359" t="n">
        <f aca="false">SUM(B8:AM8)</f>
        <v>75000</v>
      </c>
    </row>
    <row r="9" customFormat="false" ht="15" hidden="false" customHeight="true" outlineLevel="0" collapsed="false">
      <c r="A9" s="125" t="s">
        <v>1304</v>
      </c>
      <c r="B9" s="359" t="n">
        <f aca="false">IF(AND(B$3&gt;='APA Assumptions'!$B$13,B$3&lt;'APA Assumptions'!$B$13+'APA Assumptions'!$B$14),'APA Assumptions'!$B$12,0)</f>
        <v>0</v>
      </c>
      <c r="C9" s="359" t="n">
        <f aca="false">IF(AND(C$3&gt;='APA Assumptions'!$B$13,C$3&lt;'APA Assumptions'!$B$13+'APA Assumptions'!$B$14),'APA Assumptions'!$B$12,0)</f>
        <v>2694</v>
      </c>
      <c r="D9" s="359" t="n">
        <f aca="false">IF(AND(D$3&gt;='APA Assumptions'!$B$13,D$3&lt;'APA Assumptions'!$B$13+'APA Assumptions'!$B$14),'APA Assumptions'!$B$12,0)</f>
        <v>2694</v>
      </c>
      <c r="E9" s="359" t="n">
        <f aca="false">IF(AND(E$3&gt;='APA Assumptions'!$B$13,E$3&lt;'APA Assumptions'!$B$13+'APA Assumptions'!$B$14),'APA Assumptions'!$B$12,0)</f>
        <v>2694</v>
      </c>
      <c r="F9" s="359" t="n">
        <f aca="false">IF(AND(F$3&gt;='APA Assumptions'!$B$13,F$3&lt;'APA Assumptions'!$B$13+'APA Assumptions'!$B$14),'APA Assumptions'!$B$12,0)</f>
        <v>2694</v>
      </c>
      <c r="G9" s="359" t="n">
        <f aca="false">IF(AND(G$3&gt;='APA Assumptions'!$B$13,G$3&lt;'APA Assumptions'!$B$13+'APA Assumptions'!$B$14),'APA Assumptions'!$B$12,0)</f>
        <v>2694</v>
      </c>
      <c r="H9" s="359" t="n">
        <f aca="false">IF(AND(H$3&gt;='APA Assumptions'!$B$13,H$3&lt;'APA Assumptions'!$B$13+'APA Assumptions'!$B$14),'APA Assumptions'!$B$12,0)</f>
        <v>2694</v>
      </c>
      <c r="I9" s="359" t="n">
        <f aca="false">IF(AND(I$3&gt;='APA Assumptions'!$B$13,I$3&lt;'APA Assumptions'!$B$13+'APA Assumptions'!$B$14),'APA Assumptions'!$B$12,0)</f>
        <v>2694</v>
      </c>
      <c r="J9" s="359" t="n">
        <f aca="false">IF(AND(J$3&gt;='APA Assumptions'!$B$13,J$3&lt;'APA Assumptions'!$B$13+'APA Assumptions'!$B$14),'APA Assumptions'!$B$12,0)</f>
        <v>2694</v>
      </c>
      <c r="K9" s="359" t="n">
        <f aca="false">IF(AND(K$3&gt;='APA Assumptions'!$B$13,K$3&lt;'APA Assumptions'!$B$13+'APA Assumptions'!$B$14),'APA Assumptions'!$B$12,0)</f>
        <v>2694</v>
      </c>
      <c r="L9" s="359" t="n">
        <f aca="false">IF(AND(L$3&gt;='APA Assumptions'!$B$13,L$3&lt;'APA Assumptions'!$B$13+'APA Assumptions'!$B$14),'APA Assumptions'!$B$12,0)</f>
        <v>2694</v>
      </c>
      <c r="M9" s="359" t="n">
        <f aca="false">IF(AND(M$3&gt;='APA Assumptions'!$B$13,M$3&lt;'APA Assumptions'!$B$13+'APA Assumptions'!$B$14),'APA Assumptions'!$B$12,0)</f>
        <v>2694</v>
      </c>
      <c r="N9" s="359" t="n">
        <f aca="false">IF(AND(N$3&gt;='APA Assumptions'!$B$13,N$3&lt;'APA Assumptions'!$B$13+'APA Assumptions'!$B$14),'APA Assumptions'!$B$12,0)</f>
        <v>2694</v>
      </c>
      <c r="O9" s="359" t="n">
        <f aca="false">IF(AND(O$3&gt;='APA Assumptions'!$B$13,O$3&lt;'APA Assumptions'!$B$13+'APA Assumptions'!$B$14),'APA Assumptions'!$B$12,0)</f>
        <v>2694</v>
      </c>
      <c r="P9" s="359" t="n">
        <f aca="false">IF(AND(P$3&gt;='APA Assumptions'!$B$13,P$3&lt;'APA Assumptions'!$B$13+'APA Assumptions'!$B$14),'APA Assumptions'!$B$12,0)</f>
        <v>2694</v>
      </c>
      <c r="Q9" s="359" t="n">
        <f aca="false">IF(AND(Q$3&gt;='APA Assumptions'!$B$13,Q$3&lt;'APA Assumptions'!$B$13+'APA Assumptions'!$B$14),'APA Assumptions'!$B$12,0)</f>
        <v>2694</v>
      </c>
      <c r="R9" s="359" t="n">
        <f aca="false">IF(AND(R$3&gt;='APA Assumptions'!$B$13,R$3&lt;'APA Assumptions'!$B$13+'APA Assumptions'!$B$14),'APA Assumptions'!$B$12,0)</f>
        <v>0</v>
      </c>
      <c r="S9" s="359" t="n">
        <f aca="false">IF(AND(S$3&gt;='APA Assumptions'!$B$13,S$3&lt;'APA Assumptions'!$B$13+'APA Assumptions'!$B$14),'APA Assumptions'!$B$12,0)</f>
        <v>0</v>
      </c>
      <c r="T9" s="359" t="n">
        <f aca="false">IF(AND(T$3&gt;='APA Assumptions'!$B$13,T$3&lt;'APA Assumptions'!$B$13+'APA Assumptions'!$B$14),'APA Assumptions'!$B$12,0)</f>
        <v>0</v>
      </c>
      <c r="U9" s="359" t="n">
        <f aca="false">IF(AND(U$3&gt;='APA Assumptions'!$B$13,U$3&lt;'APA Assumptions'!$B$13+'APA Assumptions'!$B$14),'APA Assumptions'!$B$12,0)</f>
        <v>0</v>
      </c>
      <c r="V9" s="359" t="n">
        <f aca="false">IF(AND(V$3&gt;='APA Assumptions'!$B$13,V$3&lt;'APA Assumptions'!$B$13+'APA Assumptions'!$B$14),'APA Assumptions'!$B$12,0)</f>
        <v>0</v>
      </c>
      <c r="W9" s="359" t="n">
        <f aca="false">IF(AND(W$3&gt;='APA Assumptions'!$B$13,W$3&lt;'APA Assumptions'!$B$13+'APA Assumptions'!$B$14),'APA Assumptions'!$B$12,0)</f>
        <v>0</v>
      </c>
      <c r="X9" s="359" t="n">
        <f aca="false">IF(AND(X$3&gt;='APA Assumptions'!$B$13,X$3&lt;'APA Assumptions'!$B$13+'APA Assumptions'!$B$14),'APA Assumptions'!$B$12,0)</f>
        <v>0</v>
      </c>
      <c r="Y9" s="359" t="n">
        <f aca="false">IF(AND(Y$3&gt;='APA Assumptions'!$B$13,Y$3&lt;'APA Assumptions'!$B$13+'APA Assumptions'!$B$14),'APA Assumptions'!$B$12,0)</f>
        <v>0</v>
      </c>
      <c r="Z9" s="359" t="n">
        <f aca="false">IF(AND(Z$3&gt;='APA Assumptions'!$B$13,Z$3&lt;'APA Assumptions'!$B$13+'APA Assumptions'!$B$14),'APA Assumptions'!$B$12,0)</f>
        <v>0</v>
      </c>
      <c r="AA9" s="359" t="n">
        <f aca="false">IF(AND(AA$3&gt;='APA Assumptions'!$B$13,AA$3&lt;'APA Assumptions'!$B$13+'APA Assumptions'!$B$14),'APA Assumptions'!$B$12,0)</f>
        <v>0</v>
      </c>
      <c r="AB9" s="359" t="n">
        <f aca="false">IF(AND(AB$3&gt;='APA Assumptions'!$B$13,AB$3&lt;'APA Assumptions'!$B$13+'APA Assumptions'!$B$14),'APA Assumptions'!$B$12,0)</f>
        <v>0</v>
      </c>
      <c r="AC9" s="359" t="n">
        <f aca="false">IF(AND(AC$3&gt;='APA Assumptions'!$B$13,AC$3&lt;'APA Assumptions'!$B$13+'APA Assumptions'!$B$14),'APA Assumptions'!$B$12,0)</f>
        <v>0</v>
      </c>
      <c r="AD9" s="359" t="n">
        <f aca="false">IF(AND(AD$3&gt;='APA Assumptions'!$B$13,AD$3&lt;'APA Assumptions'!$B$13+'APA Assumptions'!$B$14),'APA Assumptions'!$B$12,0)</f>
        <v>0</v>
      </c>
      <c r="AE9" s="359" t="n">
        <f aca="false">IF(AND(AE$3&gt;='APA Assumptions'!$B$13,AE$3&lt;'APA Assumptions'!$B$13+'APA Assumptions'!$B$14),'APA Assumptions'!$B$12,0)</f>
        <v>0</v>
      </c>
      <c r="AF9" s="359" t="n">
        <f aca="false">IF(AND(AF$3&gt;='APA Assumptions'!$B$13,AF$3&lt;'APA Assumptions'!$B$13+'APA Assumptions'!$B$14),'APA Assumptions'!$B$12,0)</f>
        <v>0</v>
      </c>
      <c r="AG9" s="359" t="n">
        <f aca="false">IF(AND(AG$3&gt;='APA Assumptions'!$B$13,AG$3&lt;'APA Assumptions'!$B$13+'APA Assumptions'!$B$14),'APA Assumptions'!$B$12,0)</f>
        <v>0</v>
      </c>
      <c r="AH9" s="359" t="n">
        <f aca="false">IF(AND(AH$3&gt;='APA Assumptions'!$B$13,AH$3&lt;'APA Assumptions'!$B$13+'APA Assumptions'!$B$14),'APA Assumptions'!$B$12,0)</f>
        <v>0</v>
      </c>
      <c r="AI9" s="359" t="n">
        <f aca="false">IF(AND(AI$3&gt;='APA Assumptions'!$B$13,AI$3&lt;'APA Assumptions'!$B$13+'APA Assumptions'!$B$14),'APA Assumptions'!$B$12,0)</f>
        <v>0</v>
      </c>
      <c r="AJ9" s="359" t="n">
        <f aca="false">IF(AND(AJ$3&gt;='APA Assumptions'!$B$13,AJ$3&lt;'APA Assumptions'!$B$13+'APA Assumptions'!$B$14),'APA Assumptions'!$B$12,0)</f>
        <v>0</v>
      </c>
      <c r="AK9" s="359" t="n">
        <f aca="false">IF(AND(AK$3&gt;='APA Assumptions'!$B$13,AK$3&lt;'APA Assumptions'!$B$13+'APA Assumptions'!$B$14),'APA Assumptions'!$B$12,0)</f>
        <v>0</v>
      </c>
      <c r="AL9" s="359" t="n">
        <f aca="false">IF(AND(AL$3&gt;='APA Assumptions'!$B$13,AL$3&lt;'APA Assumptions'!$B$13+'APA Assumptions'!$B$14),'APA Assumptions'!$B$12,0)</f>
        <v>0</v>
      </c>
      <c r="AM9" s="359" t="n">
        <f aca="false">IF(AND(AM$3&gt;='APA Assumptions'!$B$13,AM$3&lt;'APA Assumptions'!$B$13+'APA Assumptions'!$B$14),'APA Assumptions'!$B$12,0)</f>
        <v>0</v>
      </c>
      <c r="AN9" s="359" t="n">
        <f aca="false">SUM(B9:AM9)</f>
        <v>40410</v>
      </c>
    </row>
    <row r="10" customFormat="false" ht="15" hidden="false" customHeight="true" outlineLevel="0" collapsed="false">
      <c r="A10" s="125" t="s">
        <v>1305</v>
      </c>
      <c r="B10" s="359" t="n">
        <f aca="false">IF(AND(B$3&gt;='APA Assumptions'!$B$16,B$3&lt;'APA Assumptions'!$B$16+'APA Assumptions'!$B$17),'APA Assumptions'!$B$15,0)</f>
        <v>0</v>
      </c>
      <c r="C10" s="359" t="n">
        <f aca="false">IF(AND(C$3&gt;='APA Assumptions'!$B$16,C$3&lt;'APA Assumptions'!$B$16+'APA Assumptions'!$B$17),'APA Assumptions'!$B$15,0)</f>
        <v>2500</v>
      </c>
      <c r="D10" s="359" t="n">
        <f aca="false">IF(AND(D$3&gt;='APA Assumptions'!$B$16,D$3&lt;'APA Assumptions'!$B$16+'APA Assumptions'!$B$17),'APA Assumptions'!$B$15,0)</f>
        <v>2500</v>
      </c>
      <c r="E10" s="359" t="n">
        <f aca="false">IF(AND(E$3&gt;='APA Assumptions'!$B$16,E$3&lt;'APA Assumptions'!$B$16+'APA Assumptions'!$B$17),'APA Assumptions'!$B$15,0)</f>
        <v>2500</v>
      </c>
      <c r="F10" s="359" t="n">
        <f aca="false">IF(AND(F$3&gt;='APA Assumptions'!$B$16,F$3&lt;'APA Assumptions'!$B$16+'APA Assumptions'!$B$17),'APA Assumptions'!$B$15,0)</f>
        <v>2500</v>
      </c>
      <c r="G10" s="359" t="n">
        <f aca="false">IF(AND(G$3&gt;='APA Assumptions'!$B$16,G$3&lt;'APA Assumptions'!$B$16+'APA Assumptions'!$B$17),'APA Assumptions'!$B$15,0)</f>
        <v>2500</v>
      </c>
      <c r="H10" s="359" t="n">
        <f aca="false">IF(AND(H$3&gt;='APA Assumptions'!$B$16,H$3&lt;'APA Assumptions'!$B$16+'APA Assumptions'!$B$17),'APA Assumptions'!$B$15,0)</f>
        <v>2500</v>
      </c>
      <c r="I10" s="359" t="n">
        <f aca="false">IF(AND(I$3&gt;='APA Assumptions'!$B$16,I$3&lt;'APA Assumptions'!$B$16+'APA Assumptions'!$B$17),'APA Assumptions'!$B$15,0)</f>
        <v>2500</v>
      </c>
      <c r="J10" s="359" t="n">
        <f aca="false">IF(AND(J$3&gt;='APA Assumptions'!$B$16,J$3&lt;'APA Assumptions'!$B$16+'APA Assumptions'!$B$17),'APA Assumptions'!$B$15,0)</f>
        <v>2500</v>
      </c>
      <c r="K10" s="359" t="n">
        <f aca="false">IF(AND(K$3&gt;='APA Assumptions'!$B$16,K$3&lt;'APA Assumptions'!$B$16+'APA Assumptions'!$B$17),'APA Assumptions'!$B$15,0)</f>
        <v>2500</v>
      </c>
      <c r="L10" s="359" t="n">
        <f aca="false">IF(AND(L$3&gt;='APA Assumptions'!$B$16,L$3&lt;'APA Assumptions'!$B$16+'APA Assumptions'!$B$17),'APA Assumptions'!$B$15,0)</f>
        <v>2500</v>
      </c>
      <c r="M10" s="359" t="n">
        <f aca="false">IF(AND(M$3&gt;='APA Assumptions'!$B$16,M$3&lt;'APA Assumptions'!$B$16+'APA Assumptions'!$B$17),'APA Assumptions'!$B$15,0)</f>
        <v>2500</v>
      </c>
      <c r="N10" s="359" t="n">
        <f aca="false">IF(AND(N$3&gt;='APA Assumptions'!$B$16,N$3&lt;'APA Assumptions'!$B$16+'APA Assumptions'!$B$17),'APA Assumptions'!$B$15,0)</f>
        <v>2500</v>
      </c>
      <c r="O10" s="359" t="n">
        <f aca="false">IF(AND(O$3&gt;='APA Assumptions'!$B$16,O$3&lt;'APA Assumptions'!$B$16+'APA Assumptions'!$B$17),'APA Assumptions'!$B$15,0)</f>
        <v>2500</v>
      </c>
      <c r="P10" s="359" t="n">
        <f aca="false">IF(AND(P$3&gt;='APA Assumptions'!$B$16,P$3&lt;'APA Assumptions'!$B$16+'APA Assumptions'!$B$17),'APA Assumptions'!$B$15,0)</f>
        <v>2500</v>
      </c>
      <c r="Q10" s="359" t="n">
        <f aca="false">IF(AND(Q$3&gt;='APA Assumptions'!$B$16,Q$3&lt;'APA Assumptions'!$B$16+'APA Assumptions'!$B$17),'APA Assumptions'!$B$15,0)</f>
        <v>2500</v>
      </c>
      <c r="R10" s="359" t="n">
        <f aca="false">IF(AND(R$3&gt;='APA Assumptions'!$B$16,R$3&lt;'APA Assumptions'!$B$16+'APA Assumptions'!$B$17),'APA Assumptions'!$B$15,0)</f>
        <v>2500</v>
      </c>
      <c r="S10" s="359" t="n">
        <f aca="false">IF(AND(S$3&gt;='APA Assumptions'!$B$16,S$3&lt;'APA Assumptions'!$B$16+'APA Assumptions'!$B$17),'APA Assumptions'!$B$15,0)</f>
        <v>2500</v>
      </c>
      <c r="T10" s="359" t="n">
        <f aca="false">IF(AND(T$3&gt;='APA Assumptions'!$B$16,T$3&lt;'APA Assumptions'!$B$16+'APA Assumptions'!$B$17),'APA Assumptions'!$B$15,0)</f>
        <v>2500</v>
      </c>
      <c r="U10" s="359" t="n">
        <f aca="false">IF(AND(U$3&gt;='APA Assumptions'!$B$16,U$3&lt;'APA Assumptions'!$B$16+'APA Assumptions'!$B$17),'APA Assumptions'!$B$15,0)</f>
        <v>2500</v>
      </c>
      <c r="V10" s="359" t="n">
        <f aca="false">IF(AND(V$3&gt;='APA Assumptions'!$B$16,V$3&lt;'APA Assumptions'!$B$16+'APA Assumptions'!$B$17),'APA Assumptions'!$B$15,0)</f>
        <v>2500</v>
      </c>
      <c r="W10" s="359" t="n">
        <f aca="false">IF(AND(W$3&gt;='APA Assumptions'!$B$16,W$3&lt;'APA Assumptions'!$B$16+'APA Assumptions'!$B$17),'APA Assumptions'!$B$15,0)</f>
        <v>2500</v>
      </c>
      <c r="X10" s="359" t="n">
        <f aca="false">IF(AND(X$3&gt;='APA Assumptions'!$B$16,X$3&lt;'APA Assumptions'!$B$16+'APA Assumptions'!$B$17),'APA Assumptions'!$B$15,0)</f>
        <v>2500</v>
      </c>
      <c r="Y10" s="359" t="n">
        <f aca="false">IF(AND(Y$3&gt;='APA Assumptions'!$B$16,Y$3&lt;'APA Assumptions'!$B$16+'APA Assumptions'!$B$17),'APA Assumptions'!$B$15,0)</f>
        <v>2500</v>
      </c>
      <c r="Z10" s="359" t="n">
        <f aca="false">IF(AND(Z$3&gt;='APA Assumptions'!$B$16,Z$3&lt;'APA Assumptions'!$B$16+'APA Assumptions'!$B$17),'APA Assumptions'!$B$15,0)</f>
        <v>2500</v>
      </c>
      <c r="AA10" s="359" t="n">
        <f aca="false">IF(AND(AA$3&gt;='APA Assumptions'!$B$16,AA$3&lt;'APA Assumptions'!$B$16+'APA Assumptions'!$B$17),'APA Assumptions'!$B$15,0)</f>
        <v>2500</v>
      </c>
      <c r="AB10" s="359" t="n">
        <f aca="false">IF(AND(AB$3&gt;='APA Assumptions'!$B$16,AB$3&lt;'APA Assumptions'!$B$16+'APA Assumptions'!$B$17),'APA Assumptions'!$B$15,0)</f>
        <v>2500</v>
      </c>
      <c r="AC10" s="359" t="n">
        <f aca="false">IF(AND(AC$3&gt;='APA Assumptions'!$B$16,AC$3&lt;'APA Assumptions'!$B$16+'APA Assumptions'!$B$17),'APA Assumptions'!$B$15,0)</f>
        <v>2500</v>
      </c>
      <c r="AD10" s="359" t="n">
        <f aca="false">IF(AND(AD$3&gt;='APA Assumptions'!$B$16,AD$3&lt;'APA Assumptions'!$B$16+'APA Assumptions'!$B$17),'APA Assumptions'!$B$15,0)</f>
        <v>2500</v>
      </c>
      <c r="AE10" s="359" t="n">
        <f aca="false">IF(AND(AE$3&gt;='APA Assumptions'!$B$16,AE$3&lt;'APA Assumptions'!$B$16+'APA Assumptions'!$B$17),'APA Assumptions'!$B$15,0)</f>
        <v>2500</v>
      </c>
      <c r="AF10" s="359" t="n">
        <f aca="false">IF(AND(AF$3&gt;='APA Assumptions'!$B$16,AF$3&lt;'APA Assumptions'!$B$16+'APA Assumptions'!$B$17),'APA Assumptions'!$B$15,0)</f>
        <v>2500</v>
      </c>
      <c r="AG10" s="359" t="n">
        <f aca="false">IF(AND(AG$3&gt;='APA Assumptions'!$B$16,AG$3&lt;'APA Assumptions'!$B$16+'APA Assumptions'!$B$17),'APA Assumptions'!$B$15,0)</f>
        <v>0</v>
      </c>
      <c r="AH10" s="359" t="n">
        <f aca="false">IF(AND(AH$3&gt;='APA Assumptions'!$B$16,AH$3&lt;'APA Assumptions'!$B$16+'APA Assumptions'!$B$17),'APA Assumptions'!$B$15,0)</f>
        <v>0</v>
      </c>
      <c r="AI10" s="359" t="n">
        <f aca="false">IF(AND(AI$3&gt;='APA Assumptions'!$B$16,AI$3&lt;'APA Assumptions'!$B$16+'APA Assumptions'!$B$17),'APA Assumptions'!$B$15,0)</f>
        <v>0</v>
      </c>
      <c r="AJ10" s="359" t="n">
        <f aca="false">IF(AND(AJ$3&gt;='APA Assumptions'!$B$16,AJ$3&lt;'APA Assumptions'!$B$16+'APA Assumptions'!$B$17),'APA Assumptions'!$B$15,0)</f>
        <v>0</v>
      </c>
      <c r="AK10" s="359" t="n">
        <f aca="false">IF(AND(AK$3&gt;='APA Assumptions'!$B$16,AK$3&lt;'APA Assumptions'!$B$16+'APA Assumptions'!$B$17),'APA Assumptions'!$B$15,0)</f>
        <v>0</v>
      </c>
      <c r="AL10" s="359" t="n">
        <f aca="false">IF(AND(AL$3&gt;='APA Assumptions'!$B$16,AL$3&lt;'APA Assumptions'!$B$16+'APA Assumptions'!$B$17),'APA Assumptions'!$B$15,0)</f>
        <v>0</v>
      </c>
      <c r="AM10" s="359" t="n">
        <f aca="false">IF(AND(AM$3&gt;='APA Assumptions'!$B$16,AM$3&lt;'APA Assumptions'!$B$16+'APA Assumptions'!$B$17),'APA Assumptions'!$B$15,0)</f>
        <v>0</v>
      </c>
      <c r="AN10" s="359" t="n">
        <f aca="false">SUM(B10:AM10)</f>
        <v>75000</v>
      </c>
    </row>
    <row r="11" customFormat="false" ht="15" hidden="false" customHeight="true" outlineLevel="0" collapsed="false">
      <c r="A11" s="125" t="s">
        <v>1306</v>
      </c>
      <c r="B11" s="359" t="n">
        <f aca="false">IF(B$3&gt;='APA Assumptions'!$B$19,MAX(0,MIN('APA Assumptions'!$B$18,'APA Assumptions'!$B$20-'APA Assumptions'!$B$18*(B$3-'APA Assumptions'!$B$19))),0)</f>
        <v>0</v>
      </c>
      <c r="C11" s="359" t="n">
        <f aca="false">IF(C$3&gt;='APA Assumptions'!$B$19,MAX(0,MIN('APA Assumptions'!$B$18,'APA Assumptions'!$B$20-'APA Assumptions'!$B$18*(C$3-'APA Assumptions'!$B$19))),0)</f>
        <v>7500</v>
      </c>
      <c r="D11" s="359" t="n">
        <f aca="false">IF(D$3&gt;='APA Assumptions'!$B$19,MAX(0,MIN('APA Assumptions'!$B$18,'APA Assumptions'!$B$20-'APA Assumptions'!$B$18*(D$3-'APA Assumptions'!$B$19))),0)</f>
        <v>7500</v>
      </c>
      <c r="E11" s="359" t="n">
        <f aca="false">IF(E$3&gt;='APA Assumptions'!$B$19,MAX(0,MIN('APA Assumptions'!$B$18,'APA Assumptions'!$B$20-'APA Assumptions'!$B$18*(E$3-'APA Assumptions'!$B$19))),0)</f>
        <v>7500</v>
      </c>
      <c r="F11" s="359" t="n">
        <f aca="false">IF(F$3&gt;='APA Assumptions'!$B$19,MAX(0,MIN('APA Assumptions'!$B$18,'APA Assumptions'!$B$20-'APA Assumptions'!$B$18*(F$3-'APA Assumptions'!$B$19))),0)</f>
        <v>7500</v>
      </c>
      <c r="G11" s="359" t="n">
        <f aca="false">IF(G$3&gt;='APA Assumptions'!$B$19,MAX(0,MIN('APA Assumptions'!$B$18,'APA Assumptions'!$B$20-'APA Assumptions'!$B$18*(G$3-'APA Assumptions'!$B$19))),0)</f>
        <v>2000</v>
      </c>
      <c r="H11" s="359" t="n">
        <f aca="false">IF(H$3&gt;='APA Assumptions'!$B$19,MAX(0,MIN('APA Assumptions'!$B$18,'APA Assumptions'!$B$20-'APA Assumptions'!$B$18*(H$3-'APA Assumptions'!$B$19))),0)</f>
        <v>0</v>
      </c>
      <c r="I11" s="359" t="n">
        <f aca="false">IF(I$3&gt;='APA Assumptions'!$B$19,MAX(0,MIN('APA Assumptions'!$B$18,'APA Assumptions'!$B$20-'APA Assumptions'!$B$18*(I$3-'APA Assumptions'!$B$19))),0)</f>
        <v>0</v>
      </c>
      <c r="J11" s="359" t="n">
        <f aca="false">IF(J$3&gt;='APA Assumptions'!$B$19,MAX(0,MIN('APA Assumptions'!$B$18,'APA Assumptions'!$B$20-'APA Assumptions'!$B$18*(J$3-'APA Assumptions'!$B$19))),0)</f>
        <v>0</v>
      </c>
      <c r="K11" s="359" t="n">
        <f aca="false">IF(K$3&gt;='APA Assumptions'!$B$19,MAX(0,MIN('APA Assumptions'!$B$18,'APA Assumptions'!$B$20-'APA Assumptions'!$B$18*(K$3-'APA Assumptions'!$B$19))),0)</f>
        <v>0</v>
      </c>
      <c r="L11" s="359" t="n">
        <f aca="false">IF(L$3&gt;='APA Assumptions'!$B$19,MAX(0,MIN('APA Assumptions'!$B$18,'APA Assumptions'!$B$20-'APA Assumptions'!$B$18*(L$3-'APA Assumptions'!$B$19))),0)</f>
        <v>0</v>
      </c>
      <c r="M11" s="359" t="n">
        <f aca="false">IF(M$3&gt;='APA Assumptions'!$B$19,MAX(0,MIN('APA Assumptions'!$B$18,'APA Assumptions'!$B$20-'APA Assumptions'!$B$18*(M$3-'APA Assumptions'!$B$19))),0)</f>
        <v>0</v>
      </c>
      <c r="N11" s="359" t="n">
        <f aca="false">IF(N$3&gt;='APA Assumptions'!$B$19,MAX(0,MIN('APA Assumptions'!$B$18,'APA Assumptions'!$B$20-'APA Assumptions'!$B$18*(N$3-'APA Assumptions'!$B$19))),0)</f>
        <v>0</v>
      </c>
      <c r="O11" s="359" t="n">
        <f aca="false">IF(O$3&gt;='APA Assumptions'!$B$19,MAX(0,MIN('APA Assumptions'!$B$18,'APA Assumptions'!$B$20-'APA Assumptions'!$B$18*(O$3-'APA Assumptions'!$B$19))),0)</f>
        <v>0</v>
      </c>
      <c r="P11" s="359" t="n">
        <f aca="false">IF(P$3&gt;='APA Assumptions'!$B$19,MAX(0,MIN('APA Assumptions'!$B$18,'APA Assumptions'!$B$20-'APA Assumptions'!$B$18*(P$3-'APA Assumptions'!$B$19))),0)</f>
        <v>0</v>
      </c>
      <c r="Q11" s="359" t="n">
        <f aca="false">IF(Q$3&gt;='APA Assumptions'!$B$19,MAX(0,MIN('APA Assumptions'!$B$18,'APA Assumptions'!$B$20-'APA Assumptions'!$B$18*(Q$3-'APA Assumptions'!$B$19))),0)</f>
        <v>0</v>
      </c>
      <c r="R11" s="359" t="n">
        <f aca="false">IF(R$3&gt;='APA Assumptions'!$B$19,MAX(0,MIN('APA Assumptions'!$B$18,'APA Assumptions'!$B$20-'APA Assumptions'!$B$18*(R$3-'APA Assumptions'!$B$19))),0)</f>
        <v>0</v>
      </c>
      <c r="S11" s="359" t="n">
        <f aca="false">IF(S$3&gt;='APA Assumptions'!$B$19,MAX(0,MIN('APA Assumptions'!$B$18,'APA Assumptions'!$B$20-'APA Assumptions'!$B$18*(S$3-'APA Assumptions'!$B$19))),0)</f>
        <v>0</v>
      </c>
      <c r="T11" s="359" t="n">
        <f aca="false">IF(T$3&gt;='APA Assumptions'!$B$19,MAX(0,MIN('APA Assumptions'!$B$18,'APA Assumptions'!$B$20-'APA Assumptions'!$B$18*(T$3-'APA Assumptions'!$B$19))),0)</f>
        <v>0</v>
      </c>
      <c r="U11" s="359" t="n">
        <f aca="false">IF(U$3&gt;='APA Assumptions'!$B$19,MAX(0,MIN('APA Assumptions'!$B$18,'APA Assumptions'!$B$20-'APA Assumptions'!$B$18*(U$3-'APA Assumptions'!$B$19))),0)</f>
        <v>0</v>
      </c>
      <c r="V11" s="359" t="n">
        <f aca="false">IF(V$3&gt;='APA Assumptions'!$B$19,MAX(0,MIN('APA Assumptions'!$B$18,'APA Assumptions'!$B$20-'APA Assumptions'!$B$18*(V$3-'APA Assumptions'!$B$19))),0)</f>
        <v>0</v>
      </c>
      <c r="W11" s="359" t="n">
        <f aca="false">IF(W$3&gt;='APA Assumptions'!$B$19,MAX(0,MIN('APA Assumptions'!$B$18,'APA Assumptions'!$B$20-'APA Assumptions'!$B$18*(W$3-'APA Assumptions'!$B$19))),0)</f>
        <v>0</v>
      </c>
      <c r="X11" s="359" t="n">
        <f aca="false">IF(X$3&gt;='APA Assumptions'!$B$19,MAX(0,MIN('APA Assumptions'!$B$18,'APA Assumptions'!$B$20-'APA Assumptions'!$B$18*(X$3-'APA Assumptions'!$B$19))),0)</f>
        <v>0</v>
      </c>
      <c r="Y11" s="359" t="n">
        <f aca="false">IF(Y$3&gt;='APA Assumptions'!$B$19,MAX(0,MIN('APA Assumptions'!$B$18,'APA Assumptions'!$B$20-'APA Assumptions'!$B$18*(Y$3-'APA Assumptions'!$B$19))),0)</f>
        <v>0</v>
      </c>
      <c r="Z11" s="359" t="n">
        <f aca="false">IF(Z$3&gt;='APA Assumptions'!$B$19,MAX(0,MIN('APA Assumptions'!$B$18,'APA Assumptions'!$B$20-'APA Assumptions'!$B$18*(Z$3-'APA Assumptions'!$B$19))),0)</f>
        <v>0</v>
      </c>
      <c r="AA11" s="359" t="n">
        <f aca="false">IF(AA$3&gt;='APA Assumptions'!$B$19,MAX(0,MIN('APA Assumptions'!$B$18,'APA Assumptions'!$B$20-'APA Assumptions'!$B$18*(AA$3-'APA Assumptions'!$B$19))),0)</f>
        <v>0</v>
      </c>
      <c r="AB11" s="359" t="n">
        <f aca="false">IF(AB$3&gt;='APA Assumptions'!$B$19,MAX(0,MIN('APA Assumptions'!$B$18,'APA Assumptions'!$B$20-'APA Assumptions'!$B$18*(AB$3-'APA Assumptions'!$B$19))),0)</f>
        <v>0</v>
      </c>
      <c r="AC11" s="359" t="n">
        <f aca="false">IF(AC$3&gt;='APA Assumptions'!$B$19,MAX(0,MIN('APA Assumptions'!$B$18,'APA Assumptions'!$B$20-'APA Assumptions'!$B$18*(AC$3-'APA Assumptions'!$B$19))),0)</f>
        <v>0</v>
      </c>
      <c r="AD11" s="359" t="n">
        <f aca="false">IF(AD$3&gt;='APA Assumptions'!$B$19,MAX(0,MIN('APA Assumptions'!$B$18,'APA Assumptions'!$B$20-'APA Assumptions'!$B$18*(AD$3-'APA Assumptions'!$B$19))),0)</f>
        <v>0</v>
      </c>
      <c r="AE11" s="359" t="n">
        <f aca="false">IF(AE$3&gt;='APA Assumptions'!$B$19,MAX(0,MIN('APA Assumptions'!$B$18,'APA Assumptions'!$B$20-'APA Assumptions'!$B$18*(AE$3-'APA Assumptions'!$B$19))),0)</f>
        <v>0</v>
      </c>
      <c r="AF11" s="359" t="n">
        <f aca="false">IF(AF$3&gt;='APA Assumptions'!$B$19,MAX(0,MIN('APA Assumptions'!$B$18,'APA Assumptions'!$B$20-'APA Assumptions'!$B$18*(AF$3-'APA Assumptions'!$B$19))),0)</f>
        <v>0</v>
      </c>
      <c r="AG11" s="359" t="n">
        <f aca="false">IF(AG$3&gt;='APA Assumptions'!$B$19,MAX(0,MIN('APA Assumptions'!$B$18,'APA Assumptions'!$B$20-'APA Assumptions'!$B$18*(AG$3-'APA Assumptions'!$B$19))),0)</f>
        <v>0</v>
      </c>
      <c r="AH11" s="359" t="n">
        <f aca="false">IF(AH$3&gt;='APA Assumptions'!$B$19,MAX(0,MIN('APA Assumptions'!$B$18,'APA Assumptions'!$B$20-'APA Assumptions'!$B$18*(AH$3-'APA Assumptions'!$B$19))),0)</f>
        <v>0</v>
      </c>
      <c r="AI11" s="359" t="n">
        <f aca="false">IF(AI$3&gt;='APA Assumptions'!$B$19,MAX(0,MIN('APA Assumptions'!$B$18,'APA Assumptions'!$B$20-'APA Assumptions'!$B$18*(AI$3-'APA Assumptions'!$B$19))),0)</f>
        <v>0</v>
      </c>
      <c r="AJ11" s="359" t="n">
        <f aca="false">IF(AJ$3&gt;='APA Assumptions'!$B$19,MAX(0,MIN('APA Assumptions'!$B$18,'APA Assumptions'!$B$20-'APA Assumptions'!$B$18*(AJ$3-'APA Assumptions'!$B$19))),0)</f>
        <v>0</v>
      </c>
      <c r="AK11" s="359" t="n">
        <f aca="false">IF(AK$3&gt;='APA Assumptions'!$B$19,MAX(0,MIN('APA Assumptions'!$B$18,'APA Assumptions'!$B$20-'APA Assumptions'!$B$18*(AK$3-'APA Assumptions'!$B$19))),0)</f>
        <v>0</v>
      </c>
      <c r="AL11" s="359" t="n">
        <f aca="false">IF(AL$3&gt;='APA Assumptions'!$B$19,MAX(0,MIN('APA Assumptions'!$B$18,'APA Assumptions'!$B$20-'APA Assumptions'!$B$18*(AL$3-'APA Assumptions'!$B$19))),0)</f>
        <v>0</v>
      </c>
      <c r="AM11" s="359" t="n">
        <f aca="false">IF(AM$3&gt;='APA Assumptions'!$B$19,MAX(0,MIN('APA Assumptions'!$B$18,'APA Assumptions'!$B$20-'APA Assumptions'!$B$18*(AM$3-'APA Assumptions'!$B$19))),0)</f>
        <v>0</v>
      </c>
      <c r="AN11" s="359" t="n">
        <f aca="false">SUM(B11:AM11)</f>
        <v>32000</v>
      </c>
    </row>
    <row r="12" customFormat="false" ht="15" hidden="false" customHeight="true" outlineLevel="0" collapsed="false">
      <c r="A12" s="125" t="s">
        <v>1307</v>
      </c>
      <c r="B12" s="359" t="n">
        <f aca="false">IF(AND(B$3&gt;='APA Assumptions'!$B$22,B$3&lt;'APA Assumptions'!$B$22+'APA Assumptions'!$B$23),'APA Assumptions'!$B$24,0)</f>
        <v>0</v>
      </c>
      <c r="C12" s="359" t="n">
        <f aca="false">IF(AND(C$3&gt;='APA Assumptions'!$B$22,C$3&lt;'APA Assumptions'!$B$22+'APA Assumptions'!$B$23),'APA Assumptions'!$B$24,0)</f>
        <v>0</v>
      </c>
      <c r="D12" s="359" t="n">
        <f aca="false">IF(AND(D$3&gt;='APA Assumptions'!$B$22,D$3&lt;'APA Assumptions'!$B$22+'APA Assumptions'!$B$23),'APA Assumptions'!$B$24,0)</f>
        <v>0</v>
      </c>
      <c r="E12" s="359" t="n">
        <f aca="false">IF(AND(E$3&gt;='APA Assumptions'!$B$22,E$3&lt;'APA Assumptions'!$B$22+'APA Assumptions'!$B$23),'APA Assumptions'!$B$24,0)</f>
        <v>0</v>
      </c>
      <c r="F12" s="359" t="n">
        <f aca="false">IF(AND(F$3&gt;='APA Assumptions'!$B$22,F$3&lt;'APA Assumptions'!$B$22+'APA Assumptions'!$B$23),'APA Assumptions'!$B$24,0)</f>
        <v>0</v>
      </c>
      <c r="G12" s="359" t="n">
        <f aca="false">IF(AND(G$3&gt;='APA Assumptions'!$B$22,G$3&lt;'APA Assumptions'!$B$22+'APA Assumptions'!$B$23),'APA Assumptions'!$B$24,0)</f>
        <v>0</v>
      </c>
      <c r="H12" s="359" t="n">
        <f aca="false">IF(AND(H$3&gt;='APA Assumptions'!$B$22,H$3&lt;'APA Assumptions'!$B$22+'APA Assumptions'!$B$23),'APA Assumptions'!$B$24,0)</f>
        <v>50000</v>
      </c>
      <c r="I12" s="359" t="n">
        <f aca="false">IF(AND(I$3&gt;='APA Assumptions'!$B$22,I$3&lt;'APA Assumptions'!$B$22+'APA Assumptions'!$B$23),'APA Assumptions'!$B$24,0)</f>
        <v>50000</v>
      </c>
      <c r="J12" s="359" t="n">
        <f aca="false">IF(AND(J$3&gt;='APA Assumptions'!$B$22,J$3&lt;'APA Assumptions'!$B$22+'APA Assumptions'!$B$23),'APA Assumptions'!$B$24,0)</f>
        <v>50000</v>
      </c>
      <c r="K12" s="359" t="n">
        <f aca="false">IF(AND(K$3&gt;='APA Assumptions'!$B$22,K$3&lt;'APA Assumptions'!$B$22+'APA Assumptions'!$B$23),'APA Assumptions'!$B$24,0)</f>
        <v>50000</v>
      </c>
      <c r="L12" s="359" t="n">
        <f aca="false">IF(AND(L$3&gt;='APA Assumptions'!$B$22,L$3&lt;'APA Assumptions'!$B$22+'APA Assumptions'!$B$23),'APA Assumptions'!$B$24,0)</f>
        <v>50000</v>
      </c>
      <c r="M12" s="359" t="n">
        <f aca="false">IF(AND(M$3&gt;='APA Assumptions'!$B$22,M$3&lt;'APA Assumptions'!$B$22+'APA Assumptions'!$B$23),'APA Assumptions'!$B$24,0)</f>
        <v>50000</v>
      </c>
      <c r="N12" s="359" t="n">
        <f aca="false">IF(AND(N$3&gt;='APA Assumptions'!$B$22,N$3&lt;'APA Assumptions'!$B$22+'APA Assumptions'!$B$23),'APA Assumptions'!$B$24,0)</f>
        <v>50000</v>
      </c>
      <c r="O12" s="359" t="n">
        <f aca="false">IF(AND(O$3&gt;='APA Assumptions'!$B$22,O$3&lt;'APA Assumptions'!$B$22+'APA Assumptions'!$B$23),'APA Assumptions'!$B$24,0)</f>
        <v>50000</v>
      </c>
      <c r="P12" s="359" t="n">
        <f aca="false">IF(AND(P$3&gt;='APA Assumptions'!$B$22,P$3&lt;'APA Assumptions'!$B$22+'APA Assumptions'!$B$23),'APA Assumptions'!$B$24,0)</f>
        <v>50000</v>
      </c>
      <c r="Q12" s="359" t="n">
        <f aca="false">IF(AND(Q$3&gt;='APA Assumptions'!$B$22,Q$3&lt;'APA Assumptions'!$B$22+'APA Assumptions'!$B$23),'APA Assumptions'!$B$24,0)</f>
        <v>50000</v>
      </c>
      <c r="R12" s="359" t="n">
        <f aca="false">IF(AND(R$3&gt;='APA Assumptions'!$B$22,R$3&lt;'APA Assumptions'!$B$22+'APA Assumptions'!$B$23),'APA Assumptions'!$B$24,0)</f>
        <v>50000</v>
      </c>
      <c r="S12" s="359" t="n">
        <f aca="false">IF(AND(S$3&gt;='APA Assumptions'!$B$22,S$3&lt;'APA Assumptions'!$B$22+'APA Assumptions'!$B$23),'APA Assumptions'!$B$24,0)</f>
        <v>50000</v>
      </c>
      <c r="T12" s="359" t="n">
        <f aca="false">IF(AND(T$3&gt;='APA Assumptions'!$B$22,T$3&lt;'APA Assumptions'!$B$22+'APA Assumptions'!$B$23),'APA Assumptions'!$B$24,0)</f>
        <v>0</v>
      </c>
      <c r="U12" s="359" t="n">
        <f aca="false">IF(AND(U$3&gt;='APA Assumptions'!$B$22,U$3&lt;'APA Assumptions'!$B$22+'APA Assumptions'!$B$23),'APA Assumptions'!$B$24,0)</f>
        <v>0</v>
      </c>
      <c r="V12" s="359" t="n">
        <f aca="false">IF(AND(V$3&gt;='APA Assumptions'!$B$22,V$3&lt;'APA Assumptions'!$B$22+'APA Assumptions'!$B$23),'APA Assumptions'!$B$24,0)</f>
        <v>0</v>
      </c>
      <c r="W12" s="359" t="n">
        <f aca="false">IF(AND(W$3&gt;='APA Assumptions'!$B$22,W$3&lt;'APA Assumptions'!$B$22+'APA Assumptions'!$B$23),'APA Assumptions'!$B$24,0)</f>
        <v>0</v>
      </c>
      <c r="X12" s="359" t="n">
        <f aca="false">IF(AND(X$3&gt;='APA Assumptions'!$B$22,X$3&lt;'APA Assumptions'!$B$22+'APA Assumptions'!$B$23),'APA Assumptions'!$B$24,0)</f>
        <v>0</v>
      </c>
      <c r="Y12" s="359" t="n">
        <f aca="false">IF(AND(Y$3&gt;='APA Assumptions'!$B$22,Y$3&lt;'APA Assumptions'!$B$22+'APA Assumptions'!$B$23),'APA Assumptions'!$B$24,0)</f>
        <v>0</v>
      </c>
      <c r="Z12" s="359" t="n">
        <f aca="false">IF(AND(Z$3&gt;='APA Assumptions'!$B$22,Z$3&lt;'APA Assumptions'!$B$22+'APA Assumptions'!$B$23),'APA Assumptions'!$B$24,0)</f>
        <v>0</v>
      </c>
      <c r="AA12" s="359" t="n">
        <f aca="false">IF(AND(AA$3&gt;='APA Assumptions'!$B$22,AA$3&lt;'APA Assumptions'!$B$22+'APA Assumptions'!$B$23),'APA Assumptions'!$B$24,0)</f>
        <v>0</v>
      </c>
      <c r="AB12" s="359" t="n">
        <f aca="false">IF(AND(AB$3&gt;='APA Assumptions'!$B$22,AB$3&lt;'APA Assumptions'!$B$22+'APA Assumptions'!$B$23),'APA Assumptions'!$B$24,0)</f>
        <v>0</v>
      </c>
      <c r="AC12" s="359" t="n">
        <f aca="false">IF(AND(AC$3&gt;='APA Assumptions'!$B$22,AC$3&lt;'APA Assumptions'!$B$22+'APA Assumptions'!$B$23),'APA Assumptions'!$B$24,0)</f>
        <v>0</v>
      </c>
      <c r="AD12" s="359" t="n">
        <f aca="false">IF(AND(AD$3&gt;='APA Assumptions'!$B$22,AD$3&lt;'APA Assumptions'!$B$22+'APA Assumptions'!$B$23),'APA Assumptions'!$B$24,0)</f>
        <v>0</v>
      </c>
      <c r="AE12" s="359" t="n">
        <f aca="false">IF(AND(AE$3&gt;='APA Assumptions'!$B$22,AE$3&lt;'APA Assumptions'!$B$22+'APA Assumptions'!$B$23),'APA Assumptions'!$B$24,0)</f>
        <v>0</v>
      </c>
      <c r="AF12" s="359" t="n">
        <f aca="false">IF(AND(AF$3&gt;='APA Assumptions'!$B$22,AF$3&lt;'APA Assumptions'!$B$22+'APA Assumptions'!$B$23),'APA Assumptions'!$B$24,0)</f>
        <v>0</v>
      </c>
      <c r="AG12" s="359" t="n">
        <f aca="false">IF(AND(AG$3&gt;='APA Assumptions'!$B$22,AG$3&lt;'APA Assumptions'!$B$22+'APA Assumptions'!$B$23),'APA Assumptions'!$B$24,0)</f>
        <v>0</v>
      </c>
      <c r="AH12" s="359" t="n">
        <f aca="false">IF(AND(AH$3&gt;='APA Assumptions'!$B$22,AH$3&lt;'APA Assumptions'!$B$22+'APA Assumptions'!$B$23),'APA Assumptions'!$B$24,0)</f>
        <v>0</v>
      </c>
      <c r="AI12" s="359" t="n">
        <f aca="false">IF(AND(AI$3&gt;='APA Assumptions'!$B$22,AI$3&lt;'APA Assumptions'!$B$22+'APA Assumptions'!$B$23),'APA Assumptions'!$B$24,0)</f>
        <v>0</v>
      </c>
      <c r="AJ12" s="359" t="n">
        <f aca="false">IF(AND(AJ$3&gt;='APA Assumptions'!$B$22,AJ$3&lt;'APA Assumptions'!$B$22+'APA Assumptions'!$B$23),'APA Assumptions'!$B$24,0)</f>
        <v>0</v>
      </c>
      <c r="AK12" s="359" t="n">
        <f aca="false">IF(AND(AK$3&gt;='APA Assumptions'!$B$22,AK$3&lt;'APA Assumptions'!$B$22+'APA Assumptions'!$B$23),'APA Assumptions'!$B$24,0)</f>
        <v>0</v>
      </c>
      <c r="AL12" s="359" t="n">
        <f aca="false">IF(AND(AL$3&gt;='APA Assumptions'!$B$22,AL$3&lt;'APA Assumptions'!$B$22+'APA Assumptions'!$B$23),'APA Assumptions'!$B$24,0)</f>
        <v>0</v>
      </c>
      <c r="AM12" s="359" t="n">
        <f aca="false">IF(AND(AM$3&gt;='APA Assumptions'!$B$22,AM$3&lt;'APA Assumptions'!$B$22+'APA Assumptions'!$B$23),'APA Assumptions'!$B$24,0)</f>
        <v>0</v>
      </c>
      <c r="AN12" s="359" t="n">
        <f aca="false">SUM(B12:AM12)</f>
        <v>600000</v>
      </c>
    </row>
    <row r="13" customFormat="false" ht="15" hidden="false" customHeight="true" outlineLevel="0" collapsed="false">
      <c r="A13" s="125" t="s">
        <v>1308</v>
      </c>
      <c r="B13" s="359" t="n">
        <f aca="false">IF(AND(B$3&gt;='APA Assumptions'!$B$26,B$3&lt;'APA Assumptions'!$B$26+'APA Assumptions'!$B$27),'APA Assumptions'!$B$25,0)</f>
        <v>0</v>
      </c>
      <c r="C13" s="359" t="n">
        <f aca="false">IF(AND(C$3&gt;='APA Assumptions'!$B$26,C$3&lt;'APA Assumptions'!$B$26+'APA Assumptions'!$B$27),'APA Assumptions'!$B$25,0)</f>
        <v>0</v>
      </c>
      <c r="D13" s="359" t="n">
        <f aca="false">IF(AND(D$3&gt;='APA Assumptions'!$B$26,D$3&lt;'APA Assumptions'!$B$26+'APA Assumptions'!$B$27),'APA Assumptions'!$B$25,0)</f>
        <v>0</v>
      </c>
      <c r="E13" s="359" t="n">
        <f aca="false">IF(AND(E$3&gt;='APA Assumptions'!$B$26,E$3&lt;'APA Assumptions'!$B$26+'APA Assumptions'!$B$27),'APA Assumptions'!$B$25,0)</f>
        <v>0</v>
      </c>
      <c r="F13" s="359" t="n">
        <f aca="false">IF(AND(F$3&gt;='APA Assumptions'!$B$26,F$3&lt;'APA Assumptions'!$B$26+'APA Assumptions'!$B$27),'APA Assumptions'!$B$25,0)</f>
        <v>0</v>
      </c>
      <c r="G13" s="359" t="n">
        <f aca="false">IF(AND(G$3&gt;='APA Assumptions'!$B$26,G$3&lt;'APA Assumptions'!$B$26+'APA Assumptions'!$B$27),'APA Assumptions'!$B$25,0)</f>
        <v>0</v>
      </c>
      <c r="H13" s="359" t="n">
        <f aca="false">IF(AND(H$3&gt;='APA Assumptions'!$B$26,H$3&lt;'APA Assumptions'!$B$26+'APA Assumptions'!$B$27),'APA Assumptions'!$B$25,0)</f>
        <v>0</v>
      </c>
      <c r="I13" s="359" t="n">
        <f aca="false">IF(AND(I$3&gt;='APA Assumptions'!$B$26,I$3&lt;'APA Assumptions'!$B$26+'APA Assumptions'!$B$27),'APA Assumptions'!$B$25,0)</f>
        <v>0</v>
      </c>
      <c r="J13" s="359" t="n">
        <f aca="false">IF(AND(J$3&gt;='APA Assumptions'!$B$26,J$3&lt;'APA Assumptions'!$B$26+'APA Assumptions'!$B$27),'APA Assumptions'!$B$25,0)</f>
        <v>0</v>
      </c>
      <c r="K13" s="359" t="n">
        <f aca="false">IF(AND(K$3&gt;='APA Assumptions'!$B$26,K$3&lt;'APA Assumptions'!$B$26+'APA Assumptions'!$B$27),'APA Assumptions'!$B$25,0)</f>
        <v>0</v>
      </c>
      <c r="L13" s="359" t="n">
        <f aca="false">IF(AND(L$3&gt;='APA Assumptions'!$B$26,L$3&lt;'APA Assumptions'!$B$26+'APA Assumptions'!$B$27),'APA Assumptions'!$B$25,0)</f>
        <v>0</v>
      </c>
      <c r="M13" s="359" t="n">
        <f aca="false">IF(AND(M$3&gt;='APA Assumptions'!$B$26,M$3&lt;'APA Assumptions'!$B$26+'APA Assumptions'!$B$27),'APA Assumptions'!$B$25,0)</f>
        <v>0</v>
      </c>
      <c r="N13" s="359" t="n">
        <f aca="false">IF(AND(N$3&gt;='APA Assumptions'!$B$26,N$3&lt;'APA Assumptions'!$B$26+'APA Assumptions'!$B$27),'APA Assumptions'!$B$25,0)</f>
        <v>0</v>
      </c>
      <c r="O13" s="359" t="n">
        <f aca="false">IF(AND(O$3&gt;='APA Assumptions'!$B$26,O$3&lt;'APA Assumptions'!$B$26+'APA Assumptions'!$B$27),'APA Assumptions'!$B$25,0)</f>
        <v>0</v>
      </c>
      <c r="P13" s="359" t="n">
        <f aca="false">IF(AND(P$3&gt;='APA Assumptions'!$B$26,P$3&lt;'APA Assumptions'!$B$26+'APA Assumptions'!$B$27),'APA Assumptions'!$B$25,0)</f>
        <v>0</v>
      </c>
      <c r="Q13" s="359" t="n">
        <f aca="false">IF(AND(Q$3&gt;='APA Assumptions'!$B$26,Q$3&lt;'APA Assumptions'!$B$26+'APA Assumptions'!$B$27),'APA Assumptions'!$B$25,0)</f>
        <v>0</v>
      </c>
      <c r="R13" s="359" t="n">
        <f aca="false">IF(AND(R$3&gt;='APA Assumptions'!$B$26,R$3&lt;'APA Assumptions'!$B$26+'APA Assumptions'!$B$27),'APA Assumptions'!$B$25,0)</f>
        <v>0</v>
      </c>
      <c r="S13" s="359" t="n">
        <f aca="false">IF(AND(S$3&gt;='APA Assumptions'!$B$26,S$3&lt;'APA Assumptions'!$B$26+'APA Assumptions'!$B$27),'APA Assumptions'!$B$25,0)</f>
        <v>0</v>
      </c>
      <c r="T13" s="359" t="n">
        <f aca="false">IF(AND(T$3&gt;='APA Assumptions'!$B$26,T$3&lt;'APA Assumptions'!$B$26+'APA Assumptions'!$B$27),'APA Assumptions'!$B$25,0)</f>
        <v>0</v>
      </c>
      <c r="U13" s="359" t="n">
        <f aca="false">IF(AND(U$3&gt;='APA Assumptions'!$B$26,U$3&lt;'APA Assumptions'!$B$26+'APA Assumptions'!$B$27),'APA Assumptions'!$B$25,0)</f>
        <v>0</v>
      </c>
      <c r="V13" s="359" t="n">
        <f aca="false">IF(AND(V$3&gt;='APA Assumptions'!$B$26,V$3&lt;'APA Assumptions'!$B$26+'APA Assumptions'!$B$27),'APA Assumptions'!$B$25,0)</f>
        <v>0</v>
      </c>
      <c r="W13" s="359" t="n">
        <f aca="false">IF(AND(W$3&gt;='APA Assumptions'!$B$26,W$3&lt;'APA Assumptions'!$B$26+'APA Assumptions'!$B$27),'APA Assumptions'!$B$25,0)</f>
        <v>2500</v>
      </c>
      <c r="X13" s="359" t="n">
        <f aca="false">IF(AND(X$3&gt;='APA Assumptions'!$B$26,X$3&lt;'APA Assumptions'!$B$26+'APA Assumptions'!$B$27),'APA Assumptions'!$B$25,0)</f>
        <v>2500</v>
      </c>
      <c r="Y13" s="359" t="n">
        <f aca="false">IF(AND(Y$3&gt;='APA Assumptions'!$B$26,Y$3&lt;'APA Assumptions'!$B$26+'APA Assumptions'!$B$27),'APA Assumptions'!$B$25,0)</f>
        <v>2500</v>
      </c>
      <c r="Z13" s="359" t="n">
        <f aca="false">IF(AND(Z$3&gt;='APA Assumptions'!$B$26,Z$3&lt;'APA Assumptions'!$B$26+'APA Assumptions'!$B$27),'APA Assumptions'!$B$25,0)</f>
        <v>2500</v>
      </c>
      <c r="AA13" s="359" t="n">
        <f aca="false">IF(AND(AA$3&gt;='APA Assumptions'!$B$26,AA$3&lt;'APA Assumptions'!$B$26+'APA Assumptions'!$B$27),'APA Assumptions'!$B$25,0)</f>
        <v>2500</v>
      </c>
      <c r="AB13" s="359" t="n">
        <f aca="false">IF(AND(AB$3&gt;='APA Assumptions'!$B$26,AB$3&lt;'APA Assumptions'!$B$26+'APA Assumptions'!$B$27),'APA Assumptions'!$B$25,0)</f>
        <v>2500</v>
      </c>
      <c r="AC13" s="359" t="n">
        <f aca="false">IF(AND(AC$3&gt;='APA Assumptions'!$B$26,AC$3&lt;'APA Assumptions'!$B$26+'APA Assumptions'!$B$27),'APA Assumptions'!$B$25,0)</f>
        <v>2500</v>
      </c>
      <c r="AD13" s="359" t="n">
        <f aca="false">IF(AND(AD$3&gt;='APA Assumptions'!$B$26,AD$3&lt;'APA Assumptions'!$B$26+'APA Assumptions'!$B$27),'APA Assumptions'!$B$25,0)</f>
        <v>2500</v>
      </c>
      <c r="AE13" s="359" t="n">
        <f aca="false">IF(AND(AE$3&gt;='APA Assumptions'!$B$26,AE$3&lt;'APA Assumptions'!$B$26+'APA Assumptions'!$B$27),'APA Assumptions'!$B$25,0)</f>
        <v>2500</v>
      </c>
      <c r="AF13" s="359" t="n">
        <f aca="false">IF(AND(AF$3&gt;='APA Assumptions'!$B$26,AF$3&lt;'APA Assumptions'!$B$26+'APA Assumptions'!$B$27),'APA Assumptions'!$B$25,0)</f>
        <v>2500</v>
      </c>
      <c r="AG13" s="359" t="n">
        <f aca="false">IF(AND(AG$3&gt;='APA Assumptions'!$B$26,AG$3&lt;'APA Assumptions'!$B$26+'APA Assumptions'!$B$27),'APA Assumptions'!$B$25,0)</f>
        <v>2500</v>
      </c>
      <c r="AH13" s="359" t="n">
        <f aca="false">IF(AND(AH$3&gt;='APA Assumptions'!$B$26,AH$3&lt;'APA Assumptions'!$B$26+'APA Assumptions'!$B$27),'APA Assumptions'!$B$25,0)</f>
        <v>2500</v>
      </c>
      <c r="AI13" s="359" t="n">
        <f aca="false">IF(AND(AI$3&gt;='APA Assumptions'!$B$26,AI$3&lt;'APA Assumptions'!$B$26+'APA Assumptions'!$B$27),'APA Assumptions'!$B$25,0)</f>
        <v>2500</v>
      </c>
      <c r="AJ13" s="359" t="n">
        <f aca="false">IF(AND(AJ$3&gt;='APA Assumptions'!$B$26,AJ$3&lt;'APA Assumptions'!$B$26+'APA Assumptions'!$B$27),'APA Assumptions'!$B$25,0)</f>
        <v>2500</v>
      </c>
      <c r="AK13" s="359" t="n">
        <f aca="false">IF(AND(AK$3&gt;='APA Assumptions'!$B$26,AK$3&lt;'APA Assumptions'!$B$26+'APA Assumptions'!$B$27),'APA Assumptions'!$B$25,0)</f>
        <v>2500</v>
      </c>
      <c r="AL13" s="359" t="n">
        <f aca="false">IF(AND(AL$3&gt;='APA Assumptions'!$B$26,AL$3&lt;'APA Assumptions'!$B$26+'APA Assumptions'!$B$27),'APA Assumptions'!$B$25,0)</f>
        <v>2500</v>
      </c>
      <c r="AM13" s="359" t="n">
        <f aca="false">IF(AND(AM$3&gt;='APA Assumptions'!$B$26,AM$3&lt;'APA Assumptions'!$B$26+'APA Assumptions'!$B$27),'APA Assumptions'!$B$25,0)</f>
        <v>2500</v>
      </c>
      <c r="AN13" s="359" t="n">
        <f aca="false">SUM(B13:AM13)</f>
        <v>42500</v>
      </c>
    </row>
    <row r="14" customFormat="false" ht="15" hidden="false" customHeight="true" outlineLevel="0" collapsed="false">
      <c r="A14" s="365" t="s">
        <v>1309</v>
      </c>
      <c r="B14" s="366" t="n">
        <f aca="false">SUM(B7:B13)</f>
        <v>25714.2857142857</v>
      </c>
      <c r="C14" s="366" t="n">
        <f aca="false">SUM(C7:C13)</f>
        <v>38408.2857142857</v>
      </c>
      <c r="D14" s="366" t="n">
        <f aca="false">SUM(D7:D13)</f>
        <v>38408.2857142857</v>
      </c>
      <c r="E14" s="366" t="n">
        <f aca="false">SUM(E7:E13)</f>
        <v>38408.2857142857</v>
      </c>
      <c r="F14" s="366" t="n">
        <f aca="false">SUM(F7:F13)</f>
        <v>38408.2857142857</v>
      </c>
      <c r="G14" s="366" t="n">
        <f aca="false">SUM(G7:G13)</f>
        <v>32908.2857142857</v>
      </c>
      <c r="H14" s="366" t="n">
        <f aca="false">SUM(H7:H13)</f>
        <v>80908.2857142857</v>
      </c>
      <c r="I14" s="366" t="n">
        <f aca="false">SUM(I7:I13)</f>
        <v>55194</v>
      </c>
      <c r="J14" s="366" t="n">
        <f aca="false">SUM(J7:J13)</f>
        <v>57694</v>
      </c>
      <c r="K14" s="366" t="n">
        <f aca="false">SUM(K7:K13)</f>
        <v>57694</v>
      </c>
      <c r="L14" s="366" t="n">
        <f aca="false">SUM(L7:L13)</f>
        <v>57694</v>
      </c>
      <c r="M14" s="366" t="n">
        <f aca="false">SUM(M7:M13)</f>
        <v>57694</v>
      </c>
      <c r="N14" s="366" t="n">
        <f aca="false">SUM(N7:N13)</f>
        <v>57694</v>
      </c>
      <c r="O14" s="366" t="n">
        <f aca="false">SUM(O7:O13)</f>
        <v>57694</v>
      </c>
      <c r="P14" s="366" t="n">
        <f aca="false">SUM(P7:P13)</f>
        <v>57694</v>
      </c>
      <c r="Q14" s="366" t="n">
        <f aca="false">SUM(Q7:Q13)</f>
        <v>57694</v>
      </c>
      <c r="R14" s="366" t="n">
        <f aca="false">SUM(R7:R13)</f>
        <v>55000</v>
      </c>
      <c r="S14" s="366" t="n">
        <f aca="false">SUM(S7:S13)</f>
        <v>55000</v>
      </c>
      <c r="T14" s="366" t="n">
        <f aca="false">SUM(T7:T13)</f>
        <v>5000</v>
      </c>
      <c r="U14" s="366" t="n">
        <f aca="false">SUM(U7:U13)</f>
        <v>5000</v>
      </c>
      <c r="V14" s="366" t="n">
        <f aca="false">SUM(V7:V13)</f>
        <v>5000</v>
      </c>
      <c r="W14" s="366" t="n">
        <f aca="false">SUM(W7:W13)</f>
        <v>7500</v>
      </c>
      <c r="X14" s="366" t="n">
        <f aca="false">SUM(X7:X13)</f>
        <v>7500</v>
      </c>
      <c r="Y14" s="366" t="n">
        <f aca="false">SUM(Y7:Y13)</f>
        <v>7500</v>
      </c>
      <c r="Z14" s="366" t="n">
        <f aca="false">SUM(Z7:Z13)</f>
        <v>7500</v>
      </c>
      <c r="AA14" s="366" t="n">
        <f aca="false">SUM(AA7:AA13)</f>
        <v>7500</v>
      </c>
      <c r="AB14" s="366" t="n">
        <f aca="false">SUM(AB7:AB13)</f>
        <v>7500</v>
      </c>
      <c r="AC14" s="366" t="n">
        <f aca="false">SUM(AC7:AC13)</f>
        <v>7500</v>
      </c>
      <c r="AD14" s="366" t="n">
        <f aca="false">SUM(AD7:AD13)</f>
        <v>7500</v>
      </c>
      <c r="AE14" s="366" t="n">
        <f aca="false">SUM(AE7:AE13)</f>
        <v>7500</v>
      </c>
      <c r="AF14" s="366" t="n">
        <f aca="false">SUM(AF7:AF13)</f>
        <v>7500</v>
      </c>
      <c r="AG14" s="366" t="n">
        <f aca="false">SUM(AG7:AG13)</f>
        <v>5000</v>
      </c>
      <c r="AH14" s="366" t="n">
        <f aca="false">SUM(AH7:AH13)</f>
        <v>5000</v>
      </c>
      <c r="AI14" s="366" t="n">
        <f aca="false">SUM(AI7:AI13)</f>
        <v>5000</v>
      </c>
      <c r="AJ14" s="366" t="n">
        <f aca="false">SUM(AJ7:AJ13)</f>
        <v>5000</v>
      </c>
      <c r="AK14" s="366" t="n">
        <f aca="false">SUM(AK7:AK13)</f>
        <v>5000</v>
      </c>
      <c r="AL14" s="366" t="n">
        <f aca="false">SUM(AL7:AL13)</f>
        <v>5000</v>
      </c>
      <c r="AM14" s="366" t="n">
        <f aca="false">SUM(AM7:AM13)</f>
        <v>5000</v>
      </c>
      <c r="AN14" s="366" t="n">
        <f aca="false">SUM(B14:AM14)</f>
        <v>1044910</v>
      </c>
    </row>
    <row r="16" customFormat="false" ht="15" hidden="false" customHeight="true" outlineLevel="0" collapsed="false">
      <c r="A16" s="23" t="s">
        <v>1280</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row>
    <row r="17" customFormat="false" ht="15" hidden="false" customHeight="true" outlineLevel="0" collapsed="false">
      <c r="A17" s="125" t="s">
        <v>1310</v>
      </c>
      <c r="B17" s="359" t="n">
        <f aca="false">IF(B$3&gt;='APA Assumptions'!$B$31,'APA Assumptions'!$B$30,'APA Assumptions'!$B$29)</f>
        <v>12500</v>
      </c>
      <c r="C17" s="359" t="n">
        <f aca="false">IF(C$3&gt;='APA Assumptions'!$B$31,'APA Assumptions'!$B$30,'APA Assumptions'!$B$29)</f>
        <v>12500</v>
      </c>
      <c r="D17" s="359" t="n">
        <f aca="false">IF(D$3&gt;='APA Assumptions'!$B$31,'APA Assumptions'!$B$30,'APA Assumptions'!$B$29)</f>
        <v>12500</v>
      </c>
      <c r="E17" s="359" t="n">
        <f aca="false">IF(E$3&gt;='APA Assumptions'!$B$31,'APA Assumptions'!$B$30,'APA Assumptions'!$B$29)</f>
        <v>12500</v>
      </c>
      <c r="F17" s="359" t="n">
        <f aca="false">IF(F$3&gt;='APA Assumptions'!$B$31,'APA Assumptions'!$B$30,'APA Assumptions'!$B$29)</f>
        <v>12500</v>
      </c>
      <c r="G17" s="359" t="n">
        <f aca="false">IF(G$3&gt;='APA Assumptions'!$B$31,'APA Assumptions'!$B$30,'APA Assumptions'!$B$29)</f>
        <v>12500</v>
      </c>
      <c r="H17" s="359" t="n">
        <f aca="false">IF(H$3&gt;='APA Assumptions'!$B$31,'APA Assumptions'!$B$30,'APA Assumptions'!$B$29)</f>
        <v>18750</v>
      </c>
      <c r="I17" s="359" t="n">
        <f aca="false">IF(I$3&gt;='APA Assumptions'!$B$31,'APA Assumptions'!$B$30,'APA Assumptions'!$B$29)</f>
        <v>18750</v>
      </c>
      <c r="J17" s="359" t="n">
        <f aca="false">IF(J$3&gt;='APA Assumptions'!$B$31,'APA Assumptions'!$B$30,'APA Assumptions'!$B$29)</f>
        <v>18750</v>
      </c>
      <c r="K17" s="359" t="n">
        <f aca="false">IF(K$3&gt;='APA Assumptions'!$B$31,'APA Assumptions'!$B$30,'APA Assumptions'!$B$29)</f>
        <v>18750</v>
      </c>
      <c r="L17" s="359" t="n">
        <f aca="false">IF(L$3&gt;='APA Assumptions'!$B$31,'APA Assumptions'!$B$30,'APA Assumptions'!$B$29)</f>
        <v>18750</v>
      </c>
      <c r="M17" s="359" t="n">
        <f aca="false">IF(M$3&gt;='APA Assumptions'!$B$31,'APA Assumptions'!$B$30,'APA Assumptions'!$B$29)</f>
        <v>18750</v>
      </c>
      <c r="N17" s="359" t="n">
        <f aca="false">IF(N$3&gt;='APA Assumptions'!$B$31,'APA Assumptions'!$B$30,'APA Assumptions'!$B$29)</f>
        <v>18750</v>
      </c>
      <c r="O17" s="359" t="n">
        <f aca="false">IF(O$3&gt;='APA Assumptions'!$B$31,'APA Assumptions'!$B$30,'APA Assumptions'!$B$29)</f>
        <v>18750</v>
      </c>
      <c r="P17" s="359" t="n">
        <f aca="false">IF(P$3&gt;='APA Assumptions'!$B$31,'APA Assumptions'!$B$30,'APA Assumptions'!$B$29)</f>
        <v>18750</v>
      </c>
      <c r="Q17" s="359" t="n">
        <f aca="false">IF(Q$3&gt;='APA Assumptions'!$B$31,'APA Assumptions'!$B$30,'APA Assumptions'!$B$29)</f>
        <v>18750</v>
      </c>
      <c r="R17" s="359" t="n">
        <f aca="false">IF(R$3&gt;='APA Assumptions'!$B$31,'APA Assumptions'!$B$30,'APA Assumptions'!$B$29)</f>
        <v>18750</v>
      </c>
      <c r="S17" s="359" t="n">
        <f aca="false">IF(S$3&gt;='APA Assumptions'!$B$31,'APA Assumptions'!$B$30,'APA Assumptions'!$B$29)</f>
        <v>18750</v>
      </c>
      <c r="T17" s="359" t="n">
        <f aca="false">IF(T$3&gt;='APA Assumptions'!$B$31,'APA Assumptions'!$B$30,'APA Assumptions'!$B$29)</f>
        <v>18750</v>
      </c>
      <c r="U17" s="359" t="n">
        <f aca="false">IF(U$3&gt;='APA Assumptions'!$B$31,'APA Assumptions'!$B$30,'APA Assumptions'!$B$29)</f>
        <v>18750</v>
      </c>
      <c r="V17" s="359" t="n">
        <f aca="false">IF(V$3&gt;='APA Assumptions'!$B$31,'APA Assumptions'!$B$30,'APA Assumptions'!$B$29)</f>
        <v>18750</v>
      </c>
      <c r="W17" s="359" t="n">
        <f aca="false">IF(W$3&gt;='APA Assumptions'!$B$31,'APA Assumptions'!$B$30,'APA Assumptions'!$B$29)</f>
        <v>18750</v>
      </c>
      <c r="X17" s="359" t="n">
        <f aca="false">IF(X$3&gt;='APA Assumptions'!$B$31,'APA Assumptions'!$B$30,'APA Assumptions'!$B$29)</f>
        <v>18750</v>
      </c>
      <c r="Y17" s="359" t="n">
        <f aca="false">IF(Y$3&gt;='APA Assumptions'!$B$31,'APA Assumptions'!$B$30,'APA Assumptions'!$B$29)</f>
        <v>18750</v>
      </c>
      <c r="Z17" s="359" t="n">
        <f aca="false">IF(Z$3&gt;='APA Assumptions'!$B$31,'APA Assumptions'!$B$30,'APA Assumptions'!$B$29)</f>
        <v>18750</v>
      </c>
      <c r="AA17" s="359" t="n">
        <f aca="false">IF(AA$3&gt;='APA Assumptions'!$B$31,'APA Assumptions'!$B$30,'APA Assumptions'!$B$29)</f>
        <v>18750</v>
      </c>
      <c r="AB17" s="359" t="n">
        <f aca="false">IF(AB$3&gt;='APA Assumptions'!$B$31,'APA Assumptions'!$B$30,'APA Assumptions'!$B$29)</f>
        <v>18750</v>
      </c>
      <c r="AC17" s="359" t="n">
        <f aca="false">IF(AC$3&gt;='APA Assumptions'!$B$31,'APA Assumptions'!$B$30,'APA Assumptions'!$B$29)</f>
        <v>18750</v>
      </c>
      <c r="AD17" s="359" t="n">
        <f aca="false">IF(AD$3&gt;='APA Assumptions'!$B$31,'APA Assumptions'!$B$30,'APA Assumptions'!$B$29)</f>
        <v>18750</v>
      </c>
      <c r="AE17" s="359" t="n">
        <f aca="false">IF(AE$3&gt;='APA Assumptions'!$B$31,'APA Assumptions'!$B$30,'APA Assumptions'!$B$29)</f>
        <v>18750</v>
      </c>
      <c r="AF17" s="359" t="n">
        <f aca="false">IF(AF$3&gt;='APA Assumptions'!$B$31,'APA Assumptions'!$B$30,'APA Assumptions'!$B$29)</f>
        <v>18750</v>
      </c>
      <c r="AG17" s="359" t="n">
        <f aca="false">IF(AG$3&gt;='APA Assumptions'!$B$31,'APA Assumptions'!$B$30,'APA Assumptions'!$B$29)</f>
        <v>18750</v>
      </c>
      <c r="AH17" s="359" t="n">
        <f aca="false">IF(AH$3&gt;='APA Assumptions'!$B$31,'APA Assumptions'!$B$30,'APA Assumptions'!$B$29)</f>
        <v>18750</v>
      </c>
      <c r="AI17" s="359" t="n">
        <f aca="false">IF(AI$3&gt;='APA Assumptions'!$B$31,'APA Assumptions'!$B$30,'APA Assumptions'!$B$29)</f>
        <v>18750</v>
      </c>
      <c r="AJ17" s="359" t="n">
        <f aca="false">IF(AJ$3&gt;='APA Assumptions'!$B$31,'APA Assumptions'!$B$30,'APA Assumptions'!$B$29)</f>
        <v>18750</v>
      </c>
      <c r="AK17" s="359" t="n">
        <f aca="false">IF(AK$3&gt;='APA Assumptions'!$B$31,'APA Assumptions'!$B$30,'APA Assumptions'!$B$29)</f>
        <v>18750</v>
      </c>
      <c r="AL17" s="359" t="n">
        <f aca="false">IF(AL$3&gt;='APA Assumptions'!$B$31,'APA Assumptions'!$B$30,'APA Assumptions'!$B$29)</f>
        <v>18750</v>
      </c>
      <c r="AM17" s="359" t="n">
        <f aca="false">IF(AM$3&gt;='APA Assumptions'!$B$31,'APA Assumptions'!$B$30,'APA Assumptions'!$B$29)</f>
        <v>18750</v>
      </c>
      <c r="AN17" s="359" t="n">
        <f aca="false">SUM(B17:AM17)</f>
        <v>675000</v>
      </c>
    </row>
    <row r="18" customFormat="false" ht="15" hidden="false" customHeight="true" outlineLevel="0" collapsed="false">
      <c r="A18" s="125" t="s">
        <v>1311</v>
      </c>
      <c r="B18" s="359" t="n">
        <f aca="false">'APA Assumptions'!$B$32</f>
        <v>365</v>
      </c>
      <c r="C18" s="359" t="n">
        <f aca="false">'APA Assumptions'!$B$32</f>
        <v>365</v>
      </c>
      <c r="D18" s="359" t="n">
        <f aca="false">'APA Assumptions'!$B$32</f>
        <v>365</v>
      </c>
      <c r="E18" s="359" t="n">
        <f aca="false">'APA Assumptions'!$B$32</f>
        <v>365</v>
      </c>
      <c r="F18" s="359" t="n">
        <f aca="false">'APA Assumptions'!$B$32</f>
        <v>365</v>
      </c>
      <c r="G18" s="359" t="n">
        <f aca="false">'APA Assumptions'!$B$32</f>
        <v>365</v>
      </c>
      <c r="H18" s="359" t="n">
        <f aca="false">'APA Assumptions'!$B$32</f>
        <v>365</v>
      </c>
      <c r="I18" s="359" t="n">
        <f aca="false">'APA Assumptions'!$B$32</f>
        <v>365</v>
      </c>
      <c r="J18" s="359" t="n">
        <f aca="false">'APA Assumptions'!$B$32</f>
        <v>365</v>
      </c>
      <c r="K18" s="359" t="n">
        <f aca="false">'APA Assumptions'!$B$32</f>
        <v>365</v>
      </c>
      <c r="L18" s="359" t="n">
        <f aca="false">'APA Assumptions'!$B$32</f>
        <v>365</v>
      </c>
      <c r="M18" s="359" t="n">
        <f aca="false">'APA Assumptions'!$B$32</f>
        <v>365</v>
      </c>
      <c r="N18" s="359" t="n">
        <f aca="false">'APA Assumptions'!$B$32</f>
        <v>365</v>
      </c>
      <c r="O18" s="359" t="n">
        <f aca="false">'APA Assumptions'!$B$32</f>
        <v>365</v>
      </c>
      <c r="P18" s="359" t="n">
        <f aca="false">'APA Assumptions'!$B$32</f>
        <v>365</v>
      </c>
      <c r="Q18" s="359" t="n">
        <f aca="false">'APA Assumptions'!$B$32</f>
        <v>365</v>
      </c>
      <c r="R18" s="359" t="n">
        <f aca="false">'APA Assumptions'!$B$32</f>
        <v>365</v>
      </c>
      <c r="S18" s="359" t="n">
        <f aca="false">'APA Assumptions'!$B$32</f>
        <v>365</v>
      </c>
      <c r="T18" s="359" t="n">
        <f aca="false">'APA Assumptions'!$B$32</f>
        <v>365</v>
      </c>
      <c r="U18" s="359" t="n">
        <f aca="false">'APA Assumptions'!$B$32</f>
        <v>365</v>
      </c>
      <c r="V18" s="359" t="n">
        <f aca="false">'APA Assumptions'!$B$32</f>
        <v>365</v>
      </c>
      <c r="W18" s="359" t="n">
        <f aca="false">'APA Assumptions'!$B$32</f>
        <v>365</v>
      </c>
      <c r="X18" s="359" t="n">
        <f aca="false">'APA Assumptions'!$B$32</f>
        <v>365</v>
      </c>
      <c r="Y18" s="359" t="n">
        <f aca="false">'APA Assumptions'!$B$32</f>
        <v>365</v>
      </c>
      <c r="Z18" s="359" t="n">
        <f aca="false">'APA Assumptions'!$B$32</f>
        <v>365</v>
      </c>
      <c r="AA18" s="359" t="n">
        <f aca="false">'APA Assumptions'!$B$32</f>
        <v>365</v>
      </c>
      <c r="AB18" s="359" t="n">
        <f aca="false">'APA Assumptions'!$B$32</f>
        <v>365</v>
      </c>
      <c r="AC18" s="359" t="n">
        <f aca="false">'APA Assumptions'!$B$32</f>
        <v>365</v>
      </c>
      <c r="AD18" s="359" t="n">
        <f aca="false">'APA Assumptions'!$B$32</f>
        <v>365</v>
      </c>
      <c r="AE18" s="359" t="n">
        <f aca="false">'APA Assumptions'!$B$32</f>
        <v>365</v>
      </c>
      <c r="AF18" s="359" t="n">
        <f aca="false">'APA Assumptions'!$B$32</f>
        <v>365</v>
      </c>
      <c r="AG18" s="359" t="n">
        <f aca="false">'APA Assumptions'!$B$32</f>
        <v>365</v>
      </c>
      <c r="AH18" s="359" t="n">
        <f aca="false">'APA Assumptions'!$B$32</f>
        <v>365</v>
      </c>
      <c r="AI18" s="359" t="n">
        <f aca="false">'APA Assumptions'!$B$32</f>
        <v>365</v>
      </c>
      <c r="AJ18" s="359" t="n">
        <f aca="false">'APA Assumptions'!$B$32</f>
        <v>365</v>
      </c>
      <c r="AK18" s="359" t="n">
        <f aca="false">'APA Assumptions'!$B$32</f>
        <v>365</v>
      </c>
      <c r="AL18" s="359" t="n">
        <f aca="false">'APA Assumptions'!$B$32</f>
        <v>365</v>
      </c>
      <c r="AM18" s="359" t="n">
        <f aca="false">'APA Assumptions'!$B$32</f>
        <v>365</v>
      </c>
      <c r="AN18" s="359" t="n">
        <f aca="false">SUM(B18:AM18)</f>
        <v>13870</v>
      </c>
    </row>
    <row r="19" customFormat="false" ht="15" hidden="false" customHeight="true" outlineLevel="0" collapsed="false">
      <c r="A19" s="125" t="s">
        <v>1312</v>
      </c>
      <c r="B19" s="359" t="n">
        <f aca="false">IF(MOD(B$3-1,12)=0,'APA Assumptions'!$B$33,0)</f>
        <v>8000</v>
      </c>
      <c r="C19" s="359" t="n">
        <f aca="false">IF(MOD(C$3-1,12)=0,'APA Assumptions'!$B$33,0)</f>
        <v>0</v>
      </c>
      <c r="D19" s="359" t="n">
        <f aca="false">IF(MOD(D$3-1,12)=0,'APA Assumptions'!$B$33,0)</f>
        <v>0</v>
      </c>
      <c r="E19" s="359" t="n">
        <f aca="false">IF(MOD(E$3-1,12)=0,'APA Assumptions'!$B$33,0)</f>
        <v>0</v>
      </c>
      <c r="F19" s="359" t="n">
        <f aca="false">IF(MOD(F$3-1,12)=0,'APA Assumptions'!$B$33,0)</f>
        <v>0</v>
      </c>
      <c r="G19" s="359" t="n">
        <f aca="false">IF(MOD(G$3-1,12)=0,'APA Assumptions'!$B$33,0)</f>
        <v>0</v>
      </c>
      <c r="H19" s="359" t="n">
        <f aca="false">IF(MOD(H$3-1,12)=0,'APA Assumptions'!$B$33,0)</f>
        <v>0</v>
      </c>
      <c r="I19" s="359" t="n">
        <f aca="false">IF(MOD(I$3-1,12)=0,'APA Assumptions'!$B$33,0)</f>
        <v>0</v>
      </c>
      <c r="J19" s="359" t="n">
        <f aca="false">IF(MOD(J$3-1,12)=0,'APA Assumptions'!$B$33,0)</f>
        <v>0</v>
      </c>
      <c r="K19" s="359" t="n">
        <f aca="false">IF(MOD(K$3-1,12)=0,'APA Assumptions'!$B$33,0)</f>
        <v>0</v>
      </c>
      <c r="L19" s="359" t="n">
        <f aca="false">IF(MOD(L$3-1,12)=0,'APA Assumptions'!$B$33,0)</f>
        <v>0</v>
      </c>
      <c r="M19" s="359" t="n">
        <f aca="false">IF(MOD(M$3-1,12)=0,'APA Assumptions'!$B$33,0)</f>
        <v>0</v>
      </c>
      <c r="N19" s="359" t="n">
        <f aca="false">IF(MOD(N$3-1,12)=0,'APA Assumptions'!$B$33,0)</f>
        <v>8000</v>
      </c>
      <c r="O19" s="359" t="n">
        <f aca="false">IF(MOD(O$3-1,12)=0,'APA Assumptions'!$B$33,0)</f>
        <v>0</v>
      </c>
      <c r="P19" s="359" t="n">
        <f aca="false">IF(MOD(P$3-1,12)=0,'APA Assumptions'!$B$33,0)</f>
        <v>0</v>
      </c>
      <c r="Q19" s="359" t="n">
        <f aca="false">IF(MOD(Q$3-1,12)=0,'APA Assumptions'!$B$33,0)</f>
        <v>0</v>
      </c>
      <c r="R19" s="359" t="n">
        <f aca="false">IF(MOD(R$3-1,12)=0,'APA Assumptions'!$B$33,0)</f>
        <v>0</v>
      </c>
      <c r="S19" s="359" t="n">
        <f aca="false">IF(MOD(S$3-1,12)=0,'APA Assumptions'!$B$33,0)</f>
        <v>0</v>
      </c>
      <c r="T19" s="359" t="n">
        <f aca="false">IF(MOD(T$3-1,12)=0,'APA Assumptions'!$B$33,0)</f>
        <v>0</v>
      </c>
      <c r="U19" s="359" t="n">
        <f aca="false">IF(MOD(U$3-1,12)=0,'APA Assumptions'!$B$33,0)</f>
        <v>0</v>
      </c>
      <c r="V19" s="359" t="n">
        <f aca="false">IF(MOD(V$3-1,12)=0,'APA Assumptions'!$B$33,0)</f>
        <v>0</v>
      </c>
      <c r="W19" s="359" t="n">
        <f aca="false">IF(MOD(W$3-1,12)=0,'APA Assumptions'!$B$33,0)</f>
        <v>0</v>
      </c>
      <c r="X19" s="359" t="n">
        <f aca="false">IF(MOD(X$3-1,12)=0,'APA Assumptions'!$B$33,0)</f>
        <v>0</v>
      </c>
      <c r="Y19" s="359" t="n">
        <f aca="false">IF(MOD(Y$3-1,12)=0,'APA Assumptions'!$B$33,0)</f>
        <v>0</v>
      </c>
      <c r="Z19" s="359" t="n">
        <f aca="false">IF(MOD(Z$3-1,12)=0,'APA Assumptions'!$B$33,0)</f>
        <v>8000</v>
      </c>
      <c r="AA19" s="359" t="n">
        <f aca="false">IF(MOD(AA$3-1,12)=0,'APA Assumptions'!$B$33,0)</f>
        <v>0</v>
      </c>
      <c r="AB19" s="359" t="n">
        <f aca="false">IF(MOD(AB$3-1,12)=0,'APA Assumptions'!$B$33,0)</f>
        <v>0</v>
      </c>
      <c r="AC19" s="359" t="n">
        <f aca="false">IF(MOD(AC$3-1,12)=0,'APA Assumptions'!$B$33,0)</f>
        <v>0</v>
      </c>
      <c r="AD19" s="359" t="n">
        <f aca="false">IF(MOD(AD$3-1,12)=0,'APA Assumptions'!$B$33,0)</f>
        <v>0</v>
      </c>
      <c r="AE19" s="359" t="n">
        <f aca="false">IF(MOD(AE$3-1,12)=0,'APA Assumptions'!$B$33,0)</f>
        <v>0</v>
      </c>
      <c r="AF19" s="359" t="n">
        <f aca="false">IF(MOD(AF$3-1,12)=0,'APA Assumptions'!$B$33,0)</f>
        <v>0</v>
      </c>
      <c r="AG19" s="359" t="n">
        <f aca="false">IF(MOD(AG$3-1,12)=0,'APA Assumptions'!$B$33,0)</f>
        <v>0</v>
      </c>
      <c r="AH19" s="359" t="n">
        <f aca="false">IF(MOD(AH$3-1,12)=0,'APA Assumptions'!$B$33,0)</f>
        <v>0</v>
      </c>
      <c r="AI19" s="359" t="n">
        <f aca="false">IF(MOD(AI$3-1,12)=0,'APA Assumptions'!$B$33,0)</f>
        <v>0</v>
      </c>
      <c r="AJ19" s="359" t="n">
        <f aca="false">IF(MOD(AJ$3-1,12)=0,'APA Assumptions'!$B$33,0)</f>
        <v>0</v>
      </c>
      <c r="AK19" s="359" t="n">
        <f aca="false">IF(MOD(AK$3-1,12)=0,'APA Assumptions'!$B$33,0)</f>
        <v>0</v>
      </c>
      <c r="AL19" s="359" t="n">
        <f aca="false">IF(MOD(AL$3-1,12)=0,'APA Assumptions'!$B$33,0)</f>
        <v>8000</v>
      </c>
      <c r="AM19" s="359" t="n">
        <f aca="false">IF(MOD(AM$3-1,12)=0,'APA Assumptions'!$B$33,0)</f>
        <v>0</v>
      </c>
      <c r="AN19" s="359" t="n">
        <f aca="false">SUM(B19:AM19)</f>
        <v>32000</v>
      </c>
    </row>
    <row r="20" customFormat="false" ht="15" hidden="false" customHeight="true" outlineLevel="0" collapsed="false">
      <c r="A20" s="125" t="s">
        <v>1313</v>
      </c>
      <c r="B20" s="359" t="n">
        <f aca="false">IF(B$3='APA Assumptions'!$B$36,'APA Assumptions'!$B$34+'APA Assumptions'!$B$35,0)</f>
        <v>0</v>
      </c>
      <c r="C20" s="359" t="n">
        <f aca="false">IF(C$3='APA Assumptions'!$B$36,'APA Assumptions'!$B$34+'APA Assumptions'!$B$35,0)</f>
        <v>7500</v>
      </c>
      <c r="D20" s="359" t="n">
        <f aca="false">IF(D$3='APA Assumptions'!$B$36,'APA Assumptions'!$B$34+'APA Assumptions'!$B$35,0)</f>
        <v>0</v>
      </c>
      <c r="E20" s="359" t="n">
        <f aca="false">IF(E$3='APA Assumptions'!$B$36,'APA Assumptions'!$B$34+'APA Assumptions'!$B$35,0)</f>
        <v>0</v>
      </c>
      <c r="F20" s="359" t="n">
        <f aca="false">IF(F$3='APA Assumptions'!$B$36,'APA Assumptions'!$B$34+'APA Assumptions'!$B$35,0)</f>
        <v>0</v>
      </c>
      <c r="G20" s="359" t="n">
        <f aca="false">IF(G$3='APA Assumptions'!$B$36,'APA Assumptions'!$B$34+'APA Assumptions'!$B$35,0)</f>
        <v>0</v>
      </c>
      <c r="H20" s="359" t="n">
        <f aca="false">IF(H$3='APA Assumptions'!$B$36,'APA Assumptions'!$B$34+'APA Assumptions'!$B$35,0)</f>
        <v>0</v>
      </c>
      <c r="I20" s="359" t="n">
        <f aca="false">IF(I$3='APA Assumptions'!$B$36,'APA Assumptions'!$B$34+'APA Assumptions'!$B$35,0)</f>
        <v>0</v>
      </c>
      <c r="J20" s="359" t="n">
        <f aca="false">IF(J$3='APA Assumptions'!$B$36,'APA Assumptions'!$B$34+'APA Assumptions'!$B$35,0)</f>
        <v>0</v>
      </c>
      <c r="K20" s="359" t="n">
        <f aca="false">IF(K$3='APA Assumptions'!$B$36,'APA Assumptions'!$B$34+'APA Assumptions'!$B$35,0)</f>
        <v>0</v>
      </c>
      <c r="L20" s="359" t="n">
        <f aca="false">IF(L$3='APA Assumptions'!$B$36,'APA Assumptions'!$B$34+'APA Assumptions'!$B$35,0)</f>
        <v>0</v>
      </c>
      <c r="M20" s="359" t="n">
        <f aca="false">IF(M$3='APA Assumptions'!$B$36,'APA Assumptions'!$B$34+'APA Assumptions'!$B$35,0)</f>
        <v>0</v>
      </c>
      <c r="N20" s="359" t="n">
        <f aca="false">IF(N$3='APA Assumptions'!$B$36,'APA Assumptions'!$B$34+'APA Assumptions'!$B$35,0)</f>
        <v>0</v>
      </c>
      <c r="O20" s="359" t="n">
        <f aca="false">IF(O$3='APA Assumptions'!$B$36,'APA Assumptions'!$B$34+'APA Assumptions'!$B$35,0)</f>
        <v>0</v>
      </c>
      <c r="P20" s="359" t="n">
        <f aca="false">IF(P$3='APA Assumptions'!$B$36,'APA Assumptions'!$B$34+'APA Assumptions'!$B$35,0)</f>
        <v>0</v>
      </c>
      <c r="Q20" s="359" t="n">
        <f aca="false">IF(Q$3='APA Assumptions'!$B$36,'APA Assumptions'!$B$34+'APA Assumptions'!$B$35,0)</f>
        <v>0</v>
      </c>
      <c r="R20" s="359" t="n">
        <f aca="false">IF(R$3='APA Assumptions'!$B$36,'APA Assumptions'!$B$34+'APA Assumptions'!$B$35,0)</f>
        <v>0</v>
      </c>
      <c r="S20" s="359" t="n">
        <f aca="false">IF(S$3='APA Assumptions'!$B$36,'APA Assumptions'!$B$34+'APA Assumptions'!$B$35,0)</f>
        <v>0</v>
      </c>
      <c r="T20" s="359" t="n">
        <f aca="false">IF(T$3='APA Assumptions'!$B$36,'APA Assumptions'!$B$34+'APA Assumptions'!$B$35,0)</f>
        <v>0</v>
      </c>
      <c r="U20" s="359" t="n">
        <f aca="false">IF(U$3='APA Assumptions'!$B$36,'APA Assumptions'!$B$34+'APA Assumptions'!$B$35,0)</f>
        <v>0</v>
      </c>
      <c r="V20" s="359" t="n">
        <f aca="false">IF(V$3='APA Assumptions'!$B$36,'APA Assumptions'!$B$34+'APA Assumptions'!$B$35,0)</f>
        <v>0</v>
      </c>
      <c r="W20" s="359" t="n">
        <f aca="false">IF(W$3='APA Assumptions'!$B$36,'APA Assumptions'!$B$34+'APA Assumptions'!$B$35,0)</f>
        <v>0</v>
      </c>
      <c r="X20" s="359" t="n">
        <f aca="false">IF(X$3='APA Assumptions'!$B$36,'APA Assumptions'!$B$34+'APA Assumptions'!$B$35,0)</f>
        <v>0</v>
      </c>
      <c r="Y20" s="359" t="n">
        <f aca="false">IF(Y$3='APA Assumptions'!$B$36,'APA Assumptions'!$B$34+'APA Assumptions'!$B$35,0)</f>
        <v>0</v>
      </c>
      <c r="Z20" s="359" t="n">
        <f aca="false">IF(Z$3='APA Assumptions'!$B$36,'APA Assumptions'!$B$34+'APA Assumptions'!$B$35,0)</f>
        <v>0</v>
      </c>
      <c r="AA20" s="359" t="n">
        <f aca="false">IF(AA$3='APA Assumptions'!$B$36,'APA Assumptions'!$B$34+'APA Assumptions'!$B$35,0)</f>
        <v>0</v>
      </c>
      <c r="AB20" s="359" t="n">
        <f aca="false">IF(AB$3='APA Assumptions'!$B$36,'APA Assumptions'!$B$34+'APA Assumptions'!$B$35,0)</f>
        <v>0</v>
      </c>
      <c r="AC20" s="359" t="n">
        <f aca="false">IF(AC$3='APA Assumptions'!$B$36,'APA Assumptions'!$B$34+'APA Assumptions'!$B$35,0)</f>
        <v>0</v>
      </c>
      <c r="AD20" s="359" t="n">
        <f aca="false">IF(AD$3='APA Assumptions'!$B$36,'APA Assumptions'!$B$34+'APA Assumptions'!$B$35,0)</f>
        <v>0</v>
      </c>
      <c r="AE20" s="359" t="n">
        <f aca="false">IF(AE$3='APA Assumptions'!$B$36,'APA Assumptions'!$B$34+'APA Assumptions'!$B$35,0)</f>
        <v>0</v>
      </c>
      <c r="AF20" s="359" t="n">
        <f aca="false">IF(AF$3='APA Assumptions'!$B$36,'APA Assumptions'!$B$34+'APA Assumptions'!$B$35,0)</f>
        <v>0</v>
      </c>
      <c r="AG20" s="359" t="n">
        <f aca="false">IF(AG$3='APA Assumptions'!$B$36,'APA Assumptions'!$B$34+'APA Assumptions'!$B$35,0)</f>
        <v>0</v>
      </c>
      <c r="AH20" s="359" t="n">
        <f aca="false">IF(AH$3='APA Assumptions'!$B$36,'APA Assumptions'!$B$34+'APA Assumptions'!$B$35,0)</f>
        <v>0</v>
      </c>
      <c r="AI20" s="359" t="n">
        <f aca="false">IF(AI$3='APA Assumptions'!$B$36,'APA Assumptions'!$B$34+'APA Assumptions'!$B$35,0)</f>
        <v>0</v>
      </c>
      <c r="AJ20" s="359" t="n">
        <f aca="false">IF(AJ$3='APA Assumptions'!$B$36,'APA Assumptions'!$B$34+'APA Assumptions'!$B$35,0)</f>
        <v>0</v>
      </c>
      <c r="AK20" s="359" t="n">
        <f aca="false">IF(AK$3='APA Assumptions'!$B$36,'APA Assumptions'!$B$34+'APA Assumptions'!$B$35,0)</f>
        <v>0</v>
      </c>
      <c r="AL20" s="359" t="n">
        <f aca="false">IF(AL$3='APA Assumptions'!$B$36,'APA Assumptions'!$B$34+'APA Assumptions'!$B$35,0)</f>
        <v>0</v>
      </c>
      <c r="AM20" s="359" t="n">
        <f aca="false">IF(AM$3='APA Assumptions'!$B$36,'APA Assumptions'!$B$34+'APA Assumptions'!$B$35,0)</f>
        <v>0</v>
      </c>
      <c r="AN20" s="359" t="n">
        <f aca="false">SUM(B20:AM20)</f>
        <v>7500</v>
      </c>
    </row>
    <row r="21" customFormat="false" ht="15" hidden="false" customHeight="true" outlineLevel="0" collapsed="false">
      <c r="A21" s="365" t="s">
        <v>1314</v>
      </c>
      <c r="B21" s="366" t="n">
        <f aca="false">SUM(B17:B20)</f>
        <v>20865</v>
      </c>
      <c r="C21" s="366" t="n">
        <f aca="false">SUM(C17:C20)</f>
        <v>20365</v>
      </c>
      <c r="D21" s="366" t="n">
        <f aca="false">SUM(D17:D20)</f>
        <v>12865</v>
      </c>
      <c r="E21" s="366" t="n">
        <f aca="false">SUM(E17:E20)</f>
        <v>12865</v>
      </c>
      <c r="F21" s="366" t="n">
        <f aca="false">SUM(F17:F20)</f>
        <v>12865</v>
      </c>
      <c r="G21" s="366" t="n">
        <f aca="false">SUM(G17:G20)</f>
        <v>12865</v>
      </c>
      <c r="H21" s="366" t="n">
        <f aca="false">SUM(H17:H20)</f>
        <v>19115</v>
      </c>
      <c r="I21" s="366" t="n">
        <f aca="false">SUM(I17:I20)</f>
        <v>19115</v>
      </c>
      <c r="J21" s="366" t="n">
        <f aca="false">SUM(J17:J20)</f>
        <v>19115</v>
      </c>
      <c r="K21" s="366" t="n">
        <f aca="false">SUM(K17:K20)</f>
        <v>19115</v>
      </c>
      <c r="L21" s="366" t="n">
        <f aca="false">SUM(L17:L20)</f>
        <v>19115</v>
      </c>
      <c r="M21" s="366" t="n">
        <f aca="false">SUM(M17:M20)</f>
        <v>19115</v>
      </c>
      <c r="N21" s="366" t="n">
        <f aca="false">SUM(N17:N20)</f>
        <v>27115</v>
      </c>
      <c r="O21" s="366" t="n">
        <f aca="false">SUM(O17:O20)</f>
        <v>19115</v>
      </c>
      <c r="P21" s="366" t="n">
        <f aca="false">SUM(P17:P20)</f>
        <v>19115</v>
      </c>
      <c r="Q21" s="366" t="n">
        <f aca="false">SUM(Q17:Q20)</f>
        <v>19115</v>
      </c>
      <c r="R21" s="366" t="n">
        <f aca="false">SUM(R17:R20)</f>
        <v>19115</v>
      </c>
      <c r="S21" s="366" t="n">
        <f aca="false">SUM(S17:S20)</f>
        <v>19115</v>
      </c>
      <c r="T21" s="366" t="n">
        <f aca="false">SUM(T17:T20)</f>
        <v>19115</v>
      </c>
      <c r="U21" s="366" t="n">
        <f aca="false">SUM(U17:U20)</f>
        <v>19115</v>
      </c>
      <c r="V21" s="366" t="n">
        <f aca="false">SUM(V17:V20)</f>
        <v>19115</v>
      </c>
      <c r="W21" s="366" t="n">
        <f aca="false">SUM(W17:W20)</f>
        <v>19115</v>
      </c>
      <c r="X21" s="366" t="n">
        <f aca="false">SUM(X17:X20)</f>
        <v>19115</v>
      </c>
      <c r="Y21" s="366" t="n">
        <f aca="false">SUM(Y17:Y20)</f>
        <v>19115</v>
      </c>
      <c r="Z21" s="366" t="n">
        <f aca="false">SUM(Z17:Z20)</f>
        <v>27115</v>
      </c>
      <c r="AA21" s="366" t="n">
        <f aca="false">SUM(AA17:AA20)</f>
        <v>19115</v>
      </c>
      <c r="AB21" s="366" t="n">
        <f aca="false">SUM(AB17:AB20)</f>
        <v>19115</v>
      </c>
      <c r="AC21" s="366" t="n">
        <f aca="false">SUM(AC17:AC20)</f>
        <v>19115</v>
      </c>
      <c r="AD21" s="366" t="n">
        <f aca="false">SUM(AD17:AD20)</f>
        <v>19115</v>
      </c>
      <c r="AE21" s="366" t="n">
        <f aca="false">SUM(AE17:AE20)</f>
        <v>19115</v>
      </c>
      <c r="AF21" s="366" t="n">
        <f aca="false">SUM(AF17:AF20)</f>
        <v>19115</v>
      </c>
      <c r="AG21" s="366" t="n">
        <f aca="false">SUM(AG17:AG20)</f>
        <v>19115</v>
      </c>
      <c r="AH21" s="366" t="n">
        <f aca="false">SUM(AH17:AH20)</f>
        <v>19115</v>
      </c>
      <c r="AI21" s="366" t="n">
        <f aca="false">SUM(AI17:AI20)</f>
        <v>19115</v>
      </c>
      <c r="AJ21" s="366" t="n">
        <f aca="false">SUM(AJ17:AJ20)</f>
        <v>19115</v>
      </c>
      <c r="AK21" s="366" t="n">
        <f aca="false">SUM(AK17:AK20)</f>
        <v>19115</v>
      </c>
      <c r="AL21" s="366" t="n">
        <f aca="false">SUM(AL17:AL20)</f>
        <v>27115</v>
      </c>
      <c r="AM21" s="366" t="n">
        <f aca="false">SUM(AM17:AM20)</f>
        <v>19115</v>
      </c>
      <c r="AN21" s="366" t="n">
        <f aca="false">SUM(B21:AM21)</f>
        <v>728370</v>
      </c>
    </row>
    <row r="23" customFormat="false" ht="15" hidden="false" customHeight="true" outlineLevel="0" collapsed="false">
      <c r="A23" s="367" t="s">
        <v>1315</v>
      </c>
      <c r="B23" s="368" t="n">
        <f aca="false">B14-B21</f>
        <v>4849.28571428571</v>
      </c>
      <c r="C23" s="368" t="n">
        <f aca="false">C14-C21</f>
        <v>18043.2857142857</v>
      </c>
      <c r="D23" s="368" t="n">
        <f aca="false">D14-D21</f>
        <v>25543.2857142857</v>
      </c>
      <c r="E23" s="368" t="n">
        <f aca="false">E14-E21</f>
        <v>25543.2857142857</v>
      </c>
      <c r="F23" s="368" t="n">
        <f aca="false">F14-F21</f>
        <v>25543.2857142857</v>
      </c>
      <c r="G23" s="368" t="n">
        <f aca="false">G14-G21</f>
        <v>20043.2857142857</v>
      </c>
      <c r="H23" s="368" t="n">
        <f aca="false">H14-H21</f>
        <v>61793.2857142857</v>
      </c>
      <c r="I23" s="368" t="n">
        <f aca="false">I14-I21</f>
        <v>36079</v>
      </c>
      <c r="J23" s="368" t="n">
        <f aca="false">J14-J21</f>
        <v>38579</v>
      </c>
      <c r="K23" s="368" t="n">
        <f aca="false">K14-K21</f>
        <v>38579</v>
      </c>
      <c r="L23" s="368" t="n">
        <f aca="false">L14-L21</f>
        <v>38579</v>
      </c>
      <c r="M23" s="368" t="n">
        <f aca="false">M14-M21</f>
        <v>38579</v>
      </c>
      <c r="N23" s="368" t="n">
        <f aca="false">N14-N21</f>
        <v>30579</v>
      </c>
      <c r="O23" s="368" t="n">
        <f aca="false">O14-O21</f>
        <v>38579</v>
      </c>
      <c r="P23" s="368" t="n">
        <f aca="false">P14-P21</f>
        <v>38579</v>
      </c>
      <c r="Q23" s="368" t="n">
        <f aca="false">Q14-Q21</f>
        <v>38579</v>
      </c>
      <c r="R23" s="368" t="n">
        <f aca="false">R14-R21</f>
        <v>35885</v>
      </c>
      <c r="S23" s="368" t="n">
        <f aca="false">S14-S21</f>
        <v>35885</v>
      </c>
      <c r="T23" s="368" t="n">
        <f aca="false">T14-T21</f>
        <v>-14115</v>
      </c>
      <c r="U23" s="368" t="n">
        <f aca="false">U14-U21</f>
        <v>-14115</v>
      </c>
      <c r="V23" s="368" t="n">
        <f aca="false">V14-V21</f>
        <v>-14115</v>
      </c>
      <c r="W23" s="368" t="n">
        <f aca="false">W14-W21</f>
        <v>-11615</v>
      </c>
      <c r="X23" s="368" t="n">
        <f aca="false">X14-X21</f>
        <v>-11615</v>
      </c>
      <c r="Y23" s="368" t="n">
        <f aca="false">Y14-Y21</f>
        <v>-11615</v>
      </c>
      <c r="Z23" s="368" t="n">
        <f aca="false">Z14-Z21</f>
        <v>-19615</v>
      </c>
      <c r="AA23" s="368" t="n">
        <f aca="false">AA14-AA21</f>
        <v>-11615</v>
      </c>
      <c r="AB23" s="368" t="n">
        <f aca="false">AB14-AB21</f>
        <v>-11615</v>
      </c>
      <c r="AC23" s="368" t="n">
        <f aca="false">AC14-AC21</f>
        <v>-11615</v>
      </c>
      <c r="AD23" s="368" t="n">
        <f aca="false">AD14-AD21</f>
        <v>-11615</v>
      </c>
      <c r="AE23" s="368" t="n">
        <f aca="false">AE14-AE21</f>
        <v>-11615</v>
      </c>
      <c r="AF23" s="368" t="n">
        <f aca="false">AF14-AF21</f>
        <v>-11615</v>
      </c>
      <c r="AG23" s="368" t="n">
        <f aca="false">AG14-AG21</f>
        <v>-14115</v>
      </c>
      <c r="AH23" s="368" t="n">
        <f aca="false">AH14-AH21</f>
        <v>-14115</v>
      </c>
      <c r="AI23" s="368" t="n">
        <f aca="false">AI14-AI21</f>
        <v>-14115</v>
      </c>
      <c r="AJ23" s="368" t="n">
        <f aca="false">AJ14-AJ21</f>
        <v>-14115</v>
      </c>
      <c r="AK23" s="368" t="n">
        <f aca="false">AK14-AK21</f>
        <v>-14115</v>
      </c>
      <c r="AL23" s="368" t="n">
        <f aca="false">AL14-AL21</f>
        <v>-22115</v>
      </c>
      <c r="AM23" s="368" t="n">
        <f aca="false">AM14-AM21</f>
        <v>-14115</v>
      </c>
      <c r="AN23" s="368" t="n">
        <f aca="false">AN14-AN21</f>
        <v>316540</v>
      </c>
    </row>
    <row r="24" customFormat="false" ht="15" hidden="false" customHeight="true" outlineLevel="0" collapsed="false">
      <c r="A24" s="125" t="s">
        <v>1316</v>
      </c>
      <c r="B24" s="359" t="n">
        <f aca="false">B23</f>
        <v>4849.28571428571</v>
      </c>
      <c r="C24" s="359" t="n">
        <f aca="false">B24+C23</f>
        <v>22892.5714285714</v>
      </c>
      <c r="D24" s="359" t="n">
        <f aca="false">C24+D23</f>
        <v>48435.8571428571</v>
      </c>
      <c r="E24" s="359" t="n">
        <f aca="false">D24+E23</f>
        <v>73979.1428571428</v>
      </c>
      <c r="F24" s="359" t="n">
        <f aca="false">E24+F23</f>
        <v>99522.4285714286</v>
      </c>
      <c r="G24" s="359" t="n">
        <f aca="false">F24+G23</f>
        <v>119565.714285714</v>
      </c>
      <c r="H24" s="359" t="n">
        <f aca="false">G24+H23</f>
        <v>181359</v>
      </c>
      <c r="I24" s="359" t="n">
        <f aca="false">H24+I23</f>
        <v>217438</v>
      </c>
      <c r="J24" s="359" t="n">
        <f aca="false">I24+J23</f>
        <v>256017</v>
      </c>
      <c r="K24" s="359" t="n">
        <f aca="false">J24+K23</f>
        <v>294596</v>
      </c>
      <c r="L24" s="359" t="n">
        <f aca="false">K24+L23</f>
        <v>333175</v>
      </c>
      <c r="M24" s="359" t="n">
        <f aca="false">L24+M23</f>
        <v>371754</v>
      </c>
      <c r="N24" s="359" t="n">
        <f aca="false">M24+N23</f>
        <v>402333</v>
      </c>
      <c r="O24" s="359" t="n">
        <f aca="false">N24+O23</f>
        <v>440912</v>
      </c>
      <c r="P24" s="359" t="n">
        <f aca="false">O24+P23</f>
        <v>479491</v>
      </c>
      <c r="Q24" s="359" t="n">
        <f aca="false">P24+Q23</f>
        <v>518070</v>
      </c>
      <c r="R24" s="359" t="n">
        <f aca="false">Q24+R23</f>
        <v>553955</v>
      </c>
      <c r="S24" s="359" t="n">
        <f aca="false">R24+S23</f>
        <v>589840</v>
      </c>
      <c r="T24" s="359" t="n">
        <f aca="false">S24+T23</f>
        <v>575725</v>
      </c>
      <c r="U24" s="359" t="n">
        <f aca="false">T24+U23</f>
        <v>561610</v>
      </c>
      <c r="V24" s="359" t="n">
        <f aca="false">U24+V23</f>
        <v>547495</v>
      </c>
      <c r="W24" s="359" t="n">
        <f aca="false">V24+W23</f>
        <v>535880</v>
      </c>
      <c r="X24" s="359" t="n">
        <f aca="false">W24+X23</f>
        <v>524265</v>
      </c>
      <c r="Y24" s="359" t="n">
        <f aca="false">X24+Y23</f>
        <v>512650</v>
      </c>
      <c r="Z24" s="359" t="n">
        <f aca="false">Y24+Z23</f>
        <v>493035</v>
      </c>
      <c r="AA24" s="359" t="n">
        <f aca="false">Z24+AA23</f>
        <v>481420</v>
      </c>
      <c r="AB24" s="359" t="n">
        <f aca="false">AA24+AB23</f>
        <v>469805</v>
      </c>
      <c r="AC24" s="359" t="n">
        <f aca="false">AB24+AC23</f>
        <v>458190</v>
      </c>
      <c r="AD24" s="359" t="n">
        <f aca="false">AC24+AD23</f>
        <v>446575</v>
      </c>
      <c r="AE24" s="359" t="n">
        <f aca="false">AD24+AE23</f>
        <v>434960</v>
      </c>
      <c r="AF24" s="359" t="n">
        <f aca="false">AE24+AF23</f>
        <v>423345</v>
      </c>
      <c r="AG24" s="359" t="n">
        <f aca="false">AF24+AG23</f>
        <v>409230</v>
      </c>
      <c r="AH24" s="359" t="n">
        <f aca="false">AG24+AH23</f>
        <v>395115</v>
      </c>
      <c r="AI24" s="359" t="n">
        <f aca="false">AH24+AI23</f>
        <v>381000</v>
      </c>
      <c r="AJ24" s="359" t="n">
        <f aca="false">AI24+AJ23</f>
        <v>366885</v>
      </c>
      <c r="AK24" s="359" t="n">
        <f aca="false">AJ24+AK23</f>
        <v>352770</v>
      </c>
      <c r="AL24" s="359" t="n">
        <f aca="false">AK24+AL23</f>
        <v>330655</v>
      </c>
      <c r="AM24" s="359" t="n">
        <f aca="false">AL24+AM23</f>
        <v>316540</v>
      </c>
      <c r="AN24" s="359"/>
    </row>
    <row r="27" customFormat="false" ht="15" hidden="false" customHeight="true" outlineLevel="0" collapsed="false">
      <c r="A27" s="23" t="s">
        <v>1317</v>
      </c>
      <c r="B27" s="23"/>
      <c r="C27" s="23"/>
    </row>
    <row r="28" customFormat="false" ht="15" hidden="false" customHeight="true" outlineLevel="0" collapsed="false">
      <c r="A28" s="177" t="s">
        <v>1309</v>
      </c>
      <c r="B28" s="359" t="n">
        <f aca="false">AN14</f>
        <v>1044910</v>
      </c>
    </row>
    <row r="29" customFormat="false" ht="15" hidden="false" customHeight="true" outlineLevel="0" collapsed="false">
      <c r="A29" s="177" t="s">
        <v>1314</v>
      </c>
      <c r="B29" s="359" t="n">
        <f aca="false">AN21</f>
        <v>728370</v>
      </c>
    </row>
    <row r="30" customFormat="false" ht="15" hidden="false" customHeight="true" outlineLevel="0" collapsed="false">
      <c r="A30" s="101" t="s">
        <v>1318</v>
      </c>
      <c r="B30" s="369" t="n">
        <f aca="false">B28-B29</f>
        <v>316540</v>
      </c>
    </row>
    <row r="31" customFormat="false" ht="15" hidden="false" customHeight="true" outlineLevel="0" collapsed="false">
      <c r="A31" s="101" t="s">
        <v>1319</v>
      </c>
      <c r="B31" s="369" t="n">
        <f aca="false">B30*0.5</f>
        <v>158270</v>
      </c>
    </row>
    <row r="32" customFormat="false" ht="15" hidden="false" customHeight="true" outlineLevel="0" collapsed="false">
      <c r="A32" s="177" t="s">
        <v>1320</v>
      </c>
      <c r="B32" s="359" t="n">
        <f aca="false">B30*0.5</f>
        <v>158270</v>
      </c>
    </row>
    <row r="33" customFormat="false" ht="15" hidden="false" customHeight="true" outlineLevel="0" collapsed="false">
      <c r="A33" s="177" t="s">
        <v>1321</v>
      </c>
      <c r="B33" s="359" t="n">
        <f aca="false">AN17+B32</f>
        <v>833270</v>
      </c>
    </row>
    <row r="35" customFormat="false" ht="15" hidden="false" customHeight="true" outlineLevel="0" collapsed="false">
      <c r="A35" s="72" t="s">
        <v>1322</v>
      </c>
    </row>
    <row r="36" customFormat="false" ht="15" hidden="false" customHeight="true" outlineLevel="0" collapsed="false">
      <c r="A36" s="72" t="s">
        <v>1323</v>
      </c>
    </row>
    <row r="37" customFormat="false" ht="15" hidden="false" customHeight="true" outlineLevel="0" collapsed="false">
      <c r="A37" s="72" t="s">
        <v>1324</v>
      </c>
    </row>
    <row r="38" customFormat="false" ht="15" hidden="false" customHeight="true" outlineLevel="0" collapsed="false">
      <c r="A38" s="72" t="s">
        <v>1325</v>
      </c>
    </row>
    <row r="39" customFormat="false" ht="15" hidden="false" customHeight="true" outlineLevel="0" collapsed="false">
      <c r="A39" s="72" t="s">
        <v>1326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0312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70" t="s">
        <v>1327</v>
      </c>
      <c r="N1" s="1" t="s">
        <v>1328</v>
      </c>
      <c r="O1" s="371" t="n">
        <v>1</v>
      </c>
    </row>
    <row r="2" customFormat="false" ht="13.5" hidden="false" customHeight="true" outlineLevel="0" collapsed="false">
      <c r="A2" s="372" t="s">
        <v>1329</v>
      </c>
      <c r="N2" s="1" t="s">
        <v>1330</v>
      </c>
    </row>
    <row r="3" customFormat="false" ht="57" hidden="false" customHeight="true" outlineLevel="0" collapsed="false">
      <c r="A3" s="176" t="s">
        <v>1331</v>
      </c>
      <c r="B3" s="176" t="s">
        <v>457</v>
      </c>
      <c r="C3" s="176" t="s">
        <v>1332</v>
      </c>
      <c r="D3" s="176" t="s">
        <v>1333</v>
      </c>
      <c r="E3" s="176" t="s">
        <v>1334</v>
      </c>
      <c r="F3" s="176" t="s">
        <v>1335</v>
      </c>
      <c r="G3" s="176" t="s">
        <v>1336</v>
      </c>
      <c r="H3" s="176" t="s">
        <v>617</v>
      </c>
      <c r="I3" s="176" t="s">
        <v>1337</v>
      </c>
      <c r="J3" s="176" t="s">
        <v>1338</v>
      </c>
      <c r="K3" s="176" t="s">
        <v>1339</v>
      </c>
      <c r="L3" s="176" t="s">
        <v>1340</v>
      </c>
    </row>
    <row r="4" customFormat="false" ht="13.5" hidden="false" customHeight="true" outlineLevel="0" collapsed="false">
      <c r="A4" s="217" t="n">
        <v>13</v>
      </c>
      <c r="B4" s="215" t="s">
        <v>7</v>
      </c>
      <c r="C4" s="215" t="s">
        <v>1341</v>
      </c>
      <c r="D4" s="217" t="n">
        <v>0</v>
      </c>
      <c r="E4" s="217" t="n">
        <v>1</v>
      </c>
      <c r="F4" s="373" t="n">
        <v>150000</v>
      </c>
      <c r="G4" s="217" t="n">
        <v>9</v>
      </c>
      <c r="H4" s="215" t="s">
        <v>1342</v>
      </c>
      <c r="I4" s="217" t="n">
        <f aca="false">IF(OR($D4=1,$E4=1),SUM(INDEX(Model!$J$13:$DE$56,$A4-12,0))+SUM(INDEX(Model!$J$60:$DE$103,$A4-12,0)),0)</f>
        <v>5373.77120754728</v>
      </c>
      <c r="J4" s="373" t="n">
        <v>142810</v>
      </c>
      <c r="K4" s="217" t="n">
        <f aca="false">IF(OR($D4=1,$E4=1),J4+IF(AND($D4=1,$O$1=1),0,I4),0)</f>
        <v>148183.771207547</v>
      </c>
      <c r="L4" s="374" t="n">
        <v>0.5</v>
      </c>
    </row>
    <row r="5" customFormat="false" ht="13.5" hidden="false" customHeight="true" outlineLevel="0" collapsed="false">
      <c r="A5" s="375" t="n">
        <v>14</v>
      </c>
      <c r="B5" s="376" t="s">
        <v>8</v>
      </c>
      <c r="C5" s="376" t="s">
        <v>1341</v>
      </c>
      <c r="D5" s="375" t="n">
        <v>0</v>
      </c>
      <c r="E5" s="375" t="n">
        <v>1</v>
      </c>
      <c r="F5" s="377" t="n">
        <v>358268</v>
      </c>
      <c r="G5" s="375" t="n">
        <v>19</v>
      </c>
      <c r="H5" s="376" t="s">
        <v>1342</v>
      </c>
      <c r="I5" s="375" t="n">
        <f aca="false">IF(OR($D5=1,$E5=1),SUM(INDEX(Model!$J$13:$DE$56,$A5-12,0))+SUM(INDEX(Model!$J$60:$DE$103,$A5-12,0)),0)</f>
        <v>-332620.069999998</v>
      </c>
      <c r="J5" s="377" t="n">
        <v>133665</v>
      </c>
      <c r="K5" s="375" t="n">
        <f aca="false">IF(OR($D5=1,$E5=1),J5+IF(AND($D5=1,$O$1=1),0,I5),0)</f>
        <v>-198955.069999998</v>
      </c>
      <c r="L5" s="378" t="n">
        <v>0.5</v>
      </c>
    </row>
    <row r="6" customFormat="false" ht="13.5" hidden="false" customHeight="true" outlineLevel="0" collapsed="false">
      <c r="A6" s="217" t="n">
        <v>15</v>
      </c>
      <c r="B6" s="215" t="s">
        <v>9</v>
      </c>
      <c r="C6" s="215" t="s">
        <v>1343</v>
      </c>
      <c r="D6" s="217" t="n">
        <v>1</v>
      </c>
      <c r="E6" s="217" t="n">
        <v>0</v>
      </c>
      <c r="F6" s="373" t="n">
        <v>0</v>
      </c>
      <c r="G6" s="379" t="n">
        <f aca="false">Retention!$F$4</f>
        <v>17</v>
      </c>
      <c r="H6" s="1" t="s">
        <v>1344</v>
      </c>
      <c r="I6" s="217" t="n">
        <f aca="false">IF(OR($D6=1,$E6=1),SUM(INDEX(Model!$J$13:$DE$56,$A6-12,0))+SUM(INDEX(Model!$J$60:$DE$103,$A6-12,0)),0)</f>
        <v>151039.86</v>
      </c>
      <c r="J6" s="373" t="n">
        <f aca="false">92186-100503</f>
        <v>-8317</v>
      </c>
      <c r="K6" s="217" t="n">
        <f aca="false">IF(OR($D6=1,$E6=1),J6+IF(AND($D6=1,$O$1=1),0,I6),0)</f>
        <v>-8317</v>
      </c>
      <c r="L6" s="374" t="n">
        <v>0</v>
      </c>
    </row>
    <row r="7" customFormat="false" ht="13.5" hidden="false" customHeight="true" outlineLevel="0" collapsed="false">
      <c r="A7" s="375" t="n">
        <v>16</v>
      </c>
      <c r="B7" s="376" t="s">
        <v>10</v>
      </c>
      <c r="C7" s="376" t="s">
        <v>1343</v>
      </c>
      <c r="D7" s="375" t="n">
        <v>1</v>
      </c>
      <c r="E7" s="375" t="n">
        <v>0</v>
      </c>
      <c r="F7" s="377" t="n">
        <v>0</v>
      </c>
      <c r="G7" s="380" t="n">
        <f aca="false">Retention!$F$5</f>
        <v>19</v>
      </c>
      <c r="H7" s="1" t="s">
        <v>1344</v>
      </c>
      <c r="I7" s="375" t="n">
        <f aca="false">IF(OR($D7=1,$E7=1),SUM(INDEX(Model!$J$13:$DE$56,$A7-12,0))+SUM(INDEX(Model!$J$60:$DE$103,$A7-12,0)),0)</f>
        <v>52497.3800000008</v>
      </c>
      <c r="J7" s="377" t="n">
        <f aca="false">107920-116123</f>
        <v>-8203</v>
      </c>
      <c r="K7" s="375" t="n">
        <f aca="false">IF(OR($D7=1,$E7=1),J7+IF(AND($D7=1,$O$1=1),0,I7),0)</f>
        <v>-8203</v>
      </c>
      <c r="L7" s="378" t="n">
        <v>0</v>
      </c>
    </row>
    <row r="8" customFormat="false" ht="13.5" hidden="false" customHeight="true" outlineLevel="0" collapsed="false">
      <c r="A8" s="217" t="n">
        <v>17</v>
      </c>
      <c r="B8" s="215" t="s">
        <v>11</v>
      </c>
      <c r="C8" s="215" t="s">
        <v>1341</v>
      </c>
      <c r="D8" s="217" t="n">
        <v>0</v>
      </c>
      <c r="E8" s="217" t="n">
        <v>1</v>
      </c>
      <c r="F8" s="373" t="n">
        <v>0</v>
      </c>
      <c r="G8" s="379" t="n">
        <f aca="false">Retention!$F$6</f>
        <v>15</v>
      </c>
      <c r="H8" s="215" t="s">
        <v>1342</v>
      </c>
      <c r="I8" s="217" t="n">
        <f aca="false">IF(OR($D8=1,$E8=1),SUM(INDEX(Model!$J$13:$DE$56,$A8-12,0))+SUM(INDEX(Model!$J$60:$DE$103,$A8-12,0)),0)</f>
        <v>0</v>
      </c>
      <c r="J8" s="373" t="n">
        <v>3381</v>
      </c>
      <c r="K8" s="217" t="n">
        <f aca="false">IF(OR($D8=1,$E8=1),J8+IF(AND($D8=1,$O$1=1),0,I8),0)</f>
        <v>3381</v>
      </c>
      <c r="L8" s="374" t="n">
        <v>0.5</v>
      </c>
    </row>
    <row r="9" customFormat="false" ht="13.5" hidden="false" customHeight="true" outlineLevel="0" collapsed="false">
      <c r="A9" s="375" t="n">
        <v>18</v>
      </c>
      <c r="B9" s="376" t="s">
        <v>12</v>
      </c>
      <c r="C9" s="376" t="s">
        <v>1343</v>
      </c>
      <c r="D9" s="375" t="n">
        <v>1</v>
      </c>
      <c r="E9" s="375" t="n">
        <v>0</v>
      </c>
      <c r="F9" s="377" t="n">
        <v>0</v>
      </c>
      <c r="G9" s="380" t="n">
        <f aca="false">Retention!$F$7</f>
        <v>36</v>
      </c>
      <c r="H9" s="1" t="s">
        <v>1344</v>
      </c>
      <c r="I9" s="375" t="n">
        <f aca="false">IF(OR($D9=1,$E9=1),SUM(INDEX(Model!$J$13:$DE$56,$A9-12,0))+SUM(INDEX(Model!$J$60:$DE$103,$A9-12,0)),0)</f>
        <v>0</v>
      </c>
      <c r="J9" s="377" t="n">
        <f aca="false">514466.85-525378</f>
        <v>-10911.15</v>
      </c>
      <c r="K9" s="375" t="n">
        <f aca="false">IF(OR($D9=1,$E9=1),J9+IF(AND($D9=1,$O$1=1),0,I9),0)</f>
        <v>-10911.15</v>
      </c>
      <c r="L9" s="378" t="n">
        <v>0</v>
      </c>
    </row>
    <row r="10" customFormat="false" ht="13.5" hidden="false" customHeight="true" outlineLevel="0" collapsed="false">
      <c r="A10" s="217" t="n">
        <v>19</v>
      </c>
      <c r="B10" s="215" t="s">
        <v>13</v>
      </c>
      <c r="C10" s="215" t="s">
        <v>1343</v>
      </c>
      <c r="D10" s="217" t="n">
        <v>1</v>
      </c>
      <c r="E10" s="217" t="n">
        <v>0</v>
      </c>
      <c r="F10" s="373" t="n">
        <v>0</v>
      </c>
      <c r="G10" s="379" t="n">
        <f aca="false">Retention!$F$8</f>
        <v>24</v>
      </c>
      <c r="H10" s="1" t="s">
        <v>1344</v>
      </c>
      <c r="I10" s="217" t="n">
        <f aca="false">IF(OR($D10=1,$E10=1),SUM(INDEX(Model!$J$13:$DE$56,$A10-12,0))+SUM(INDEX(Model!$J$60:$DE$103,$A10-12,0)),0)</f>
        <v>0</v>
      </c>
      <c r="J10" s="373" t="n">
        <f aca="false">96942.25-96992.25</f>
        <v>-50</v>
      </c>
      <c r="K10" s="217" t="n">
        <f aca="false">IF(OR($D10=1,$E10=1),J10+IF(AND($D10=1,$O$1=1),0,I10),0)</f>
        <v>-50</v>
      </c>
      <c r="L10" s="374" t="n">
        <v>0</v>
      </c>
    </row>
    <row r="11" customFormat="false" ht="13.5" hidden="false" customHeight="true" outlineLevel="0" collapsed="false">
      <c r="A11" s="375" t="n">
        <v>20</v>
      </c>
      <c r="B11" s="376" t="s">
        <v>14</v>
      </c>
      <c r="C11" s="376" t="s">
        <v>1343</v>
      </c>
      <c r="D11" s="375" t="n">
        <v>1</v>
      </c>
      <c r="E11" s="375" t="n">
        <v>0</v>
      </c>
      <c r="F11" s="377" t="n">
        <v>0</v>
      </c>
      <c r="G11" s="380" t="n">
        <f aca="false">Retention!$F$9</f>
        <v>23</v>
      </c>
      <c r="H11" s="1" t="s">
        <v>1344</v>
      </c>
      <c r="I11" s="375" t="n">
        <f aca="false">IF(OR($D11=1,$E11=1),SUM(INDEX(Model!$J$13:$DE$56,$A11-12,0))+SUM(INDEX(Model!$J$60:$DE$103,$A11-12,0)),0)</f>
        <v>0</v>
      </c>
      <c r="J11" s="377" t="n">
        <f aca="false">104889.4-107911</f>
        <v>-3021.60000000001</v>
      </c>
      <c r="K11" s="375" t="n">
        <f aca="false">IF(OR($D11=1,$E11=1),J11+IF(AND($D11=1,$O$1=1),0,I11),0)</f>
        <v>-3021.60000000001</v>
      </c>
      <c r="L11" s="378" t="n">
        <v>0</v>
      </c>
    </row>
    <row r="12" customFormat="false" ht="13.5" hidden="false" customHeight="true" outlineLevel="0" collapsed="false">
      <c r="A12" s="217" t="n">
        <v>21</v>
      </c>
      <c r="B12" s="215" t="s">
        <v>15</v>
      </c>
      <c r="C12" s="215" t="s">
        <v>1343</v>
      </c>
      <c r="D12" s="217" t="n">
        <v>1</v>
      </c>
      <c r="E12" s="217" t="n">
        <v>0</v>
      </c>
      <c r="F12" s="373" t="n">
        <v>0</v>
      </c>
      <c r="G12" s="379" t="n">
        <f aca="false">Retention!$F$10</f>
        <v>32</v>
      </c>
      <c r="H12" s="1" t="s">
        <v>1344</v>
      </c>
      <c r="I12" s="217" t="n">
        <f aca="false">IF(OR($D12=1,$E12=1),SUM(INDEX(Model!$J$13:$DE$56,$A12-12,0))+SUM(INDEX(Model!$J$60:$DE$103,$A12-12,0)),0)</f>
        <v>0</v>
      </c>
      <c r="J12" s="373" t="n">
        <v>0</v>
      </c>
      <c r="K12" s="217" t="n">
        <f aca="false">IF(OR($D12=1,$E12=1),J12+IF(AND($D12=1,$O$1=1),0,I12),0)</f>
        <v>0</v>
      </c>
      <c r="L12" s="374" t="n">
        <v>0</v>
      </c>
    </row>
    <row r="13" customFormat="false" ht="13.5" hidden="false" customHeight="true" outlineLevel="0" collapsed="false">
      <c r="A13" s="375" t="n">
        <v>22</v>
      </c>
      <c r="B13" s="376" t="s">
        <v>16</v>
      </c>
      <c r="C13" s="376" t="s">
        <v>1341</v>
      </c>
      <c r="D13" s="375" t="n">
        <v>0</v>
      </c>
      <c r="E13" s="375" t="n">
        <v>1</v>
      </c>
      <c r="F13" s="377" t="n">
        <v>0</v>
      </c>
      <c r="G13" s="380" t="n">
        <f aca="false">Retention!$F$11</f>
        <v>29</v>
      </c>
      <c r="H13" s="376" t="s">
        <v>1342</v>
      </c>
      <c r="I13" s="375" t="n">
        <f aca="false">IF(OR($D13=1,$E13=1),SUM(INDEX(Model!$J$13:$DE$56,$A13-12,0))+SUM(INDEX(Model!$J$60:$DE$103,$A13-12,0)),0)</f>
        <v>0</v>
      </c>
      <c r="J13" s="377" t="n">
        <v>0</v>
      </c>
      <c r="K13" s="375" t="n">
        <f aca="false">IF(OR($D13=1,$E13=1),J13+IF(AND($D13=1,$O$1=1),0,I13),0)</f>
        <v>0</v>
      </c>
      <c r="L13" s="378" t="n">
        <v>0.5</v>
      </c>
    </row>
    <row r="14" customFormat="false" ht="13.5" hidden="false" customHeight="true" outlineLevel="0" collapsed="false">
      <c r="A14" s="217" t="n">
        <v>23</v>
      </c>
      <c r="B14" s="215" t="s">
        <v>17</v>
      </c>
      <c r="C14" s="215" t="s">
        <v>1341</v>
      </c>
      <c r="D14" s="217" t="n">
        <v>0</v>
      </c>
      <c r="E14" s="217" t="n">
        <v>1</v>
      </c>
      <c r="F14" s="373" t="n">
        <v>0</v>
      </c>
      <c r="G14" s="379" t="n">
        <f aca="false">Retention!$F$12</f>
        <v>28</v>
      </c>
      <c r="H14" s="215" t="s">
        <v>1342</v>
      </c>
      <c r="I14" s="217" t="n">
        <f aca="false">IF(OR($D14=1,$E14=1),SUM(INDEX(Model!$J$13:$DE$56,$A14-12,0))+SUM(INDEX(Model!$J$60:$DE$103,$A14-12,0)),0)</f>
        <v>0</v>
      </c>
      <c r="J14" s="373" t="n">
        <v>0</v>
      </c>
      <c r="K14" s="217" t="n">
        <f aca="false">IF(OR($D14=1,$E14=1),J14+IF(AND($D14=1,$O$1=1),0,I14),0)</f>
        <v>0</v>
      </c>
      <c r="L14" s="374" t="n">
        <v>0.5</v>
      </c>
    </row>
    <row r="15" customFormat="false" ht="13.5" hidden="false" customHeight="true" outlineLevel="0" collapsed="false">
      <c r="A15" s="375" t="n">
        <v>24</v>
      </c>
      <c r="B15" s="376" t="s">
        <v>18</v>
      </c>
      <c r="C15" s="376" t="s">
        <v>1343</v>
      </c>
      <c r="D15" s="375" t="n">
        <v>1</v>
      </c>
      <c r="E15" s="375" t="n">
        <v>0</v>
      </c>
      <c r="F15" s="377" t="n">
        <v>0</v>
      </c>
      <c r="G15" s="380" t="n">
        <f aca="false">Retention!$F$13</f>
        <v>42</v>
      </c>
      <c r="H15" s="1" t="s">
        <v>1344</v>
      </c>
      <c r="I15" s="375" t="n">
        <f aca="false">IF(OR($D15=1,$E15=1),SUM(INDEX(Model!$J$13:$DE$56,$A15-12,0))+SUM(INDEX(Model!$J$60:$DE$103,$A15-12,0)),0)</f>
        <v>0</v>
      </c>
      <c r="J15" s="377" t="n">
        <v>0</v>
      </c>
      <c r="K15" s="375" t="n">
        <f aca="false">IF(OR($D15=1,$E15=1),J15+IF(AND($D15=1,$O$1=1),0,I15),0)</f>
        <v>0</v>
      </c>
      <c r="L15" s="378" t="n">
        <v>0</v>
      </c>
    </row>
    <row r="16" customFormat="false" ht="13.5" hidden="false" customHeight="true" outlineLevel="0" collapsed="false">
      <c r="A16" s="217" t="n">
        <v>25</v>
      </c>
      <c r="B16" s="215" t="s">
        <v>19</v>
      </c>
      <c r="C16" s="215" t="s">
        <v>1343</v>
      </c>
      <c r="D16" s="217" t="n">
        <v>1</v>
      </c>
      <c r="E16" s="217" t="n">
        <v>0</v>
      </c>
      <c r="F16" s="373" t="n">
        <v>0</v>
      </c>
      <c r="G16" s="379" t="n">
        <f aca="false">Retention!$F$14</f>
        <v>56</v>
      </c>
      <c r="H16" s="1" t="s">
        <v>1344</v>
      </c>
      <c r="I16" s="217" t="n">
        <f aca="false">IF(OR($D16=1,$E16=1),SUM(INDEX(Model!$J$13:$DE$56,$A16-12,0))+SUM(INDEX(Model!$J$60:$DE$103,$A16-12,0)),0)</f>
        <v>0</v>
      </c>
      <c r="J16" s="373" t="n">
        <v>0</v>
      </c>
      <c r="K16" s="217" t="n">
        <f aca="false">IF(OR($D16=1,$E16=1),J16+IF(AND($D16=1,$O$1=1),0,I16),0)</f>
        <v>0</v>
      </c>
      <c r="L16" s="374" t="n">
        <v>0</v>
      </c>
    </row>
    <row r="17" customFormat="false" ht="13.5" hidden="false" customHeight="true" outlineLevel="0" collapsed="false">
      <c r="A17" s="375" t="n">
        <v>26</v>
      </c>
      <c r="B17" s="376" t="s">
        <v>20</v>
      </c>
      <c r="C17" s="376" t="s">
        <v>1343</v>
      </c>
      <c r="D17" s="375" t="n">
        <v>1</v>
      </c>
      <c r="E17" s="375" t="n">
        <v>0</v>
      </c>
      <c r="F17" s="377" t="n">
        <v>0</v>
      </c>
      <c r="G17" s="380" t="n">
        <f aca="false">Retention!$F$15</f>
        <v>32</v>
      </c>
      <c r="H17" s="1" t="s">
        <v>1344</v>
      </c>
      <c r="I17" s="375" t="n">
        <f aca="false">IF(OR($D17=1,$E17=1),SUM(INDEX(Model!$J$13:$DE$56,$A17-12,0))+SUM(INDEX(Model!$J$60:$DE$103,$A17-12,0)),0)</f>
        <v>0</v>
      </c>
      <c r="J17" s="377" t="n">
        <v>0</v>
      </c>
      <c r="K17" s="375" t="n">
        <f aca="false">IF(OR($D17=1,$E17=1),J17+IF(AND($D17=1,$O$1=1),0,I17),0)</f>
        <v>0</v>
      </c>
      <c r="L17" s="378" t="n">
        <v>0</v>
      </c>
    </row>
    <row r="18" customFormat="false" ht="13.5" hidden="false" customHeight="true" outlineLevel="0" collapsed="false">
      <c r="A18" s="217" t="n">
        <v>27</v>
      </c>
      <c r="B18" s="215" t="s">
        <v>21</v>
      </c>
      <c r="C18" s="215" t="s">
        <v>1343</v>
      </c>
      <c r="D18" s="217" t="n">
        <v>1</v>
      </c>
      <c r="E18" s="217" t="n">
        <v>0</v>
      </c>
      <c r="F18" s="373" t="n">
        <v>0</v>
      </c>
      <c r="G18" s="379" t="n">
        <f aca="false">Retention!$F$16</f>
        <v>33</v>
      </c>
      <c r="H18" s="1" t="s">
        <v>1344</v>
      </c>
      <c r="I18" s="217" t="n">
        <f aca="false">IF(OR($D18=1,$E18=1),SUM(INDEX(Model!$J$13:$DE$56,$A18-12,0))+SUM(INDEX(Model!$J$60:$DE$103,$A18-12,0)),0)</f>
        <v>0</v>
      </c>
      <c r="J18" s="373" t="n">
        <v>0</v>
      </c>
      <c r="K18" s="217" t="n">
        <f aca="false">IF(OR($D18=1,$E18=1),J18+IF(AND($D18=1,$O$1=1),0,I18),0)</f>
        <v>0</v>
      </c>
      <c r="L18" s="374" t="n">
        <v>0</v>
      </c>
    </row>
    <row r="19" customFormat="false" ht="13.5" hidden="false" customHeight="true" outlineLevel="0" collapsed="false">
      <c r="A19" s="375" t="n">
        <v>28</v>
      </c>
      <c r="B19" s="376" t="s">
        <v>22</v>
      </c>
      <c r="C19" s="376" t="s">
        <v>1343</v>
      </c>
      <c r="D19" s="375" t="n">
        <v>1</v>
      </c>
      <c r="E19" s="375" t="n">
        <v>0</v>
      </c>
      <c r="F19" s="377" t="n">
        <v>0</v>
      </c>
      <c r="G19" s="380" t="n">
        <f aca="false">Retention!$F$17</f>
        <v>34</v>
      </c>
      <c r="H19" s="1" t="s">
        <v>1344</v>
      </c>
      <c r="I19" s="375" t="n">
        <f aca="false">IF(OR($D19=1,$E19=1),SUM(INDEX(Model!$J$13:$DE$56,$A19-12,0))+SUM(INDEX(Model!$J$60:$DE$103,$A19-12,0)),0)</f>
        <v>0</v>
      </c>
      <c r="J19" s="377" t="n">
        <v>0</v>
      </c>
      <c r="K19" s="375" t="n">
        <f aca="false">IF(OR($D19=1,$E19=1),J19+IF(AND($D19=1,$O$1=1),0,I19),0)</f>
        <v>0</v>
      </c>
      <c r="L19" s="378" t="n">
        <v>0</v>
      </c>
    </row>
    <row r="20" customFormat="false" ht="13.5" hidden="false" customHeight="true" outlineLevel="0" collapsed="false">
      <c r="A20" s="217" t="n">
        <v>29</v>
      </c>
      <c r="B20" s="215" t="s">
        <v>23</v>
      </c>
      <c r="C20" s="215" t="s">
        <v>1341</v>
      </c>
      <c r="D20" s="217" t="n">
        <v>0</v>
      </c>
      <c r="E20" s="217" t="n">
        <v>1</v>
      </c>
      <c r="F20" s="373" t="n">
        <v>0</v>
      </c>
      <c r="G20" s="379" t="n">
        <f aca="false">Retention!$F$18</f>
        <v>43</v>
      </c>
      <c r="H20" s="215" t="s">
        <v>1342</v>
      </c>
      <c r="I20" s="217" t="n">
        <f aca="false">IF(OR($D20=1,$E20=1),SUM(INDEX(Model!$J$13:$DE$56,$A20-12,0))+SUM(INDEX(Model!$J$60:$DE$103,$A20-12,0)),0)</f>
        <v>0</v>
      </c>
      <c r="J20" s="373" t="n">
        <v>0</v>
      </c>
      <c r="K20" s="217" t="n">
        <f aca="false">IF(OR($D20=1,$E20=1),J20+IF(AND($D20=1,$O$1=1),0,I20),0)</f>
        <v>0</v>
      </c>
      <c r="L20" s="374" t="n">
        <v>0.5</v>
      </c>
    </row>
    <row r="21" customFormat="false" ht="13.5" hidden="false" customHeight="true" outlineLevel="0" collapsed="false">
      <c r="A21" s="375" t="n">
        <v>30</v>
      </c>
      <c r="B21" s="376" t="s">
        <v>24</v>
      </c>
      <c r="C21" s="376" t="s">
        <v>1341</v>
      </c>
      <c r="D21" s="375" t="n">
        <v>0</v>
      </c>
      <c r="E21" s="375" t="n">
        <v>1</v>
      </c>
      <c r="F21" s="377" t="n">
        <v>0</v>
      </c>
      <c r="G21" s="380" t="n">
        <f aca="false">Retention!$F$19</f>
        <v>28</v>
      </c>
      <c r="H21" s="376" t="s">
        <v>1342</v>
      </c>
      <c r="I21" s="375" t="n">
        <f aca="false">IF(OR($D21=1,$E21=1),SUM(INDEX(Model!$J$13:$DE$56,$A21-12,0))+SUM(INDEX(Model!$J$60:$DE$103,$A21-12,0)),0)</f>
        <v>0</v>
      </c>
      <c r="J21" s="377" t="n">
        <v>0</v>
      </c>
      <c r="K21" s="375" t="n">
        <f aca="false">IF(OR($D21=1,$E21=1),J21+IF(AND($D21=1,$O$1=1),0,I21),0)</f>
        <v>0</v>
      </c>
      <c r="L21" s="378" t="n">
        <v>0.5</v>
      </c>
    </row>
    <row r="22" customFormat="false" ht="13.5" hidden="false" customHeight="true" outlineLevel="0" collapsed="false">
      <c r="A22" s="217" t="n">
        <v>31</v>
      </c>
      <c r="B22" s="215" t="s">
        <v>25</v>
      </c>
      <c r="C22" s="215" t="s">
        <v>1343</v>
      </c>
      <c r="D22" s="217" t="n">
        <v>1</v>
      </c>
      <c r="E22" s="217" t="n">
        <v>0</v>
      </c>
      <c r="F22" s="373" t="n">
        <v>0</v>
      </c>
      <c r="G22" s="379" t="n">
        <f aca="false">Retention!$F$20</f>
        <v>49</v>
      </c>
      <c r="H22" s="215" t="s">
        <v>1344</v>
      </c>
      <c r="I22" s="217" t="n">
        <f aca="false">IF(OR($D22=1,$E22=1),SUM(INDEX(Model!$J$13:$DE$56,$A22-12,0))+SUM(INDEX(Model!$J$60:$DE$103,$A22-12,0)),0)</f>
        <v>0</v>
      </c>
      <c r="J22" s="373" t="n">
        <v>0</v>
      </c>
      <c r="K22" s="217" t="n">
        <f aca="false">IF(OR($D22=1,$E22=1),J22+IF(AND($D22=1,$O$1=1),0,I22),0)</f>
        <v>0</v>
      </c>
      <c r="L22" s="374" t="n">
        <v>0</v>
      </c>
    </row>
    <row r="23" customFormat="false" ht="13.5" hidden="false" customHeight="true" outlineLevel="0" collapsed="false">
      <c r="A23" s="375" t="n">
        <v>32</v>
      </c>
      <c r="B23" s="376" t="s">
        <v>26</v>
      </c>
      <c r="C23" s="376" t="s">
        <v>1343</v>
      </c>
      <c r="D23" s="375" t="n">
        <v>1</v>
      </c>
      <c r="E23" s="375" t="n">
        <v>0</v>
      </c>
      <c r="F23" s="377" t="n">
        <v>0</v>
      </c>
      <c r="G23" s="380" t="n">
        <f aca="false">Retention!$F$21</f>
        <v>52</v>
      </c>
      <c r="H23" s="376" t="s">
        <v>1344</v>
      </c>
      <c r="I23" s="375" t="n">
        <f aca="false">IF(OR($D23=1,$E23=1),SUM(INDEX(Model!$J$13:$DE$56,$A23-12,0))+SUM(INDEX(Model!$J$60:$DE$103,$A23-12,0)),0)</f>
        <v>0</v>
      </c>
      <c r="J23" s="377" t="n">
        <v>0</v>
      </c>
      <c r="K23" s="375" t="n">
        <f aca="false">IF(OR($D23=1,$E23=1),J23+IF(AND($D23=1,$O$1=1),0,I23),0)</f>
        <v>0</v>
      </c>
      <c r="L23" s="378" t="n">
        <v>0</v>
      </c>
    </row>
    <row r="24" customFormat="false" ht="13.5" hidden="false" customHeight="true" outlineLevel="0" collapsed="false">
      <c r="A24" s="217" t="n">
        <v>33</v>
      </c>
      <c r="B24" s="215" t="s">
        <v>27</v>
      </c>
      <c r="C24" s="215" t="s">
        <v>1343</v>
      </c>
      <c r="D24" s="217" t="n">
        <v>1</v>
      </c>
      <c r="E24" s="217" t="n">
        <v>0</v>
      </c>
      <c r="F24" s="373" t="n">
        <v>0</v>
      </c>
      <c r="G24" s="379" t="n">
        <f aca="false">Retention!$F$22</f>
        <v>55</v>
      </c>
      <c r="H24" s="215" t="s">
        <v>1344</v>
      </c>
      <c r="I24" s="217" t="n">
        <f aca="false">IF(OR($D24=1,$E24=1),SUM(INDEX(Model!$J$13:$DE$56,$A24-12,0))+SUM(INDEX(Model!$J$60:$DE$103,$A24-12,0)),0)</f>
        <v>0</v>
      </c>
      <c r="J24" s="373" t="n">
        <v>0</v>
      </c>
      <c r="K24" s="217" t="n">
        <f aca="false">IF(OR($D24=1,$E24=1),J24+IF(AND($D24=1,$O$1=1),0,I24),0)</f>
        <v>0</v>
      </c>
      <c r="L24" s="374" t="n">
        <v>0</v>
      </c>
    </row>
    <row r="25" customFormat="false" ht="13.5" hidden="false" customHeight="true" outlineLevel="0" collapsed="false">
      <c r="A25" s="375" t="n">
        <v>34</v>
      </c>
      <c r="B25" s="376" t="s">
        <v>28</v>
      </c>
      <c r="C25" s="376" t="s">
        <v>1343</v>
      </c>
      <c r="D25" s="375" t="n">
        <v>1</v>
      </c>
      <c r="E25" s="375" t="n">
        <v>0</v>
      </c>
      <c r="F25" s="377" t="n">
        <v>0</v>
      </c>
      <c r="G25" s="380" t="n">
        <f aca="false">Retention!$F$23</f>
        <v>58</v>
      </c>
      <c r="H25" s="376" t="s">
        <v>1344</v>
      </c>
      <c r="I25" s="375" t="n">
        <f aca="false">IF(OR($D25=1,$E25=1),SUM(INDEX(Model!$J$13:$DE$56,$A25-12,0))+SUM(INDEX(Model!$J$60:$DE$103,$A25-12,0)),0)</f>
        <v>0</v>
      </c>
      <c r="J25" s="377" t="n">
        <v>0</v>
      </c>
      <c r="K25" s="375" t="n">
        <f aca="false">IF(OR($D25=1,$E25=1),J25+IF(AND($D25=1,$O$1=1),0,I25),0)</f>
        <v>0</v>
      </c>
      <c r="L25" s="378" t="n">
        <v>0</v>
      </c>
    </row>
    <row r="26" customFormat="false" ht="13.5" hidden="false" customHeight="true" outlineLevel="0" collapsed="false">
      <c r="A26" s="217" t="n">
        <v>35</v>
      </c>
      <c r="B26" s="215" t="s">
        <v>29</v>
      </c>
      <c r="C26" s="215" t="s">
        <v>1343</v>
      </c>
      <c r="D26" s="217" t="n">
        <v>1</v>
      </c>
      <c r="E26" s="217" t="n">
        <v>0</v>
      </c>
      <c r="F26" s="373" t="n">
        <v>0</v>
      </c>
      <c r="G26" s="379" t="n">
        <f aca="false">Retention!$F$24</f>
        <v>60</v>
      </c>
      <c r="H26" s="215" t="s">
        <v>1344</v>
      </c>
      <c r="I26" s="217" t="n">
        <f aca="false">IF(OR($D26=1,$E26=1),SUM(INDEX(Model!$J$13:$DE$56,$A26-12,0))+SUM(INDEX(Model!$J$60:$DE$103,$A26-12,0)),0)</f>
        <v>0</v>
      </c>
      <c r="J26" s="373" t="n">
        <v>0</v>
      </c>
      <c r="K26" s="217" t="n">
        <f aca="false">IF(OR($D26=1,$E26=1),J26+IF(AND($D26=1,$O$1=1),0,I26),0)</f>
        <v>0</v>
      </c>
      <c r="L26" s="374" t="n">
        <v>0</v>
      </c>
    </row>
    <row r="27" customFormat="false" ht="13.5" hidden="false" customHeight="true" outlineLevel="0" collapsed="false">
      <c r="A27" s="375" t="n">
        <v>36</v>
      </c>
      <c r="B27" s="376" t="s">
        <v>30</v>
      </c>
      <c r="C27" s="376" t="s">
        <v>1343</v>
      </c>
      <c r="D27" s="375" t="n">
        <v>1</v>
      </c>
      <c r="E27" s="375" t="n">
        <v>0</v>
      </c>
      <c r="F27" s="377" t="n">
        <v>0</v>
      </c>
      <c r="G27" s="380" t="n">
        <f aca="false">Retention!$F$25</f>
        <v>62</v>
      </c>
      <c r="H27" s="376" t="s">
        <v>1344</v>
      </c>
      <c r="I27" s="375" t="n">
        <f aca="false">IF(OR($D27=1,$E27=1),SUM(INDEX(Model!$J$13:$DE$56,$A27-12,0))+SUM(INDEX(Model!$J$60:$DE$103,$A27-12,0)),0)</f>
        <v>0</v>
      </c>
      <c r="J27" s="377" t="n">
        <v>0</v>
      </c>
      <c r="K27" s="375" t="n">
        <f aca="false">IF(OR($D27=1,$E27=1),J27+IF(AND($D27=1,$O$1=1),0,I27),0)</f>
        <v>0</v>
      </c>
      <c r="L27" s="378" t="n">
        <v>0</v>
      </c>
    </row>
    <row r="28" customFormat="false" ht="13.5" hidden="false" customHeight="true" outlineLevel="0" collapsed="false">
      <c r="A28" s="217" t="n">
        <v>37</v>
      </c>
      <c r="B28" s="215" t="s">
        <v>31</v>
      </c>
      <c r="C28" s="215" t="s">
        <v>1343</v>
      </c>
      <c r="D28" s="217" t="n">
        <v>1</v>
      </c>
      <c r="E28" s="217" t="n">
        <v>0</v>
      </c>
      <c r="F28" s="373" t="n">
        <v>0</v>
      </c>
      <c r="G28" s="379" t="n">
        <f aca="false">Retention!$F$26</f>
        <v>64</v>
      </c>
      <c r="H28" s="215" t="s">
        <v>1344</v>
      </c>
      <c r="I28" s="217" t="n">
        <f aca="false">IF(OR($D28=1,$E28=1),SUM(INDEX(Model!$J$13:$DE$56,$A28-12,0))+SUM(INDEX(Model!$J$60:$DE$103,$A28-12,0)),0)</f>
        <v>0</v>
      </c>
      <c r="J28" s="373" t="n">
        <v>0</v>
      </c>
      <c r="K28" s="217" t="n">
        <f aca="false">IF(OR($D28=1,$E28=1),J28+IF(AND($D28=1,$O$1=1),0,I28),0)</f>
        <v>0</v>
      </c>
      <c r="L28" s="374" t="n">
        <v>0</v>
      </c>
    </row>
    <row r="29" customFormat="false" ht="13.5" hidden="false" customHeight="true" outlineLevel="0" collapsed="false">
      <c r="A29" s="375" t="n">
        <v>38</v>
      </c>
      <c r="B29" s="376" t="s">
        <v>32</v>
      </c>
      <c r="C29" s="376" t="s">
        <v>1343</v>
      </c>
      <c r="D29" s="375" t="n">
        <v>1</v>
      </c>
      <c r="E29" s="375" t="n">
        <v>0</v>
      </c>
      <c r="F29" s="377" t="n">
        <v>0</v>
      </c>
      <c r="G29" s="380" t="n">
        <f aca="false">Retention!$F$27</f>
        <v>66</v>
      </c>
      <c r="H29" s="376" t="s">
        <v>1344</v>
      </c>
      <c r="I29" s="375" t="n">
        <f aca="false">IF(OR($D29=1,$E29=1),SUM(INDEX(Model!$J$13:$DE$56,$A29-12,0))+SUM(INDEX(Model!$J$60:$DE$103,$A29-12,0)),0)</f>
        <v>0</v>
      </c>
      <c r="J29" s="377" t="n">
        <v>0</v>
      </c>
      <c r="K29" s="375" t="n">
        <f aca="false">IF(OR($D29=1,$E29=1),J29+IF(AND($D29=1,$O$1=1),0,I29),0)</f>
        <v>0</v>
      </c>
      <c r="L29" s="378" t="n">
        <v>0</v>
      </c>
    </row>
    <row r="30" customFormat="false" ht="13.5" hidden="false" customHeight="true" outlineLevel="0" collapsed="false">
      <c r="A30" s="217" t="n">
        <v>39</v>
      </c>
      <c r="B30" s="215" t="s">
        <v>33</v>
      </c>
      <c r="C30" s="215" t="s">
        <v>1343</v>
      </c>
      <c r="D30" s="217" t="n">
        <v>1</v>
      </c>
      <c r="E30" s="217" t="n">
        <v>0</v>
      </c>
      <c r="F30" s="373" t="n">
        <v>0</v>
      </c>
      <c r="G30" s="379" t="n">
        <f aca="false">Retention!$F$28</f>
        <v>68</v>
      </c>
      <c r="H30" s="215" t="s">
        <v>1344</v>
      </c>
      <c r="I30" s="217" t="n">
        <f aca="false">IF(OR($D30=1,$E30=1),SUM(INDEX(Model!$J$13:$DE$56,$A30-12,0))+SUM(INDEX(Model!$J$60:$DE$103,$A30-12,0)),0)</f>
        <v>0</v>
      </c>
      <c r="J30" s="373" t="n">
        <v>0</v>
      </c>
      <c r="K30" s="217" t="n">
        <f aca="false">IF(OR($D30=1,$E30=1),J30+IF(AND($D30=1,$O$1=1),0,I30),0)</f>
        <v>0</v>
      </c>
      <c r="L30" s="374" t="n">
        <v>0</v>
      </c>
    </row>
    <row r="31" customFormat="false" ht="13.5" hidden="false" customHeight="true" outlineLevel="0" collapsed="false">
      <c r="A31" s="375" t="n">
        <v>40</v>
      </c>
      <c r="B31" s="376" t="s">
        <v>34</v>
      </c>
      <c r="C31" s="376" t="s">
        <v>1343</v>
      </c>
      <c r="D31" s="375" t="n">
        <v>1</v>
      </c>
      <c r="E31" s="375" t="n">
        <v>0</v>
      </c>
      <c r="F31" s="377" t="n">
        <v>0</v>
      </c>
      <c r="G31" s="380" t="n">
        <f aca="false">Retention!$F$29</f>
        <v>70</v>
      </c>
      <c r="H31" s="376" t="s">
        <v>1344</v>
      </c>
      <c r="I31" s="375" t="n">
        <f aca="false">IF(OR($D31=1,$E31=1),SUM(INDEX(Model!$J$13:$DE$56,$A31-12,0))+SUM(INDEX(Model!$J$60:$DE$103,$A31-12,0)),0)</f>
        <v>0</v>
      </c>
      <c r="J31" s="377" t="n">
        <v>0</v>
      </c>
      <c r="K31" s="375" t="n">
        <f aca="false">IF(OR($D31=1,$E31=1),J31+IF(AND($D31=1,$O$1=1),0,I31),0)</f>
        <v>0</v>
      </c>
      <c r="L31" s="378" t="n">
        <v>0</v>
      </c>
    </row>
    <row r="32" customFormat="false" ht="13.5" hidden="false" customHeight="true" outlineLevel="0" collapsed="false">
      <c r="A32" s="217" t="n">
        <v>41</v>
      </c>
      <c r="B32" s="215" t="s">
        <v>35</v>
      </c>
      <c r="C32" s="215" t="s">
        <v>1343</v>
      </c>
      <c r="D32" s="217" t="n">
        <v>1</v>
      </c>
      <c r="E32" s="217" t="n">
        <v>0</v>
      </c>
      <c r="F32" s="373" t="n">
        <v>0</v>
      </c>
      <c r="G32" s="379" t="n">
        <f aca="false">Retention!$F$30</f>
        <v>72</v>
      </c>
      <c r="H32" s="215" t="s">
        <v>1344</v>
      </c>
      <c r="I32" s="217" t="n">
        <f aca="false">IF(OR($D32=1,$E32=1),SUM(INDEX(Model!$J$13:$DE$56,$A32-12,0))+SUM(INDEX(Model!$J$60:$DE$103,$A32-12,0)),0)</f>
        <v>0</v>
      </c>
      <c r="J32" s="373" t="n">
        <v>0</v>
      </c>
      <c r="K32" s="217" t="n">
        <f aca="false">IF(OR($D32=1,$E32=1),J32+IF(AND($D32=1,$O$1=1),0,I32),0)</f>
        <v>0</v>
      </c>
      <c r="L32" s="374" t="n">
        <v>0</v>
      </c>
    </row>
    <row r="33" customFormat="false" ht="13.5" hidden="false" customHeight="true" outlineLevel="0" collapsed="false">
      <c r="A33" s="375" t="n">
        <v>42</v>
      </c>
      <c r="B33" s="376" t="s">
        <v>36</v>
      </c>
      <c r="C33" s="376" t="s">
        <v>1343</v>
      </c>
      <c r="D33" s="375" t="n">
        <v>1</v>
      </c>
      <c r="E33" s="375" t="n">
        <v>0</v>
      </c>
      <c r="F33" s="377" t="n">
        <v>0</v>
      </c>
      <c r="G33" s="380" t="n">
        <f aca="false">Retention!$F$31</f>
        <v>74</v>
      </c>
      <c r="H33" s="376" t="s">
        <v>1344</v>
      </c>
      <c r="I33" s="375" t="n">
        <f aca="false">IF(OR($D33=1,$E33=1),SUM(INDEX(Model!$J$13:$DE$56,$A33-12,0))+SUM(INDEX(Model!$J$60:$DE$103,$A33-12,0)),0)</f>
        <v>0</v>
      </c>
      <c r="J33" s="377" t="n">
        <v>0</v>
      </c>
      <c r="K33" s="375" t="n">
        <f aca="false">IF(OR($D33=1,$E33=1),J33+IF(AND($D33=1,$O$1=1),0,I33),0)</f>
        <v>0</v>
      </c>
      <c r="L33" s="378" t="n">
        <v>0</v>
      </c>
    </row>
    <row r="34" customFormat="false" ht="13.5" hidden="false" customHeight="true" outlineLevel="0" collapsed="false">
      <c r="A34" s="217" t="n">
        <v>43</v>
      </c>
      <c r="B34" s="215" t="s">
        <v>37</v>
      </c>
      <c r="C34" s="215" t="s">
        <v>1343</v>
      </c>
      <c r="D34" s="217" t="n">
        <v>1</v>
      </c>
      <c r="E34" s="217" t="n">
        <v>0</v>
      </c>
      <c r="F34" s="373" t="n">
        <v>0</v>
      </c>
      <c r="G34" s="379" t="n">
        <f aca="false">Retention!$F$32</f>
        <v>76</v>
      </c>
      <c r="H34" s="215" t="s">
        <v>1344</v>
      </c>
      <c r="I34" s="217" t="n">
        <f aca="false">IF(OR($D34=1,$E34=1),SUM(INDEX(Model!$J$13:$DE$56,$A34-12,0))+SUM(INDEX(Model!$J$60:$DE$103,$A34-12,0)),0)</f>
        <v>0</v>
      </c>
      <c r="J34" s="373" t="n">
        <v>0</v>
      </c>
      <c r="K34" s="217" t="n">
        <f aca="false">IF(OR($D34=1,$E34=1),J34+IF(AND($D34=1,$O$1=1),0,I34),0)</f>
        <v>0</v>
      </c>
      <c r="L34" s="374" t="n">
        <v>0</v>
      </c>
    </row>
    <row r="35" customFormat="false" ht="13.5" hidden="false" customHeight="true" outlineLevel="0" collapsed="false">
      <c r="A35" s="375" t="n">
        <v>44</v>
      </c>
      <c r="B35" s="376" t="s">
        <v>38</v>
      </c>
      <c r="C35" s="376" t="s">
        <v>1343</v>
      </c>
      <c r="D35" s="375" t="n">
        <v>1</v>
      </c>
      <c r="E35" s="375" t="n">
        <v>0</v>
      </c>
      <c r="F35" s="377" t="n">
        <v>0</v>
      </c>
      <c r="G35" s="380" t="n">
        <f aca="false">Retention!$F$33</f>
        <v>78</v>
      </c>
      <c r="H35" s="376" t="s">
        <v>1344</v>
      </c>
      <c r="I35" s="375" t="n">
        <f aca="false">IF(OR($D35=1,$E35=1),SUM(INDEX(Model!$J$13:$DE$56,$A35-12,0))+SUM(INDEX(Model!$J$60:$DE$103,$A35-12,0)),0)</f>
        <v>0</v>
      </c>
      <c r="J35" s="377" t="n">
        <v>0</v>
      </c>
      <c r="K35" s="375" t="n">
        <f aca="false">IF(OR($D35=1,$E35=1),J35+IF(AND($D35=1,$O$1=1),0,I35),0)</f>
        <v>0</v>
      </c>
      <c r="L35" s="378" t="n">
        <v>0</v>
      </c>
    </row>
    <row r="36" customFormat="false" ht="13.5" hidden="false" customHeight="true" outlineLevel="0" collapsed="false">
      <c r="A36" s="217" t="n">
        <v>45</v>
      </c>
      <c r="B36" s="215" t="s">
        <v>39</v>
      </c>
      <c r="C36" s="215" t="s">
        <v>1343</v>
      </c>
      <c r="D36" s="217" t="n">
        <v>1</v>
      </c>
      <c r="E36" s="217" t="n">
        <v>0</v>
      </c>
      <c r="F36" s="373" t="n">
        <v>0</v>
      </c>
      <c r="G36" s="379" t="n">
        <f aca="false">Retention!$F$34</f>
        <v>80</v>
      </c>
      <c r="H36" s="215" t="s">
        <v>1344</v>
      </c>
      <c r="I36" s="217" t="n">
        <f aca="false">IF(OR($D36=1,$E36=1),SUM(INDEX(Model!$J$13:$DE$56,$A36-12,0))+SUM(INDEX(Model!$J$60:$DE$103,$A36-12,0)),0)</f>
        <v>0</v>
      </c>
      <c r="J36" s="373" t="n">
        <v>0</v>
      </c>
      <c r="K36" s="217" t="n">
        <f aca="false">IF(OR($D36=1,$E36=1),J36+IF(AND($D36=1,$O$1=1),0,I36),0)</f>
        <v>0</v>
      </c>
      <c r="L36" s="374" t="n">
        <v>0</v>
      </c>
    </row>
    <row r="37" customFormat="false" ht="13.5" hidden="false" customHeight="true" outlineLevel="0" collapsed="false">
      <c r="A37" s="375" t="n">
        <v>46</v>
      </c>
      <c r="B37" s="376" t="s">
        <v>40</v>
      </c>
      <c r="C37" s="376" t="s">
        <v>1343</v>
      </c>
      <c r="D37" s="375" t="n">
        <v>1</v>
      </c>
      <c r="E37" s="375" t="n">
        <v>0</v>
      </c>
      <c r="F37" s="377" t="n">
        <v>0</v>
      </c>
      <c r="G37" s="380" t="n">
        <f aca="false">Retention!$F$35</f>
        <v>82</v>
      </c>
      <c r="H37" s="376" t="s">
        <v>1344</v>
      </c>
      <c r="I37" s="375" t="n">
        <f aca="false">IF(OR($D37=1,$E37=1),SUM(INDEX(Model!$J$13:$DE$56,$A37-12,0))+SUM(INDEX(Model!$J$60:$DE$103,$A37-12,0)),0)</f>
        <v>0</v>
      </c>
      <c r="J37" s="377" t="n">
        <v>0</v>
      </c>
      <c r="K37" s="375" t="n">
        <f aca="false">IF(OR($D37=1,$E37=1),J37+IF(AND($D37=1,$O$1=1),0,I37),0)</f>
        <v>0</v>
      </c>
      <c r="L37" s="378" t="n">
        <v>0</v>
      </c>
    </row>
    <row r="38" customFormat="false" ht="13.5" hidden="false" customHeight="true" outlineLevel="0" collapsed="false">
      <c r="A38" s="217" t="n">
        <v>47</v>
      </c>
      <c r="B38" s="215" t="s">
        <v>41</v>
      </c>
      <c r="C38" s="215" t="s">
        <v>1343</v>
      </c>
      <c r="D38" s="217" t="n">
        <v>1</v>
      </c>
      <c r="E38" s="217" t="n">
        <v>0</v>
      </c>
      <c r="F38" s="373" t="n">
        <v>0</v>
      </c>
      <c r="G38" s="379" t="n">
        <f aca="false">Retention!$F$36</f>
        <v>84</v>
      </c>
      <c r="H38" s="215" t="s">
        <v>1344</v>
      </c>
      <c r="I38" s="217" t="n">
        <f aca="false">IF(OR($D38=1,$E38=1),SUM(INDEX(Model!$J$13:$DE$56,$A38-12,0))+SUM(INDEX(Model!$J$60:$DE$103,$A38-12,0)),0)</f>
        <v>0</v>
      </c>
      <c r="J38" s="373" t="n">
        <v>0</v>
      </c>
      <c r="K38" s="217" t="n">
        <f aca="false">IF(OR($D38=1,$E38=1),J38+IF(AND($D38=1,$O$1=1),0,I38),0)</f>
        <v>0</v>
      </c>
      <c r="L38" s="374" t="n">
        <v>0</v>
      </c>
    </row>
    <row r="39" customFormat="false" ht="13.5" hidden="false" customHeight="true" outlineLevel="0" collapsed="false">
      <c r="A39" s="375" t="n">
        <v>48</v>
      </c>
      <c r="B39" s="376" t="s">
        <v>42</v>
      </c>
      <c r="C39" s="376" t="s">
        <v>1343</v>
      </c>
      <c r="D39" s="375" t="n">
        <v>1</v>
      </c>
      <c r="E39" s="375" t="n">
        <v>0</v>
      </c>
      <c r="F39" s="377" t="n">
        <v>0</v>
      </c>
      <c r="G39" s="380" t="n">
        <f aca="false">Retention!$F$37</f>
        <v>86</v>
      </c>
      <c r="H39" s="376" t="s">
        <v>1344</v>
      </c>
      <c r="I39" s="375" t="n">
        <f aca="false">IF(OR($D39=1,$E39=1),SUM(INDEX(Model!$J$13:$DE$56,$A39-12,0))+SUM(INDEX(Model!$J$60:$DE$103,$A39-12,0)),0)</f>
        <v>0</v>
      </c>
      <c r="J39" s="377" t="n">
        <v>0</v>
      </c>
      <c r="K39" s="375" t="n">
        <f aca="false">IF(OR($D39=1,$E39=1),J39+IF(AND($D39=1,$O$1=1),0,I39),0)</f>
        <v>0</v>
      </c>
      <c r="L39" s="378" t="n">
        <v>0</v>
      </c>
    </row>
    <row r="40" customFormat="false" ht="13.5" hidden="false" customHeight="true" outlineLevel="0" collapsed="false">
      <c r="A40" s="217" t="n">
        <v>49</v>
      </c>
      <c r="B40" s="215" t="s">
        <v>43</v>
      </c>
      <c r="C40" s="215" t="s">
        <v>1343</v>
      </c>
      <c r="D40" s="217" t="n">
        <v>1</v>
      </c>
      <c r="E40" s="217" t="n">
        <v>0</v>
      </c>
      <c r="F40" s="373" t="n">
        <v>0</v>
      </c>
      <c r="G40" s="379" t="n">
        <f aca="false">Retention!$F$38</f>
        <v>88</v>
      </c>
      <c r="H40" s="215" t="s">
        <v>1344</v>
      </c>
      <c r="I40" s="217" t="n">
        <f aca="false">IF(OR($D40=1,$E40=1),SUM(INDEX(Model!$J$13:$DE$56,$A40-12,0))+SUM(INDEX(Model!$J$60:$DE$103,$A40-12,0)),0)</f>
        <v>0</v>
      </c>
      <c r="J40" s="373" t="n">
        <v>0</v>
      </c>
      <c r="K40" s="217" t="n">
        <f aca="false">IF(OR($D40=1,$E40=1),J40+IF(AND($D40=1,$O$1=1),0,I40),0)</f>
        <v>0</v>
      </c>
      <c r="L40" s="374" t="n">
        <v>0</v>
      </c>
    </row>
    <row r="41" customFormat="false" ht="13.5" hidden="false" customHeight="true" outlineLevel="0" collapsed="false">
      <c r="A41" s="375" t="n">
        <v>50</v>
      </c>
      <c r="B41" s="376" t="s">
        <v>44</v>
      </c>
      <c r="C41" s="376" t="s">
        <v>1343</v>
      </c>
      <c r="D41" s="375" t="n">
        <v>1</v>
      </c>
      <c r="E41" s="375" t="n">
        <v>0</v>
      </c>
      <c r="F41" s="377" t="n">
        <v>0</v>
      </c>
      <c r="G41" s="380" t="n">
        <f aca="false">Retention!$F$39</f>
        <v>90</v>
      </c>
      <c r="H41" s="376" t="s">
        <v>1344</v>
      </c>
      <c r="I41" s="375" t="n">
        <f aca="false">IF(OR($D41=1,$E41=1),SUM(INDEX(Model!$J$13:$DE$56,$A41-12,0))+SUM(INDEX(Model!$J$60:$DE$103,$A41-12,0)),0)</f>
        <v>0</v>
      </c>
      <c r="J41" s="377" t="n">
        <v>0</v>
      </c>
      <c r="K41" s="375" t="n">
        <f aca="false">IF(OR($D41=1,$E41=1),J41+IF(AND($D41=1,$O$1=1),0,I41),0)</f>
        <v>0</v>
      </c>
      <c r="L41" s="378" t="n">
        <v>0</v>
      </c>
    </row>
    <row r="42" customFormat="false" ht="13.5" hidden="false" customHeight="true" outlineLevel="0" collapsed="false">
      <c r="A42" s="217" t="n">
        <v>51</v>
      </c>
      <c r="B42" s="215" t="s">
        <v>45</v>
      </c>
      <c r="C42" s="215" t="s">
        <v>1343</v>
      </c>
      <c r="D42" s="217" t="n">
        <v>1</v>
      </c>
      <c r="E42" s="217" t="n">
        <v>0</v>
      </c>
      <c r="F42" s="373" t="n">
        <v>0</v>
      </c>
      <c r="G42" s="379" t="n">
        <f aca="false">Retention!$F$40</f>
        <v>92</v>
      </c>
      <c r="H42" s="215" t="s">
        <v>1344</v>
      </c>
      <c r="I42" s="217" t="n">
        <f aca="false">IF(OR($D42=1,$E42=1),SUM(INDEX(Model!$J$13:$DE$56,$A42-12,0))+SUM(INDEX(Model!$J$60:$DE$103,$A42-12,0)),0)</f>
        <v>0</v>
      </c>
      <c r="J42" s="373" t="n">
        <v>0</v>
      </c>
      <c r="K42" s="217" t="n">
        <f aca="false">IF(OR($D42=1,$E42=1),J42+IF(AND($D42=1,$O$1=1),0,I42),0)</f>
        <v>0</v>
      </c>
      <c r="L42" s="374" t="n">
        <v>0</v>
      </c>
    </row>
    <row r="43" customFormat="false" ht="13.5" hidden="false" customHeight="true" outlineLevel="0" collapsed="false">
      <c r="A43" s="375" t="n">
        <v>52</v>
      </c>
      <c r="B43" s="376" t="s">
        <v>46</v>
      </c>
      <c r="C43" s="376" t="s">
        <v>1343</v>
      </c>
      <c r="D43" s="375" t="n">
        <v>1</v>
      </c>
      <c r="E43" s="375" t="n">
        <v>0</v>
      </c>
      <c r="F43" s="377" t="n">
        <v>0</v>
      </c>
      <c r="G43" s="380" t="n">
        <f aca="false">Retention!$F$41</f>
        <v>94</v>
      </c>
      <c r="H43" s="376" t="s">
        <v>1344</v>
      </c>
      <c r="I43" s="375" t="n">
        <f aca="false">IF(OR($D43=1,$E43=1),SUM(INDEX(Model!$J$13:$DE$56,$A43-12,0))+SUM(INDEX(Model!$J$60:$DE$103,$A43-12,0)),0)</f>
        <v>0</v>
      </c>
      <c r="J43" s="377" t="n">
        <v>0</v>
      </c>
      <c r="K43" s="375" t="n">
        <f aca="false">IF(OR($D43=1,$E43=1),J43+IF(AND($D43=1,$O$1=1),0,I43),0)</f>
        <v>0</v>
      </c>
      <c r="L43" s="378" t="n">
        <v>0</v>
      </c>
    </row>
    <row r="44" customFormat="false" ht="13.5" hidden="false" customHeight="true" outlineLevel="0" collapsed="false">
      <c r="A44" s="217" t="n">
        <v>53</v>
      </c>
      <c r="B44" s="215" t="s">
        <v>47</v>
      </c>
      <c r="C44" s="215" t="s">
        <v>1343</v>
      </c>
      <c r="D44" s="217" t="n">
        <v>1</v>
      </c>
      <c r="E44" s="217" t="n">
        <v>0</v>
      </c>
      <c r="F44" s="373" t="n">
        <v>0</v>
      </c>
      <c r="G44" s="379" t="n">
        <f aca="false">Retention!$F$42</f>
        <v>96</v>
      </c>
      <c r="H44" s="215" t="s">
        <v>1344</v>
      </c>
      <c r="I44" s="217" t="n">
        <f aca="false">IF(OR($D44=1,$E44=1),SUM(INDEX(Model!$J$13:$DE$56,$A44-12,0))+SUM(INDEX(Model!$J$60:$DE$103,$A44-12,0)),0)</f>
        <v>0</v>
      </c>
      <c r="J44" s="373" t="n">
        <v>0</v>
      </c>
      <c r="K44" s="217" t="n">
        <f aca="false">IF(OR($D44=1,$E44=1),J44+IF(AND($D44=1,$O$1=1),0,I44),0)</f>
        <v>0</v>
      </c>
      <c r="L44" s="374" t="n">
        <v>0</v>
      </c>
    </row>
    <row r="45" customFormat="false" ht="13.5" hidden="false" customHeight="true" outlineLevel="0" collapsed="false">
      <c r="A45" s="375" t="n">
        <v>54</v>
      </c>
      <c r="B45" s="376" t="s">
        <v>48</v>
      </c>
      <c r="C45" s="376" t="s">
        <v>1343</v>
      </c>
      <c r="D45" s="375" t="n">
        <v>1</v>
      </c>
      <c r="E45" s="375" t="n">
        <v>0</v>
      </c>
      <c r="F45" s="377" t="n">
        <v>0</v>
      </c>
      <c r="G45" s="380" t="n">
        <f aca="false">Retention!$F$43</f>
        <v>98</v>
      </c>
      <c r="H45" s="376" t="s">
        <v>1344</v>
      </c>
      <c r="I45" s="375" t="n">
        <f aca="false">IF(OR($D45=1,$E45=1),SUM(INDEX(Model!$J$13:$DE$56,$A45-12,0))+SUM(INDEX(Model!$J$60:$DE$103,$A45-12,0)),0)</f>
        <v>0</v>
      </c>
      <c r="J45" s="377" t="n">
        <v>0</v>
      </c>
      <c r="K45" s="375" t="n">
        <f aca="false">IF(OR($D45=1,$E45=1),J45+IF(AND($D45=1,$O$1=1),0,I45),0)</f>
        <v>0</v>
      </c>
      <c r="L45" s="378" t="n">
        <v>0</v>
      </c>
    </row>
    <row r="46" customFormat="false" ht="13.5" hidden="false" customHeight="true" outlineLevel="0" collapsed="false">
      <c r="A46" s="217" t="n">
        <v>55</v>
      </c>
      <c r="B46" s="215" t="s">
        <v>49</v>
      </c>
      <c r="C46" s="215" t="s">
        <v>1343</v>
      </c>
      <c r="D46" s="217" t="n">
        <v>1</v>
      </c>
      <c r="E46" s="217" t="n">
        <v>0</v>
      </c>
      <c r="F46" s="373" t="n">
        <v>0</v>
      </c>
      <c r="G46" s="379" t="n">
        <f aca="false">Retention!$F$44</f>
        <v>100</v>
      </c>
      <c r="H46" s="215" t="s">
        <v>1344</v>
      </c>
      <c r="I46" s="217" t="n">
        <f aca="false">IF(OR($D46=1,$E46=1),SUM(INDEX(Model!$J$13:$DE$56,$A46-12,0))+SUM(INDEX(Model!$J$60:$DE$103,$A46-12,0)),0)</f>
        <v>0</v>
      </c>
      <c r="J46" s="373" t="n">
        <v>0</v>
      </c>
      <c r="K46" s="217" t="n">
        <f aca="false">IF(OR($D46=1,$E46=1),J46+IF(AND($D46=1,$O$1=1),0,I46),0)</f>
        <v>0</v>
      </c>
      <c r="L46" s="374" t="n">
        <v>0</v>
      </c>
    </row>
    <row r="47" customFormat="false" ht="13.5" hidden="false" customHeight="true" outlineLevel="0" collapsed="false">
      <c r="A47" s="375" t="n">
        <v>56</v>
      </c>
      <c r="B47" s="376" t="s">
        <v>50</v>
      </c>
      <c r="C47" s="376" t="s">
        <v>1345</v>
      </c>
      <c r="D47" s="375" t="n">
        <v>0</v>
      </c>
      <c r="E47" s="375" t="n">
        <v>0</v>
      </c>
      <c r="F47" s="377" t="n">
        <v>0</v>
      </c>
      <c r="G47" s="375" t="n">
        <v>0</v>
      </c>
      <c r="I47" s="375" t="n">
        <f aca="false">IF(OR($D47=1,$E47=1),SUM(INDEX(Model!$J$13:$DE$56,$A47-12,0))+SUM(INDEX(Model!$J$60:$DE$103,$A47-12,0)),0)</f>
        <v>0</v>
      </c>
      <c r="J47" s="377" t="n">
        <v>0</v>
      </c>
      <c r="K47" s="375" t="n">
        <f aca="false">IF(OR($D47=1,$E47=1),J47+IF(AND($D47=1,$O$1=1),0,I47),0)</f>
        <v>0</v>
      </c>
      <c r="L47" s="378" t="n">
        <v>0</v>
      </c>
    </row>
    <row r="58" customFormat="false" ht="13.5" hidden="false" customHeight="true" outlineLevel="0" collapsed="false">
      <c r="A58" s="381" t="s">
        <v>1346</v>
      </c>
    </row>
    <row r="59" customFormat="false" ht="13.5" hidden="false" customHeight="true" outlineLevel="0" collapsed="false">
      <c r="A59" s="1" t="s">
        <v>1347</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Dickens</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BD-06</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81" t="s">
        <v>476</v>
      </c>
      <c r="B104" s="381" t="n">
        <f aca="false">SUM(B60:B103)</f>
        <v>0</v>
      </c>
      <c r="C104" s="381" t="n">
        <f aca="false">SUM(C60:C103)</f>
        <v>0</v>
      </c>
      <c r="D104" s="381" t="n">
        <f aca="false">SUM(D60:D103)</f>
        <v>0</v>
      </c>
      <c r="E104" s="381" t="n">
        <f aca="false">SUM(E60:E103)</f>
        <v>0</v>
      </c>
      <c r="F104" s="381" t="n">
        <f aca="false">SUM(F60:F103)</f>
        <v>0</v>
      </c>
      <c r="G104" s="381" t="n">
        <f aca="false">SUM(G60:G103)</f>
        <v>0</v>
      </c>
      <c r="H104" s="381" t="n">
        <f aca="false">SUM(H60:H103)</f>
        <v>0</v>
      </c>
      <c r="I104" s="381" t="n">
        <f aca="false">SUM(I60:I103)</f>
        <v>0</v>
      </c>
      <c r="J104" s="381" t="n">
        <f aca="false">SUM(J60:J103)</f>
        <v>225272.52</v>
      </c>
      <c r="K104" s="381" t="n">
        <f aca="false">SUM(K60:K103)</f>
        <v>248630.71</v>
      </c>
      <c r="L104" s="381" t="n">
        <f aca="false">SUM(L60:L103)</f>
        <v>251735.84</v>
      </c>
      <c r="M104" s="381" t="n">
        <f aca="false">SUM(M60:M103)</f>
        <v>252618.63</v>
      </c>
      <c r="N104" s="381" t="n">
        <f aca="false">SUM(N60:N103)</f>
        <v>261241.069999999</v>
      </c>
      <c r="O104" s="381" t="n">
        <f aca="false">SUM(O60:O103)</f>
        <v>275566.84</v>
      </c>
      <c r="P104" s="381" t="n">
        <f aca="false">SUM(P60:P103)</f>
        <v>283344.14</v>
      </c>
      <c r="Q104" s="381" t="n">
        <f aca="false">SUM(Q60:Q103)</f>
        <v>296785.86</v>
      </c>
      <c r="R104" s="381" t="n">
        <f aca="false">SUM(R60:R103)</f>
        <v>279949.350000001</v>
      </c>
      <c r="S104" s="381" t="n">
        <f aca="false">SUM(S60:S103)</f>
        <v>218493.54</v>
      </c>
      <c r="T104" s="381" t="n">
        <f aca="false">SUM(T60:T103)</f>
        <v>197620.92</v>
      </c>
      <c r="U104" s="381" t="n">
        <f aca="false">SUM(U60:U103)</f>
        <v>194318.949999999</v>
      </c>
      <c r="V104" s="381" t="n">
        <f aca="false">SUM(V60:V103)</f>
        <v>197751.920000001</v>
      </c>
      <c r="W104" s="381" t="n">
        <f aca="false">SUM(W60:W103)</f>
        <v>203537.240000001</v>
      </c>
      <c r="X104" s="381" t="n">
        <f aca="false">SUM(X60:X103)</f>
        <v>203537.240000001</v>
      </c>
      <c r="Y104" s="381" t="n">
        <f aca="false">SUM(Y60:Y103)</f>
        <v>203537.240000001</v>
      </c>
      <c r="Z104" s="381" t="n">
        <f aca="false">SUM(Z60:Z103)</f>
        <v>203537.240000001</v>
      </c>
      <c r="AA104" s="381" t="n">
        <f aca="false">SUM(AA60:AA103)</f>
        <v>203537.240000001</v>
      </c>
      <c r="AB104" s="381" t="n">
        <f aca="false">SUM(AB60:AB103)</f>
        <v>203537.240000001</v>
      </c>
      <c r="AC104" s="381" t="n">
        <f aca="false">SUM(AC60:AC103)</f>
        <v>203537.240000001</v>
      </c>
      <c r="AD104" s="381" t="n">
        <f aca="false">SUM(AD60:AD103)</f>
        <v>203537.240000001</v>
      </c>
      <c r="AE104" s="381" t="n">
        <f aca="false">SUM(AE60:AE103)</f>
        <v>203537.240000001</v>
      </c>
      <c r="AF104" s="381" t="n">
        <f aca="false">SUM(AF60:AF103)</f>
        <v>203537.240000001</v>
      </c>
      <c r="AG104" s="381" t="n">
        <f aca="false">SUM(AG60:AG103)</f>
        <v>203537.240000001</v>
      </c>
      <c r="AH104" s="381" t="n">
        <f aca="false">SUM(AH60:AH103)</f>
        <v>203537.240000001</v>
      </c>
      <c r="AI104" s="381" t="n">
        <f aca="false">SUM(AI60:AI103)</f>
        <v>203537.240000001</v>
      </c>
      <c r="AJ104" s="381" t="n">
        <f aca="false">SUM(AJ60:AJ103)</f>
        <v>203537.240000001</v>
      </c>
      <c r="AK104" s="381" t="n">
        <f aca="false">SUM(AK60:AK103)</f>
        <v>203537.240000001</v>
      </c>
      <c r="AL104" s="381" t="n">
        <f aca="false">SUM(AL60:AL103)</f>
        <v>203537.240000001</v>
      </c>
      <c r="AM104" s="381" t="n">
        <f aca="false">SUM(AM60:AM103)</f>
        <v>203537.240000001</v>
      </c>
      <c r="AN104" s="381" t="n">
        <f aca="false">SUM(AN60:AN103)</f>
        <v>203537.240000001</v>
      </c>
      <c r="AO104" s="381" t="n">
        <f aca="false">SUM(AO60:AO103)</f>
        <v>203537.240000001</v>
      </c>
      <c r="AP104" s="381" t="n">
        <f aca="false">SUM(AP60:AP103)</f>
        <v>203537.240000001</v>
      </c>
      <c r="AQ104" s="381" t="n">
        <f aca="false">SUM(AQ60:AQ103)</f>
        <v>203537.240000001</v>
      </c>
      <c r="AR104" s="381" t="n">
        <f aca="false">SUM(AR60:AR103)</f>
        <v>203537.240000001</v>
      </c>
      <c r="AS104" s="381" t="n">
        <f aca="false">SUM(AS60:AS103)</f>
        <v>203537.240000001</v>
      </c>
      <c r="AT104" s="381" t="n">
        <f aca="false">SUM(AT60:AT103)</f>
        <v>203537.240000001</v>
      </c>
      <c r="AU104" s="381" t="n">
        <f aca="false">SUM(AU60:AU103)</f>
        <v>203537.240000001</v>
      </c>
      <c r="AV104" s="381" t="n">
        <f aca="false">SUM(AV60:AV103)</f>
        <v>203537.240000001</v>
      </c>
      <c r="AW104" s="381" t="n">
        <f aca="false">SUM(AW60:AW103)</f>
        <v>203537.240000001</v>
      </c>
      <c r="AX104" s="381" t="n">
        <f aca="false">SUM(AX60:AX103)</f>
        <v>203537.240000001</v>
      </c>
      <c r="AY104" s="381" t="n">
        <f aca="false">SUM(AY60:AY103)</f>
        <v>203537.240000001</v>
      </c>
      <c r="AZ104" s="381" t="n">
        <f aca="false">SUM(AZ60:AZ103)</f>
        <v>203537.240000001</v>
      </c>
      <c r="BA104" s="381" t="n">
        <f aca="false">SUM(BA60:BA103)</f>
        <v>203537.240000001</v>
      </c>
      <c r="BB104" s="381" t="n">
        <f aca="false">SUM(BB60:BB103)</f>
        <v>203537.240000001</v>
      </c>
      <c r="BC104" s="381" t="n">
        <f aca="false">SUM(BC60:BC103)</f>
        <v>203537.240000001</v>
      </c>
      <c r="BD104" s="381" t="n">
        <f aca="false">SUM(BD60:BD103)</f>
        <v>203537.240000001</v>
      </c>
      <c r="BE104" s="381" t="n">
        <f aca="false">SUM(BE60:BE103)</f>
        <v>203537.240000001</v>
      </c>
      <c r="BF104" s="381" t="n">
        <f aca="false">SUM(BF60:BF103)</f>
        <v>203537.240000001</v>
      </c>
      <c r="BG104" s="381" t="n">
        <f aca="false">SUM(BG60:BG103)</f>
        <v>203537.240000001</v>
      </c>
      <c r="BH104" s="381" t="n">
        <f aca="false">SUM(BH60:BH103)</f>
        <v>203537.240000001</v>
      </c>
      <c r="BI104" s="381" t="n">
        <f aca="false">SUM(BI60:BI103)</f>
        <v>203537.240000001</v>
      </c>
      <c r="BJ104" s="381" t="n">
        <f aca="false">SUM(BJ60:BJ103)</f>
        <v>203537.240000001</v>
      </c>
      <c r="BK104" s="381" t="n">
        <f aca="false">SUM(BK60:BK103)</f>
        <v>203537.240000001</v>
      </c>
      <c r="BL104" s="381" t="n">
        <f aca="false">SUM(BL60:BL103)</f>
        <v>203537.240000001</v>
      </c>
      <c r="BM104" s="381" t="n">
        <f aca="false">SUM(BM60:BM103)</f>
        <v>203537.240000001</v>
      </c>
      <c r="BN104" s="381" t="n">
        <f aca="false">SUM(BN60:BN103)</f>
        <v>203537.240000001</v>
      </c>
      <c r="BO104" s="381" t="n">
        <f aca="false">SUM(BO60:BO103)</f>
        <v>203537.240000001</v>
      </c>
      <c r="BP104" s="381" t="n">
        <f aca="false">SUM(BP60:BP103)</f>
        <v>203537.240000001</v>
      </c>
      <c r="BQ104" s="381" t="n">
        <f aca="false">SUM(BQ60:BQ103)</f>
        <v>203537.240000001</v>
      </c>
      <c r="BR104" s="381" t="n">
        <f aca="false">SUM(BR60:BR103)</f>
        <v>203537.240000001</v>
      </c>
      <c r="BS104" s="381" t="n">
        <f aca="false">SUM(BS60:BS103)</f>
        <v>203537.240000001</v>
      </c>
      <c r="BT104" s="381" t="n">
        <f aca="false">SUM(BT60:BT103)</f>
        <v>203537.240000001</v>
      </c>
      <c r="BU104" s="381" t="n">
        <f aca="false">SUM(BU60:BU103)</f>
        <v>203537.240000001</v>
      </c>
      <c r="BV104" s="381" t="n">
        <f aca="false">SUM(BV60:BV103)</f>
        <v>203537.240000001</v>
      </c>
      <c r="BW104" s="381" t="n">
        <f aca="false">SUM(BW60:BW103)</f>
        <v>203537.240000001</v>
      </c>
      <c r="BX104" s="381" t="n">
        <f aca="false">SUM(BX60:BX103)</f>
        <v>203537.240000001</v>
      </c>
      <c r="BY104" s="381" t="n">
        <f aca="false">SUM(BY60:BY103)</f>
        <v>203537.240000001</v>
      </c>
      <c r="BZ104" s="381" t="n">
        <f aca="false">SUM(BZ60:BZ103)</f>
        <v>203537.240000001</v>
      </c>
      <c r="CA104" s="381" t="n">
        <f aca="false">SUM(CA60:CA103)</f>
        <v>203537.240000001</v>
      </c>
      <c r="CB104" s="381" t="n">
        <f aca="false">SUM(CB60:CB103)</f>
        <v>203537.240000001</v>
      </c>
      <c r="CC104" s="381" t="n">
        <f aca="false">SUM(CC60:CC103)</f>
        <v>203537.240000001</v>
      </c>
      <c r="CD104" s="381" t="n">
        <f aca="false">SUM(CD60:CD103)</f>
        <v>203537.240000001</v>
      </c>
      <c r="CE104" s="381" t="n">
        <f aca="false">SUM(CE60:CE103)</f>
        <v>203537.240000001</v>
      </c>
      <c r="CF104" s="381" t="n">
        <f aca="false">SUM(CF60:CF103)</f>
        <v>203537.240000001</v>
      </c>
      <c r="CG104" s="381" t="n">
        <f aca="false">SUM(CG60:CG103)</f>
        <v>203537.240000001</v>
      </c>
      <c r="CH104" s="381" t="n">
        <f aca="false">SUM(CH60:CH103)</f>
        <v>203537.240000001</v>
      </c>
      <c r="CI104" s="381" t="n">
        <f aca="false">SUM(CI60:CI103)</f>
        <v>203537.240000001</v>
      </c>
      <c r="CJ104" s="381" t="n">
        <f aca="false">SUM(CJ60:CJ103)</f>
        <v>203537.240000001</v>
      </c>
      <c r="CK104" s="381" t="n">
        <f aca="false">SUM(CK60:CK103)</f>
        <v>203537.240000001</v>
      </c>
      <c r="CL104" s="381" t="n">
        <f aca="false">SUM(CL60:CL103)</f>
        <v>203537.240000001</v>
      </c>
      <c r="CM104" s="381" t="n">
        <f aca="false">SUM(CM60:CM103)</f>
        <v>203537.240000001</v>
      </c>
      <c r="CN104" s="381" t="n">
        <f aca="false">SUM(CN60:CN103)</f>
        <v>203537.240000001</v>
      </c>
      <c r="CO104" s="381" t="n">
        <f aca="false">SUM(CO60:CO103)</f>
        <v>203537.240000001</v>
      </c>
      <c r="CP104" s="381" t="n">
        <f aca="false">SUM(CP60:CP103)</f>
        <v>203537.240000001</v>
      </c>
      <c r="CQ104" s="381" t="n">
        <f aca="false">SUM(CQ60:CQ103)</f>
        <v>203537.240000001</v>
      </c>
      <c r="CR104" s="381" t="n">
        <f aca="false">SUM(CR60:CR103)</f>
        <v>203537.240000001</v>
      </c>
      <c r="CS104" s="381" t="n">
        <f aca="false">SUM(CS60:CS103)</f>
        <v>203537.240000001</v>
      </c>
      <c r="CT104" s="381" t="n">
        <f aca="false">SUM(CT60:CT103)</f>
        <v>203537.240000001</v>
      </c>
      <c r="CU104" s="381" t="n">
        <f aca="false">SUM(CU60:CU103)</f>
        <v>203537.240000001</v>
      </c>
      <c r="CV104" s="381" t="n">
        <f aca="false">SUM(CV60:CV103)</f>
        <v>203537.240000001</v>
      </c>
      <c r="CW104" s="381" t="n">
        <f aca="false">SUM(CW60:CW103)</f>
        <v>203537.240000001</v>
      </c>
      <c r="CX104" s="381" t="n">
        <f aca="false">SUM(CX60:CX103)</f>
        <v>203537.240000001</v>
      </c>
      <c r="CY104" s="381" t="n">
        <f aca="false">SUM(CY60:CY103)</f>
        <v>203537.240000001</v>
      </c>
      <c r="CZ104" s="381" t="n">
        <f aca="false">SUM(CZ60:CZ103)</f>
        <v>203537.240000001</v>
      </c>
      <c r="DA104" s="381" t="n">
        <f aca="false">SUM(DA60:DA103)</f>
        <v>203537.240000001</v>
      </c>
      <c r="DB104" s="381" t="n">
        <f aca="false">SUM(DB60:DB103)</f>
        <v>203537.240000001</v>
      </c>
      <c r="DC104" s="381" t="n">
        <f aca="false">SUM(DC60:DC103)</f>
        <v>203537.240000001</v>
      </c>
      <c r="DD104" s="381" t="n">
        <f aca="false">SUM(DD60:DD103)</f>
        <v>203537.240000001</v>
      </c>
      <c r="DE104" s="381"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37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6" t="s">
        <v>1348</v>
      </c>
    </row>
    <row r="2" customFormat="false" ht="13.5" hidden="false" customHeight="true" outlineLevel="0" collapsed="false">
      <c r="A2" s="207" t="s">
        <v>1349</v>
      </c>
    </row>
    <row r="4" customFormat="false" ht="13.5" hidden="false" customHeight="true" outlineLevel="0" collapsed="false">
      <c r="A4" s="211" t="s">
        <v>1350</v>
      </c>
      <c r="B4" s="212"/>
      <c r="C4" s="212"/>
      <c r="D4" s="212"/>
      <c r="E4" s="212"/>
      <c r="F4" s="212"/>
    </row>
    <row r="5" customFormat="false" ht="13.5" hidden="false" customHeight="true" outlineLevel="0" collapsed="false">
      <c r="A5" s="110" t="s">
        <v>1351</v>
      </c>
      <c r="B5" s="382" t="n">
        <v>0.875</v>
      </c>
    </row>
    <row r="6" customFormat="false" ht="13.5" hidden="false" customHeight="true" outlineLevel="0" collapsed="false">
      <c r="A6" s="110" t="s">
        <v>1352</v>
      </c>
      <c r="B6" s="382" t="n">
        <v>0.5</v>
      </c>
    </row>
    <row r="7" customFormat="false" ht="13.5" hidden="false" customHeight="true" outlineLevel="0" collapsed="false">
      <c r="A7" s="110" t="s">
        <v>1353</v>
      </c>
      <c r="B7" s="382" t="n">
        <v>0.25</v>
      </c>
    </row>
    <row r="8" customFormat="false" ht="13.5" hidden="false" customHeight="true" outlineLevel="0" collapsed="false">
      <c r="A8" s="110" t="s">
        <v>1354</v>
      </c>
      <c r="B8" s="382" t="n">
        <v>0.165</v>
      </c>
    </row>
    <row r="9" customFormat="false" ht="13.5" hidden="false" customHeight="true" outlineLevel="0" collapsed="false">
      <c r="A9" s="110" t="s">
        <v>1355</v>
      </c>
      <c r="B9" s="382" t="n">
        <v>0.5</v>
      </c>
    </row>
    <row r="10" customFormat="false" ht="13.5" hidden="false" customHeight="true" outlineLevel="0" collapsed="false">
      <c r="A10" s="110" t="s">
        <v>1356</v>
      </c>
      <c r="B10" s="382" t="n">
        <v>0.2</v>
      </c>
    </row>
    <row r="11" customFormat="false" ht="13.5" hidden="false" customHeight="true" outlineLevel="0" collapsed="false">
      <c r="A11" s="110" t="s">
        <v>1357</v>
      </c>
      <c r="B11" s="382" t="n">
        <v>0.5</v>
      </c>
    </row>
    <row r="12" customFormat="false" ht="13.5" hidden="false" customHeight="true" outlineLevel="0" collapsed="false">
      <c r="A12" s="110" t="s">
        <v>1358</v>
      </c>
      <c r="B12" s="383" t="n">
        <v>25000000</v>
      </c>
    </row>
    <row r="13" customFormat="false" ht="13.5" hidden="false" customHeight="true" outlineLevel="0" collapsed="false">
      <c r="A13" s="110" t="s">
        <v>1359</v>
      </c>
      <c r="B13" s="383" t="n">
        <v>10000000</v>
      </c>
    </row>
    <row r="14" customFormat="false" ht="13.5" hidden="false" customHeight="true" outlineLevel="0" collapsed="false">
      <c r="A14" s="110" t="s">
        <v>1360</v>
      </c>
      <c r="B14" s="382" t="n">
        <v>0</v>
      </c>
      <c r="C14" s="210" t="s">
        <v>1361</v>
      </c>
    </row>
    <row r="15" customFormat="false" ht="13.5" hidden="false" customHeight="true" outlineLevel="0" collapsed="false">
      <c r="A15" s="110" t="s">
        <v>1362</v>
      </c>
      <c r="B15" s="382" t="n">
        <v>0</v>
      </c>
    </row>
    <row r="16" customFormat="false" ht="13.5" hidden="false" customHeight="true" outlineLevel="0" collapsed="false">
      <c r="A16" s="110" t="s">
        <v>1363</v>
      </c>
      <c r="B16" s="382" t="n">
        <v>0</v>
      </c>
    </row>
    <row r="17" customFormat="false" ht="13.5" hidden="false" customHeight="true" outlineLevel="0" collapsed="false">
      <c r="A17" s="110" t="s">
        <v>1364</v>
      </c>
      <c r="B17" s="382" t="n">
        <v>1</v>
      </c>
    </row>
    <row r="18" customFormat="false" ht="13.5" hidden="false" customHeight="true" outlineLevel="0" collapsed="false">
      <c r="A18" s="110" t="s">
        <v>1365</v>
      </c>
      <c r="B18" s="382" t="n">
        <v>0.25</v>
      </c>
    </row>
    <row r="19" customFormat="false" ht="13.5" hidden="false" customHeight="true" outlineLevel="0" collapsed="false">
      <c r="A19" s="110" t="s">
        <v>1366</v>
      </c>
      <c r="B19" s="382" t="n">
        <v>6</v>
      </c>
      <c r="C19" s="210" t="s">
        <v>1367</v>
      </c>
    </row>
    <row r="20" customFormat="false" ht="13.5" hidden="false" customHeight="true" outlineLevel="0" collapsed="false">
      <c r="A20" s="110" t="s">
        <v>1368</v>
      </c>
      <c r="B20" s="382" t="n">
        <v>4</v>
      </c>
    </row>
    <row r="21" customFormat="false" ht="13.5" hidden="false" customHeight="true" outlineLevel="0" collapsed="false">
      <c r="A21" s="110" t="s">
        <v>1369</v>
      </c>
      <c r="B21" s="384" t="n">
        <v>0.15</v>
      </c>
    </row>
    <row r="22" customFormat="false" ht="13.5" hidden="false" customHeight="true" outlineLevel="0" collapsed="false">
      <c r="A22" s="110" t="s">
        <v>1370</v>
      </c>
      <c r="B22" s="382" t="n">
        <v>11</v>
      </c>
    </row>
    <row r="23" customFormat="false" ht="13.5" hidden="false" customHeight="true" outlineLevel="0" collapsed="false">
      <c r="A23" s="110" t="s">
        <v>1371</v>
      </c>
      <c r="B23" s="382" t="n">
        <v>13</v>
      </c>
    </row>
    <row r="25" customFormat="false" ht="13.5" hidden="false" customHeight="true" outlineLevel="0" collapsed="false">
      <c r="A25" s="211" t="s">
        <v>1372</v>
      </c>
      <c r="B25" s="212"/>
      <c r="C25" s="212"/>
      <c r="D25" s="212"/>
      <c r="E25" s="212"/>
      <c r="F25" s="212"/>
    </row>
    <row r="26" customFormat="false" ht="13.5" hidden="false" customHeight="true" outlineLevel="0" collapsed="false">
      <c r="A26" s="110" t="s">
        <v>708</v>
      </c>
      <c r="B26" s="383" t="n">
        <v>160000</v>
      </c>
    </row>
    <row r="27" customFormat="false" ht="13.5" hidden="false" customHeight="true" outlineLevel="0" collapsed="false">
      <c r="A27" s="110" t="s">
        <v>1373</v>
      </c>
      <c r="B27" s="383" t="n">
        <v>125000</v>
      </c>
    </row>
    <row r="28" customFormat="false" ht="13.5" hidden="false" customHeight="true" outlineLevel="0" collapsed="false">
      <c r="A28" s="110" t="s">
        <v>704</v>
      </c>
      <c r="B28" s="383" t="n">
        <v>130000</v>
      </c>
    </row>
    <row r="29" customFormat="false" ht="13.5" hidden="false" customHeight="true" outlineLevel="0" collapsed="false">
      <c r="A29" s="110" t="s">
        <v>648</v>
      </c>
      <c r="B29" s="383" t="n">
        <v>180000</v>
      </c>
    </row>
    <row r="30" customFormat="false" ht="13.5" hidden="false" customHeight="true" outlineLevel="0" collapsed="false">
      <c r="A30" s="110" t="s">
        <v>1374</v>
      </c>
      <c r="B30" s="383" t="n">
        <v>80000</v>
      </c>
    </row>
    <row r="32" customFormat="false" ht="13.5" hidden="false" customHeight="true" outlineLevel="0" collapsed="false">
      <c r="A32" s="211" t="s">
        <v>1375</v>
      </c>
      <c r="B32" s="212"/>
      <c r="C32" s="212"/>
      <c r="D32" s="212"/>
      <c r="E32" s="212"/>
      <c r="F32" s="212"/>
    </row>
    <row r="33" customFormat="false" ht="13.5" hidden="false" customHeight="true" outlineLevel="0" collapsed="false">
      <c r="E33" s="385" t="n">
        <f aca="false">Model!E2</f>
        <v>46113</v>
      </c>
      <c r="F33" s="385" t="n">
        <f aca="false">Model!F2</f>
        <v>46143</v>
      </c>
      <c r="G33" s="385" t="n">
        <f aca="false">Model!G2</f>
        <v>46174</v>
      </c>
      <c r="H33" s="385" t="n">
        <f aca="false">Model!H2</f>
        <v>46204</v>
      </c>
      <c r="I33" s="385" t="n">
        <f aca="false">Model!I2</f>
        <v>46235</v>
      </c>
      <c r="J33" s="385" t="n">
        <f aca="false">Model!J2</f>
        <v>46266</v>
      </c>
      <c r="K33" s="385" t="n">
        <f aca="false">Model!K2</f>
        <v>46296</v>
      </c>
      <c r="L33" s="385" t="n">
        <f aca="false">Model!L2</f>
        <v>46327</v>
      </c>
      <c r="M33" s="385" t="n">
        <f aca="false">Model!M2</f>
        <v>46357</v>
      </c>
      <c r="N33" s="385" t="n">
        <f aca="false">Model!N2</f>
        <v>46388</v>
      </c>
      <c r="O33" s="385" t="n">
        <f aca="false">Model!O2</f>
        <v>46419</v>
      </c>
      <c r="P33" s="385" t="n">
        <f aca="false">Model!P2</f>
        <v>46447</v>
      </c>
      <c r="Q33" s="385" t="n">
        <f aca="false">Model!Q2</f>
        <v>46478</v>
      </c>
      <c r="R33" s="385" t="n">
        <f aca="false">Model!R2</f>
        <v>46508</v>
      </c>
      <c r="S33" s="385" t="n">
        <f aca="false">Model!S2</f>
        <v>46539</v>
      </c>
      <c r="T33" s="385" t="n">
        <f aca="false">Model!T2</f>
        <v>46569</v>
      </c>
      <c r="U33" s="385" t="n">
        <f aca="false">Model!U2</f>
        <v>46600</v>
      </c>
      <c r="V33" s="385" t="n">
        <f aca="false">Model!V2</f>
        <v>46631</v>
      </c>
      <c r="W33" s="385" t="n">
        <f aca="false">Model!W2</f>
        <v>46661</v>
      </c>
      <c r="X33" s="385" t="n">
        <f aca="false">Model!X2</f>
        <v>46692</v>
      </c>
      <c r="Y33" s="385" t="n">
        <f aca="false">Model!Y2</f>
        <v>46722</v>
      </c>
      <c r="Z33" s="385" t="n">
        <f aca="false">Model!Z2</f>
        <v>46753</v>
      </c>
      <c r="AA33" s="385" t="n">
        <f aca="false">Model!AA2</f>
        <v>46784</v>
      </c>
      <c r="AB33" s="385" t="n">
        <f aca="false">Model!AB2</f>
        <v>46813</v>
      </c>
      <c r="AC33" s="385" t="n">
        <f aca="false">Model!AC2</f>
        <v>46844</v>
      </c>
      <c r="AD33" s="385" t="n">
        <f aca="false">Model!AD2</f>
        <v>46874</v>
      </c>
      <c r="AE33" s="385" t="n">
        <f aca="false">Model!AE2</f>
        <v>46905</v>
      </c>
      <c r="AF33" s="385" t="n">
        <f aca="false">Model!AF2</f>
        <v>46935</v>
      </c>
      <c r="AG33" s="385" t="n">
        <f aca="false">Model!AG2</f>
        <v>46966</v>
      </c>
      <c r="AH33" s="385" t="n">
        <f aca="false">Model!AH2</f>
        <v>46997</v>
      </c>
      <c r="AI33" s="385" t="n">
        <f aca="false">Model!AI2</f>
        <v>47027</v>
      </c>
      <c r="AJ33" s="385" t="n">
        <f aca="false">Model!AJ2</f>
        <v>47058</v>
      </c>
      <c r="AK33" s="385" t="n">
        <f aca="false">Model!AK2</f>
        <v>47088</v>
      </c>
      <c r="AL33" s="385" t="n">
        <f aca="false">Model!AL2</f>
        <v>47119</v>
      </c>
      <c r="AM33" s="385" t="n">
        <f aca="false">Model!AM2</f>
        <v>47150</v>
      </c>
      <c r="AN33" s="385" t="n">
        <f aca="false">Model!AN2</f>
        <v>47178</v>
      </c>
      <c r="AO33" s="385" t="n">
        <f aca="false">Model!AO2</f>
        <v>47209</v>
      </c>
      <c r="AP33" s="385" t="n">
        <f aca="false">Model!AP2</f>
        <v>47239</v>
      </c>
      <c r="AQ33" s="385" t="n">
        <f aca="false">Model!AQ2</f>
        <v>47270</v>
      </c>
      <c r="AR33" s="385" t="n">
        <f aca="false">Model!AR2</f>
        <v>47300</v>
      </c>
      <c r="AS33" s="385" t="n">
        <f aca="false">Model!AS2</f>
        <v>47331</v>
      </c>
      <c r="AT33" s="385" t="n">
        <f aca="false">Model!AT2</f>
        <v>47362</v>
      </c>
      <c r="AU33" s="385" t="n">
        <f aca="false">Model!AU2</f>
        <v>47392</v>
      </c>
      <c r="AV33" s="385" t="n">
        <f aca="false">Model!AV2</f>
        <v>47423</v>
      </c>
      <c r="AW33" s="385" t="n">
        <f aca="false">Model!AW2</f>
        <v>47453</v>
      </c>
      <c r="AX33" s="385" t="n">
        <f aca="false">Model!AX2</f>
        <v>47484</v>
      </c>
      <c r="AY33" s="385" t="n">
        <f aca="false">Model!AY2</f>
        <v>47515</v>
      </c>
      <c r="AZ33" s="385" t="n">
        <f aca="false">Model!AZ2</f>
        <v>47543</v>
      </c>
      <c r="BA33" s="385" t="n">
        <f aca="false">Model!BA2</f>
        <v>47574</v>
      </c>
      <c r="BB33" s="385" t="n">
        <f aca="false">Model!BB2</f>
        <v>47604</v>
      </c>
      <c r="BC33" s="385" t="n">
        <f aca="false">Model!BC2</f>
        <v>47635</v>
      </c>
      <c r="BD33" s="385" t="n">
        <f aca="false">Model!BD2</f>
        <v>47665</v>
      </c>
      <c r="BE33" s="385" t="n">
        <f aca="false">Model!BE2</f>
        <v>47696</v>
      </c>
      <c r="BF33" s="385" t="n">
        <f aca="false">Model!BF2</f>
        <v>47727</v>
      </c>
      <c r="BG33" s="385" t="n">
        <f aca="false">Model!BG2</f>
        <v>47757</v>
      </c>
      <c r="BH33" s="385" t="n">
        <f aca="false">Model!BH2</f>
        <v>47788</v>
      </c>
      <c r="BI33" s="385" t="n">
        <f aca="false">Model!BI2</f>
        <v>47818</v>
      </c>
      <c r="BJ33" s="385" t="n">
        <f aca="false">Model!BJ2</f>
        <v>47849</v>
      </c>
      <c r="BK33" s="385" t="n">
        <f aca="false">Model!BK2</f>
        <v>47880</v>
      </c>
      <c r="BL33" s="385" t="n">
        <f aca="false">Model!BL2</f>
        <v>47908</v>
      </c>
      <c r="BM33" s="385" t="n">
        <f aca="false">Model!BM2</f>
        <v>47939</v>
      </c>
      <c r="BN33" s="385" t="n">
        <f aca="false">Model!BN2</f>
        <v>47969</v>
      </c>
      <c r="BO33" s="385" t="n">
        <f aca="false">Model!BO2</f>
        <v>48000</v>
      </c>
      <c r="BP33" s="385" t="n">
        <f aca="false">Model!BP2</f>
        <v>48030</v>
      </c>
      <c r="BQ33" s="385" t="n">
        <f aca="false">Model!BQ2</f>
        <v>48061</v>
      </c>
      <c r="BR33" s="385" t="n">
        <f aca="false">Model!BR2</f>
        <v>48092</v>
      </c>
      <c r="BS33" s="385" t="n">
        <f aca="false">Model!BS2</f>
        <v>48122</v>
      </c>
      <c r="BT33" s="385" t="n">
        <f aca="false">Model!BT2</f>
        <v>48153</v>
      </c>
      <c r="BU33" s="385" t="n">
        <f aca="false">Model!BU2</f>
        <v>48183</v>
      </c>
      <c r="BV33" s="385" t="n">
        <f aca="false">Model!BV2</f>
        <v>48214</v>
      </c>
      <c r="BW33" s="385" t="n">
        <f aca="false">Model!BW2</f>
        <v>48245</v>
      </c>
      <c r="BX33" s="385" t="n">
        <f aca="false">Model!BX2</f>
        <v>48274</v>
      </c>
      <c r="BY33" s="385" t="n">
        <f aca="false">Model!BY2</f>
        <v>48305</v>
      </c>
      <c r="BZ33" s="385" t="n">
        <f aca="false">Model!BZ2</f>
        <v>48335</v>
      </c>
      <c r="CA33" s="385" t="n">
        <f aca="false">Model!CA2</f>
        <v>48366</v>
      </c>
      <c r="CB33" s="385" t="n">
        <f aca="false">Model!CB2</f>
        <v>48396</v>
      </c>
      <c r="CC33" s="385" t="n">
        <f aca="false">Model!CC2</f>
        <v>48427</v>
      </c>
      <c r="CD33" s="385" t="n">
        <f aca="false">Model!CD2</f>
        <v>48458</v>
      </c>
      <c r="CE33" s="385" t="n">
        <f aca="false">Model!CE2</f>
        <v>48488</v>
      </c>
      <c r="CF33" s="385" t="n">
        <f aca="false">Model!CF2</f>
        <v>48519</v>
      </c>
      <c r="CG33" s="385" t="n">
        <f aca="false">Model!CG2</f>
        <v>48549</v>
      </c>
      <c r="CH33" s="385" t="n">
        <f aca="false">Model!CH2</f>
        <v>48580</v>
      </c>
      <c r="CI33" s="385" t="n">
        <f aca="false">Model!CI2</f>
        <v>48611</v>
      </c>
      <c r="CJ33" s="385" t="n">
        <f aca="false">Model!CJ2</f>
        <v>48639</v>
      </c>
      <c r="CK33" s="385" t="n">
        <f aca="false">Model!CK2</f>
        <v>48670</v>
      </c>
      <c r="CL33" s="385" t="n">
        <f aca="false">Model!CL2</f>
        <v>48700</v>
      </c>
      <c r="CM33" s="385" t="n">
        <f aca="false">Model!CM2</f>
        <v>48731</v>
      </c>
      <c r="CN33" s="385" t="n">
        <f aca="false">Model!CN2</f>
        <v>48761</v>
      </c>
      <c r="CO33" s="385" t="n">
        <f aca="false">Model!CO2</f>
        <v>48792</v>
      </c>
      <c r="CP33" s="385" t="n">
        <f aca="false">Model!CP2</f>
        <v>48823</v>
      </c>
      <c r="CQ33" s="385" t="n">
        <f aca="false">Model!CQ2</f>
        <v>48853</v>
      </c>
      <c r="CR33" s="385" t="n">
        <f aca="false">Model!CR2</f>
        <v>48884</v>
      </c>
      <c r="CS33" s="385" t="n">
        <f aca="false">Model!CS2</f>
        <v>48914</v>
      </c>
      <c r="CT33" s="385" t="n">
        <f aca="false">Model!CT2</f>
        <v>48945</v>
      </c>
      <c r="CU33" s="385" t="n">
        <f aca="false">Model!CU2</f>
        <v>48976</v>
      </c>
      <c r="CV33" s="385" t="n">
        <f aca="false">Model!CV2</f>
        <v>49004</v>
      </c>
      <c r="CW33" s="385" t="n">
        <f aca="false">Model!CW2</f>
        <v>49035</v>
      </c>
      <c r="CX33" s="385" t="n">
        <f aca="false">Model!CX2</f>
        <v>49065</v>
      </c>
      <c r="CY33" s="385" t="n">
        <f aca="false">Model!CY2</f>
        <v>49096</v>
      </c>
      <c r="CZ33" s="385" t="n">
        <f aca="false">Model!CZ2</f>
        <v>49126</v>
      </c>
      <c r="DA33" s="385" t="n">
        <f aca="false">Model!DA2</f>
        <v>49157</v>
      </c>
      <c r="DB33" s="385" t="n">
        <f aca="false">Model!DB2</f>
        <v>49188</v>
      </c>
      <c r="DC33" s="385" t="n">
        <f aca="false">Model!DC2</f>
        <v>49218</v>
      </c>
      <c r="DD33" s="385" t="n">
        <f aca="false">Model!DD2</f>
        <v>49249</v>
      </c>
      <c r="DE33" s="385"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11" t="s">
        <v>1376</v>
      </c>
      <c r="B36" s="212"/>
      <c r="C36" s="212"/>
      <c r="D36" s="212"/>
      <c r="E36" s="212"/>
      <c r="F36" s="212"/>
    </row>
    <row r="37" customFormat="false" ht="13.5" hidden="false" customHeight="true" outlineLevel="0" collapsed="false">
      <c r="A37" s="110" t="s">
        <v>1377</v>
      </c>
      <c r="E37" s="386" t="n">
        <f aca="false">SUMPRODUCT((Projects!$G$2:$G$45="Yes")*(1&gt;=Projects!$C$2:$C$45)*(1&lt;=Projects!$W$2:$W$45))</f>
        <v>5</v>
      </c>
      <c r="F37" s="386" t="n">
        <f aca="false">SUMPRODUCT((Projects!$G$2:$G$45="Yes")*(2&gt;=Projects!$C$2:$C$45)*(2&lt;=Projects!$W$2:$W$45))</f>
        <v>5</v>
      </c>
      <c r="G37" s="386" t="n">
        <f aca="false">SUMPRODUCT((Projects!$G$2:$G$45="Yes")*(3&gt;=Projects!$C$2:$C$45)*(3&lt;=Projects!$W$2:$W$45))</f>
        <v>5</v>
      </c>
      <c r="H37" s="386" t="n">
        <f aca="false">SUMPRODUCT((Projects!$G$2:$G$45="Yes")*(4&gt;=Projects!$C$2:$C$45)*(4&lt;=Projects!$W$2:$W$45))</f>
        <v>5</v>
      </c>
      <c r="I37" s="386" t="n">
        <f aca="false">SUMPRODUCT((Projects!$G$2:$G$45="Yes")*(5&gt;=Projects!$C$2:$C$45)*(5&lt;=Projects!$W$2:$W$45))</f>
        <v>7</v>
      </c>
      <c r="J37" s="386" t="n">
        <f aca="false">SUMPRODUCT((Projects!$G$2:$G$45="Yes")*(6&gt;=Projects!$C$2:$C$45)*(6&lt;=Projects!$W$2:$W$45))</f>
        <v>8</v>
      </c>
      <c r="K37" s="386" t="n">
        <f aca="false">SUMPRODUCT((Projects!$G$2:$G$45="Yes")*(7&gt;=Projects!$C$2:$C$45)*(7&lt;=Projects!$W$2:$W$45))</f>
        <v>8</v>
      </c>
      <c r="L37" s="386" t="n">
        <f aca="false">SUMPRODUCT((Projects!$G$2:$G$45="Yes")*(8&gt;=Projects!$C$2:$C$45)*(8&lt;=Projects!$W$2:$W$45))</f>
        <v>8</v>
      </c>
      <c r="M37" s="386" t="n">
        <f aca="false">SUMPRODUCT((Projects!$G$2:$G$45="Yes")*(9&gt;=Projects!$C$2:$C$45)*(9&lt;=Projects!$W$2:$W$45))</f>
        <v>8</v>
      </c>
      <c r="N37" s="386" t="n">
        <f aca="false">SUMPRODUCT((Projects!$G$2:$G$45="Yes")*(10&gt;=Projects!$C$2:$C$45)*(10&lt;=Projects!$W$2:$W$45))</f>
        <v>10</v>
      </c>
      <c r="O37" s="386" t="n">
        <f aca="false">SUMPRODUCT((Projects!$G$2:$G$45="Yes")*(11&gt;=Projects!$C$2:$C$45)*(11&lt;=Projects!$W$2:$W$45))</f>
        <v>11</v>
      </c>
      <c r="P37" s="386" t="n">
        <f aca="false">SUMPRODUCT((Projects!$G$2:$G$45="Yes")*(12&gt;=Projects!$C$2:$C$45)*(12&lt;=Projects!$W$2:$W$45))</f>
        <v>11</v>
      </c>
      <c r="Q37" s="386" t="n">
        <f aca="false">SUMPRODUCT((Projects!$G$2:$G$45="Yes")*(13&gt;=Projects!$C$2:$C$45)*(13&lt;=Projects!$W$2:$W$45))</f>
        <v>12</v>
      </c>
      <c r="R37" s="386" t="n">
        <f aca="false">SUMPRODUCT((Projects!$G$2:$G$45="Yes")*(14&gt;=Projects!$C$2:$C$45)*(14&lt;=Projects!$W$2:$W$45))</f>
        <v>13</v>
      </c>
      <c r="S37" s="386" t="n">
        <f aca="false">SUMPRODUCT((Projects!$G$2:$G$45="Yes")*(15&gt;=Projects!$C$2:$C$45)*(15&lt;=Projects!$W$2:$W$45))</f>
        <v>14</v>
      </c>
      <c r="T37" s="386" t="n">
        <f aca="false">SUMPRODUCT((Projects!$G$2:$G$45="Yes")*(16&gt;=Projects!$C$2:$C$45)*(16&lt;=Projects!$W$2:$W$45))</f>
        <v>14</v>
      </c>
      <c r="U37" s="386" t="n">
        <f aca="false">SUMPRODUCT((Projects!$G$2:$G$45="Yes")*(17&gt;=Projects!$C$2:$C$45)*(17&lt;=Projects!$W$2:$W$45))</f>
        <v>14</v>
      </c>
      <c r="V37" s="386" t="n">
        <f aca="false">SUMPRODUCT((Projects!$G$2:$G$45="Yes")*(18&gt;=Projects!$C$2:$C$45)*(18&lt;=Projects!$W$2:$W$45))</f>
        <v>13</v>
      </c>
      <c r="W37" s="386" t="n">
        <f aca="false">SUMPRODUCT((Projects!$G$2:$G$45="Yes")*(19&gt;=Projects!$C$2:$C$45)*(19&lt;=Projects!$W$2:$W$45))</f>
        <v>12</v>
      </c>
      <c r="X37" s="386" t="n">
        <f aca="false">SUMPRODUCT((Projects!$G$2:$G$45="Yes")*(20&gt;=Projects!$C$2:$C$45)*(20&lt;=Projects!$W$2:$W$45))</f>
        <v>12</v>
      </c>
      <c r="Y37" s="386" t="n">
        <f aca="false">SUMPRODUCT((Projects!$G$2:$G$45="Yes")*(21&gt;=Projects!$C$2:$C$45)*(21&lt;=Projects!$W$2:$W$45))</f>
        <v>12</v>
      </c>
      <c r="Z37" s="386" t="n">
        <f aca="false">SUMPRODUCT((Projects!$G$2:$G$45="Yes")*(22&gt;=Projects!$C$2:$C$45)*(22&lt;=Projects!$W$2:$W$45))</f>
        <v>12</v>
      </c>
      <c r="AA37" s="386" t="n">
        <f aca="false">SUMPRODUCT((Projects!$G$2:$G$45="Yes")*(23&gt;=Projects!$C$2:$C$45)*(23&lt;=Projects!$W$2:$W$45))</f>
        <v>12</v>
      </c>
      <c r="AB37" s="386" t="n">
        <f aca="false">SUMPRODUCT((Projects!$G$2:$G$45="Yes")*(24&gt;=Projects!$C$2:$C$45)*(24&lt;=Projects!$W$2:$W$45))</f>
        <v>11</v>
      </c>
      <c r="AC37" s="386" t="n">
        <f aca="false">SUMPRODUCT((Projects!$G$2:$G$45="Yes")*(25&gt;=Projects!$C$2:$C$45)*(25&lt;=Projects!$W$2:$W$45))</f>
        <v>10</v>
      </c>
      <c r="AD37" s="386" t="n">
        <f aca="false">SUMPRODUCT((Projects!$G$2:$G$45="Yes")*(26&gt;=Projects!$C$2:$C$45)*(26&lt;=Projects!$W$2:$W$45))</f>
        <v>10</v>
      </c>
      <c r="AE37" s="386" t="n">
        <f aca="false">SUMPRODUCT((Projects!$G$2:$G$45="Yes")*(27&gt;=Projects!$C$2:$C$45)*(27&lt;=Projects!$W$2:$W$45))</f>
        <v>11</v>
      </c>
      <c r="AF37" s="386" t="n">
        <f aca="false">SUMPRODUCT((Projects!$G$2:$G$45="Yes")*(28&gt;=Projects!$C$2:$C$45)*(28&lt;=Projects!$W$2:$W$45))</f>
        <v>11</v>
      </c>
      <c r="AG37" s="386" t="n">
        <f aca="false">SUMPRODUCT((Projects!$G$2:$G$45="Yes")*(29&gt;=Projects!$C$2:$C$45)*(29&lt;=Projects!$W$2:$W$45))</f>
        <v>9</v>
      </c>
      <c r="AH37" s="386" t="n">
        <f aca="false">SUMPRODUCT((Projects!$G$2:$G$45="Yes")*(30&gt;=Projects!$C$2:$C$45)*(30&lt;=Projects!$W$2:$W$45))</f>
        <v>8</v>
      </c>
      <c r="AI37" s="386" t="n">
        <f aca="false">SUMPRODUCT((Projects!$G$2:$G$45="Yes")*(31&gt;=Projects!$C$2:$C$45)*(31&lt;=Projects!$W$2:$W$45))</f>
        <v>8</v>
      </c>
      <c r="AJ37" s="386" t="n">
        <f aca="false">SUMPRODUCT((Projects!$G$2:$G$45="Yes")*(32&gt;=Projects!$C$2:$C$45)*(32&lt;=Projects!$W$2:$W$45))</f>
        <v>8</v>
      </c>
      <c r="AK37" s="386" t="n">
        <f aca="false">SUMPRODUCT((Projects!$G$2:$G$45="Yes")*(33&gt;=Projects!$C$2:$C$45)*(33&lt;=Projects!$W$2:$W$45))</f>
        <v>6</v>
      </c>
      <c r="AL37" s="386" t="n">
        <f aca="false">SUMPRODUCT((Projects!$G$2:$G$45="Yes")*(34&gt;=Projects!$C$2:$C$45)*(34&lt;=Projects!$W$2:$W$45))</f>
        <v>5</v>
      </c>
      <c r="AM37" s="386" t="n">
        <f aca="false">SUMPRODUCT((Projects!$G$2:$G$45="Yes")*(35&gt;=Projects!$C$2:$C$45)*(35&lt;=Projects!$W$2:$W$45))</f>
        <v>4</v>
      </c>
      <c r="AN37" s="386" t="n">
        <f aca="false">SUMPRODUCT((Projects!$G$2:$G$45="Yes")*(36&gt;=Projects!$C$2:$C$45)*(36&lt;=Projects!$W$2:$W$45))</f>
        <v>4</v>
      </c>
      <c r="AO37" s="386" t="n">
        <f aca="false">SUMPRODUCT((Projects!$G$2:$G$45="Yes")*(37&gt;=Projects!$C$2:$C$45)*(37&lt;=Projects!$W$2:$W$45))</f>
        <v>3</v>
      </c>
      <c r="AP37" s="386" t="n">
        <f aca="false">SUMPRODUCT((Projects!$G$2:$G$45="Yes")*(38&gt;=Projects!$C$2:$C$45)*(38&lt;=Projects!$W$2:$W$45))</f>
        <v>3</v>
      </c>
      <c r="AQ37" s="386" t="n">
        <f aca="false">SUMPRODUCT((Projects!$G$2:$G$45="Yes")*(39&gt;=Projects!$C$2:$C$45)*(39&lt;=Projects!$W$2:$W$45))</f>
        <v>3</v>
      </c>
      <c r="AR37" s="386" t="n">
        <f aca="false">SUMPRODUCT((Projects!$G$2:$G$45="Yes")*(40&gt;=Projects!$C$2:$C$45)*(40&lt;=Projects!$W$2:$W$45))</f>
        <v>3</v>
      </c>
      <c r="AS37" s="386" t="n">
        <f aca="false">SUMPRODUCT((Projects!$G$2:$G$45="Yes")*(41&gt;=Projects!$C$2:$C$45)*(41&lt;=Projects!$W$2:$W$45))</f>
        <v>3</v>
      </c>
      <c r="AT37" s="386" t="n">
        <f aca="false">SUMPRODUCT((Projects!$G$2:$G$45="Yes")*(42&gt;=Projects!$C$2:$C$45)*(42&lt;=Projects!$W$2:$W$45))</f>
        <v>3</v>
      </c>
      <c r="AU37" s="386" t="n">
        <f aca="false">SUMPRODUCT((Projects!$G$2:$G$45="Yes")*(43&gt;=Projects!$C$2:$C$45)*(43&lt;=Projects!$W$2:$W$45))</f>
        <v>2</v>
      </c>
      <c r="AV37" s="386" t="n">
        <f aca="false">SUMPRODUCT((Projects!$G$2:$G$45="Yes")*(44&gt;=Projects!$C$2:$C$45)*(44&lt;=Projects!$W$2:$W$45))</f>
        <v>1</v>
      </c>
      <c r="AW37" s="386" t="n">
        <f aca="false">SUMPRODUCT((Projects!$G$2:$G$45="Yes")*(45&gt;=Projects!$C$2:$C$45)*(45&lt;=Projects!$W$2:$W$45))</f>
        <v>1</v>
      </c>
      <c r="AX37" s="386" t="n">
        <f aca="false">SUMPRODUCT((Projects!$G$2:$G$45="Yes")*(46&gt;=Projects!$C$2:$C$45)*(46&lt;=Projects!$W$2:$W$45))</f>
        <v>1</v>
      </c>
      <c r="AY37" s="386" t="n">
        <f aca="false">SUMPRODUCT((Projects!$G$2:$G$45="Yes")*(47&gt;=Projects!$C$2:$C$45)*(47&lt;=Projects!$W$2:$W$45))</f>
        <v>1</v>
      </c>
      <c r="AZ37" s="386" t="n">
        <f aca="false">SUMPRODUCT((Projects!$G$2:$G$45="Yes")*(48&gt;=Projects!$C$2:$C$45)*(48&lt;=Projects!$W$2:$W$45))</f>
        <v>1</v>
      </c>
      <c r="BA37" s="386" t="n">
        <f aca="false">SUMPRODUCT((Projects!$G$2:$G$45="Yes")*(49&gt;=Projects!$C$2:$C$45)*(49&lt;=Projects!$W$2:$W$45))</f>
        <v>1</v>
      </c>
      <c r="BB37" s="386" t="n">
        <f aca="false">SUMPRODUCT((Projects!$G$2:$G$45="Yes")*(50&gt;=Projects!$C$2:$C$45)*(50&lt;=Projects!$W$2:$W$45))</f>
        <v>1</v>
      </c>
      <c r="BC37" s="386" t="n">
        <f aca="false">SUMPRODUCT((Projects!$G$2:$G$45="Yes")*(51&gt;=Projects!$C$2:$C$45)*(51&lt;=Projects!$W$2:$W$45))</f>
        <v>1</v>
      </c>
      <c r="BD37" s="386" t="n">
        <f aca="false">SUMPRODUCT((Projects!$G$2:$G$45="Yes")*(52&gt;=Projects!$C$2:$C$45)*(52&lt;=Projects!$W$2:$W$45))</f>
        <v>1</v>
      </c>
      <c r="BE37" s="386" t="n">
        <f aca="false">SUMPRODUCT((Projects!$G$2:$G$45="Yes")*(53&gt;=Projects!$C$2:$C$45)*(53&lt;=Projects!$W$2:$W$45))</f>
        <v>1</v>
      </c>
      <c r="BF37" s="386" t="n">
        <f aca="false">SUMPRODUCT((Projects!$G$2:$G$45="Yes")*(54&gt;=Projects!$C$2:$C$45)*(54&lt;=Projects!$W$2:$W$45))</f>
        <v>1</v>
      </c>
      <c r="BG37" s="386" t="n">
        <f aca="false">SUMPRODUCT((Projects!$G$2:$G$45="Yes")*(55&gt;=Projects!$C$2:$C$45)*(55&lt;=Projects!$W$2:$W$45))</f>
        <v>1</v>
      </c>
      <c r="BH37" s="386" t="n">
        <f aca="false">SUMPRODUCT((Projects!$G$2:$G$45="Yes")*(56&gt;=Projects!$C$2:$C$45)*(56&lt;=Projects!$W$2:$W$45))</f>
        <v>1</v>
      </c>
      <c r="BI37" s="386" t="n">
        <f aca="false">SUMPRODUCT((Projects!$G$2:$G$45="Yes")*(57&gt;=Projects!$C$2:$C$45)*(57&lt;=Projects!$W$2:$W$45))</f>
        <v>0</v>
      </c>
      <c r="BJ37" s="386" t="n">
        <f aca="false">SUMPRODUCT((Projects!$G$2:$G$45="Yes")*(58&gt;=Projects!$C$2:$C$45)*(58&lt;=Projects!$W$2:$W$45))</f>
        <v>0</v>
      </c>
      <c r="BK37" s="386" t="n">
        <f aca="false">SUMPRODUCT((Projects!$G$2:$G$45="Yes")*(59&gt;=Projects!$C$2:$C$45)*(59&lt;=Projects!$W$2:$W$45))</f>
        <v>0</v>
      </c>
      <c r="BL37" s="386" t="n">
        <f aca="false">SUMPRODUCT((Projects!$G$2:$G$45="Yes")*(60&gt;=Projects!$C$2:$C$45)*(60&lt;=Projects!$W$2:$W$45))</f>
        <v>0</v>
      </c>
      <c r="BM37" s="386" t="n">
        <f aca="false">SUMPRODUCT((Projects!$G$2:$G$45="Yes")*(61&gt;=Projects!$C$2:$C$45)*(61&lt;=Projects!$W$2:$W$45))</f>
        <v>0</v>
      </c>
      <c r="BN37" s="386" t="n">
        <f aca="false">SUMPRODUCT((Projects!$G$2:$G$45="Yes")*(62&gt;=Projects!$C$2:$C$45)*(62&lt;=Projects!$W$2:$W$45))</f>
        <v>0</v>
      </c>
      <c r="BO37" s="386" t="n">
        <f aca="false">SUMPRODUCT((Projects!$G$2:$G$45="Yes")*(63&gt;=Projects!$C$2:$C$45)*(63&lt;=Projects!$W$2:$W$45))</f>
        <v>0</v>
      </c>
      <c r="BP37" s="386" t="n">
        <f aca="false">SUMPRODUCT((Projects!$G$2:$G$45="Yes")*(64&gt;=Projects!$C$2:$C$45)*(64&lt;=Projects!$W$2:$W$45))</f>
        <v>0</v>
      </c>
      <c r="BQ37" s="386" t="n">
        <f aca="false">SUMPRODUCT((Projects!$G$2:$G$45="Yes")*(65&gt;=Projects!$C$2:$C$45)*(65&lt;=Projects!$W$2:$W$45))</f>
        <v>0</v>
      </c>
      <c r="BR37" s="386" t="n">
        <f aca="false">SUMPRODUCT((Projects!$G$2:$G$45="Yes")*(66&gt;=Projects!$C$2:$C$45)*(66&lt;=Projects!$W$2:$W$45))</f>
        <v>0</v>
      </c>
      <c r="BS37" s="386" t="n">
        <f aca="false">SUMPRODUCT((Projects!$G$2:$G$45="Yes")*(67&gt;=Projects!$C$2:$C$45)*(67&lt;=Projects!$W$2:$W$45))</f>
        <v>0</v>
      </c>
      <c r="BT37" s="386" t="n">
        <f aca="false">SUMPRODUCT((Projects!$G$2:$G$45="Yes")*(68&gt;=Projects!$C$2:$C$45)*(68&lt;=Projects!$W$2:$W$45))</f>
        <v>0</v>
      </c>
      <c r="BU37" s="386" t="n">
        <f aca="false">SUMPRODUCT((Projects!$G$2:$G$45="Yes")*(69&gt;=Projects!$C$2:$C$45)*(69&lt;=Projects!$W$2:$W$45))</f>
        <v>0</v>
      </c>
      <c r="BV37" s="386" t="n">
        <f aca="false">SUMPRODUCT((Projects!$G$2:$G$45="Yes")*(70&gt;=Projects!$C$2:$C$45)*(70&lt;=Projects!$W$2:$W$45))</f>
        <v>0</v>
      </c>
      <c r="BW37" s="386" t="n">
        <f aca="false">SUMPRODUCT((Projects!$G$2:$G$45="Yes")*(71&gt;=Projects!$C$2:$C$45)*(71&lt;=Projects!$W$2:$W$45))</f>
        <v>0</v>
      </c>
      <c r="BX37" s="386" t="n">
        <f aca="false">SUMPRODUCT((Projects!$G$2:$G$45="Yes")*(72&gt;=Projects!$C$2:$C$45)*(72&lt;=Projects!$W$2:$W$45))</f>
        <v>0</v>
      </c>
      <c r="BY37" s="386" t="n">
        <f aca="false">SUMPRODUCT((Projects!$G$2:$G$45="Yes")*(73&gt;=Projects!$C$2:$C$45)*(73&lt;=Projects!$W$2:$W$45))</f>
        <v>0</v>
      </c>
      <c r="BZ37" s="386" t="n">
        <f aca="false">SUMPRODUCT((Projects!$G$2:$G$45="Yes")*(74&gt;=Projects!$C$2:$C$45)*(74&lt;=Projects!$W$2:$W$45))</f>
        <v>0</v>
      </c>
      <c r="CA37" s="386" t="n">
        <f aca="false">SUMPRODUCT((Projects!$G$2:$G$45="Yes")*(75&gt;=Projects!$C$2:$C$45)*(75&lt;=Projects!$W$2:$W$45))</f>
        <v>0</v>
      </c>
      <c r="CB37" s="386" t="n">
        <f aca="false">SUMPRODUCT((Projects!$G$2:$G$45="Yes")*(76&gt;=Projects!$C$2:$C$45)*(76&lt;=Projects!$W$2:$W$45))</f>
        <v>0</v>
      </c>
      <c r="CC37" s="386" t="n">
        <f aca="false">SUMPRODUCT((Projects!$G$2:$G$45="Yes")*(77&gt;=Projects!$C$2:$C$45)*(77&lt;=Projects!$W$2:$W$45))</f>
        <v>0</v>
      </c>
      <c r="CD37" s="386" t="n">
        <f aca="false">SUMPRODUCT((Projects!$G$2:$G$45="Yes")*(78&gt;=Projects!$C$2:$C$45)*(78&lt;=Projects!$W$2:$W$45))</f>
        <v>0</v>
      </c>
      <c r="CE37" s="386" t="n">
        <f aca="false">SUMPRODUCT((Projects!$G$2:$G$45="Yes")*(79&gt;=Projects!$C$2:$C$45)*(79&lt;=Projects!$W$2:$W$45))</f>
        <v>0</v>
      </c>
      <c r="CF37" s="386" t="n">
        <f aca="false">SUMPRODUCT((Projects!$G$2:$G$45="Yes")*(80&gt;=Projects!$C$2:$C$45)*(80&lt;=Projects!$W$2:$W$45))</f>
        <v>0</v>
      </c>
      <c r="CG37" s="386" t="n">
        <f aca="false">SUMPRODUCT((Projects!$G$2:$G$45="Yes")*(81&gt;=Projects!$C$2:$C$45)*(81&lt;=Projects!$W$2:$W$45))</f>
        <v>0</v>
      </c>
      <c r="CH37" s="386" t="n">
        <f aca="false">SUMPRODUCT((Projects!$G$2:$G$45="Yes")*(82&gt;=Projects!$C$2:$C$45)*(82&lt;=Projects!$W$2:$W$45))</f>
        <v>0</v>
      </c>
      <c r="CI37" s="386" t="n">
        <f aca="false">SUMPRODUCT((Projects!$G$2:$G$45="Yes")*(83&gt;=Projects!$C$2:$C$45)*(83&lt;=Projects!$W$2:$W$45))</f>
        <v>0</v>
      </c>
      <c r="CJ37" s="386" t="n">
        <f aca="false">SUMPRODUCT((Projects!$G$2:$G$45="Yes")*(84&gt;=Projects!$C$2:$C$45)*(84&lt;=Projects!$W$2:$W$45))</f>
        <v>0</v>
      </c>
      <c r="CK37" s="386" t="n">
        <f aca="false">SUMPRODUCT((Projects!$G$2:$G$45="Yes")*(85&gt;=Projects!$C$2:$C$45)*(85&lt;=Projects!$W$2:$W$45))</f>
        <v>0</v>
      </c>
      <c r="CL37" s="386" t="n">
        <f aca="false">SUMPRODUCT((Projects!$G$2:$G$45="Yes")*(86&gt;=Projects!$C$2:$C$45)*(86&lt;=Projects!$W$2:$W$45))</f>
        <v>0</v>
      </c>
      <c r="CM37" s="386" t="n">
        <f aca="false">SUMPRODUCT((Projects!$G$2:$G$45="Yes")*(87&gt;=Projects!$C$2:$C$45)*(87&lt;=Projects!$W$2:$W$45))</f>
        <v>0</v>
      </c>
      <c r="CN37" s="386" t="n">
        <f aca="false">SUMPRODUCT((Projects!$G$2:$G$45="Yes")*(88&gt;=Projects!$C$2:$C$45)*(88&lt;=Projects!$W$2:$W$45))</f>
        <v>0</v>
      </c>
      <c r="CO37" s="386" t="n">
        <f aca="false">SUMPRODUCT((Projects!$G$2:$G$45="Yes")*(89&gt;=Projects!$C$2:$C$45)*(89&lt;=Projects!$W$2:$W$45))</f>
        <v>0</v>
      </c>
      <c r="CP37" s="386" t="n">
        <f aca="false">SUMPRODUCT((Projects!$G$2:$G$45="Yes")*(90&gt;=Projects!$C$2:$C$45)*(90&lt;=Projects!$W$2:$W$45))</f>
        <v>0</v>
      </c>
      <c r="CQ37" s="386" t="n">
        <f aca="false">SUMPRODUCT((Projects!$G$2:$G$45="Yes")*(91&gt;=Projects!$C$2:$C$45)*(91&lt;=Projects!$W$2:$W$45))</f>
        <v>0</v>
      </c>
      <c r="CR37" s="386" t="n">
        <f aca="false">SUMPRODUCT((Projects!$G$2:$G$45="Yes")*(92&gt;=Projects!$C$2:$C$45)*(92&lt;=Projects!$W$2:$W$45))</f>
        <v>0</v>
      </c>
      <c r="CS37" s="386" t="n">
        <f aca="false">SUMPRODUCT((Projects!$G$2:$G$45="Yes")*(93&gt;=Projects!$C$2:$C$45)*(93&lt;=Projects!$W$2:$W$45))</f>
        <v>0</v>
      </c>
      <c r="CT37" s="386" t="n">
        <f aca="false">SUMPRODUCT((Projects!$G$2:$G$45="Yes")*(94&gt;=Projects!$C$2:$C$45)*(94&lt;=Projects!$W$2:$W$45))</f>
        <v>0</v>
      </c>
      <c r="CU37" s="386" t="n">
        <f aca="false">SUMPRODUCT((Projects!$G$2:$G$45="Yes")*(95&gt;=Projects!$C$2:$C$45)*(95&lt;=Projects!$W$2:$W$45))</f>
        <v>0</v>
      </c>
      <c r="CV37" s="386" t="n">
        <f aca="false">SUMPRODUCT((Projects!$G$2:$G$45="Yes")*(96&gt;=Projects!$C$2:$C$45)*(96&lt;=Projects!$W$2:$W$45))</f>
        <v>0</v>
      </c>
      <c r="CW37" s="386" t="n">
        <f aca="false">SUMPRODUCT((Projects!$G$2:$G$45="Yes")*(97&gt;=Projects!$C$2:$C$45)*(97&lt;=Projects!$W$2:$W$45))</f>
        <v>0</v>
      </c>
      <c r="CX37" s="386" t="n">
        <f aca="false">SUMPRODUCT((Projects!$G$2:$G$45="Yes")*(98&gt;=Projects!$C$2:$C$45)*(98&lt;=Projects!$W$2:$W$45))</f>
        <v>0</v>
      </c>
      <c r="CY37" s="386" t="n">
        <f aca="false">SUMPRODUCT((Projects!$G$2:$G$45="Yes")*(99&gt;=Projects!$C$2:$C$45)*(99&lt;=Projects!$W$2:$W$45))</f>
        <v>0</v>
      </c>
      <c r="CZ37" s="386" t="n">
        <f aca="false">SUMPRODUCT((Projects!$G$2:$G$45="Yes")*(100&gt;=Projects!$C$2:$C$45)*(100&lt;=Projects!$W$2:$W$45))</f>
        <v>0</v>
      </c>
      <c r="DA37" s="386" t="n">
        <f aca="false">SUMPRODUCT((Projects!$G$2:$G$45="Yes")*(101&gt;=Projects!$C$2:$C$45)*(101&lt;=Projects!$W$2:$W$45))</f>
        <v>0</v>
      </c>
      <c r="DB37" s="386" t="n">
        <f aca="false">SUMPRODUCT((Projects!$G$2:$G$45="Yes")*(102&gt;=Projects!$C$2:$C$45)*(102&lt;=Projects!$W$2:$W$45))</f>
        <v>0</v>
      </c>
      <c r="DC37" s="386" t="n">
        <f aca="false">SUMPRODUCT((Projects!$G$2:$G$45="Yes")*(103&gt;=Projects!$C$2:$C$45)*(103&lt;=Projects!$W$2:$W$45))</f>
        <v>0</v>
      </c>
      <c r="DD37" s="386" t="n">
        <f aca="false">SUMPRODUCT((Projects!$G$2:$G$45="Yes")*(104&gt;=Projects!$C$2:$C$45)*(104&lt;=Projects!$W$2:$W$45))</f>
        <v>0</v>
      </c>
      <c r="DE37" s="386" t="n">
        <f aca="false">SUMPRODUCT((Projects!$G$2:$G$45="Yes")*(105&gt;=Projects!$C$2:$C$45)*(105&lt;=Projects!$W$2:$W$45))</f>
        <v>0</v>
      </c>
    </row>
    <row r="38" customFormat="false" ht="13.5" hidden="false" customHeight="true" outlineLevel="0" collapsed="false">
      <c r="A38" s="110" t="s">
        <v>1378</v>
      </c>
      <c r="E38" s="386" t="n">
        <f aca="false">SUMPRODUCT((Projects!$G$2:$G$45="Yes")*(1&gt;=Projects!$C$2:$C$45-$B$14)*(1&lt;=Projects!$W$2:$W$45+$B$17))*$B$5</f>
        <v>4.375</v>
      </c>
      <c r="F38" s="386" t="n">
        <f aca="false">SUMPRODUCT((Projects!$G$2:$G$45="Yes")*(2&gt;=Projects!$C$2:$C$45-$B$14)*(2&lt;=Projects!$W$2:$W$45+$B$17))*$B$5</f>
        <v>4.375</v>
      </c>
      <c r="G38" s="386" t="n">
        <f aca="false">SUMPRODUCT((Projects!$G$2:$G$45="Yes")*(3&gt;=Projects!$C$2:$C$45-$B$14)*(3&lt;=Projects!$W$2:$W$45+$B$17))*$B$5</f>
        <v>4.375</v>
      </c>
      <c r="H38" s="386" t="n">
        <f aca="false">SUMPRODUCT((Projects!$G$2:$G$45="Yes")*(4&gt;=Projects!$C$2:$C$45-$B$14)*(4&lt;=Projects!$W$2:$W$45+$B$17))*$B$5</f>
        <v>4.375</v>
      </c>
      <c r="I38" s="386" t="n">
        <f aca="false">SUMPRODUCT((Projects!$G$2:$G$45="Yes")*(5&gt;=Projects!$C$2:$C$45-$B$14)*(5&lt;=Projects!$W$2:$W$45+$B$17))*$B$5</f>
        <v>6.125</v>
      </c>
      <c r="J38" s="386" t="n">
        <f aca="false">SUMPRODUCT((Projects!$G$2:$G$45="Yes")*(6&gt;=Projects!$C$2:$C$45-$B$14)*(6&lt;=Projects!$W$2:$W$45+$B$17))*$B$5</f>
        <v>7</v>
      </c>
      <c r="K38" s="386" t="n">
        <f aca="false">SUMPRODUCT((Projects!$G$2:$G$45="Yes")*(7&gt;=Projects!$C$2:$C$45-$B$14)*(7&lt;=Projects!$W$2:$W$45+$B$17))*$B$5</f>
        <v>7</v>
      </c>
      <c r="L38" s="386" t="n">
        <f aca="false">SUMPRODUCT((Projects!$G$2:$G$45="Yes")*(8&gt;=Projects!$C$2:$C$45-$B$14)*(8&lt;=Projects!$W$2:$W$45+$B$17))*$B$5</f>
        <v>7</v>
      </c>
      <c r="M38" s="386" t="n">
        <f aca="false">SUMPRODUCT((Projects!$G$2:$G$45="Yes")*(9&gt;=Projects!$C$2:$C$45-$B$14)*(9&lt;=Projects!$W$2:$W$45+$B$17))*$B$5</f>
        <v>7.875</v>
      </c>
      <c r="N38" s="386" t="n">
        <f aca="false">SUMPRODUCT((Projects!$G$2:$G$45="Yes")*(10&gt;=Projects!$C$2:$C$45-$B$14)*(10&lt;=Projects!$W$2:$W$45+$B$17))*$B$5</f>
        <v>8.75</v>
      </c>
      <c r="O38" s="386" t="n">
        <f aca="false">SUMPRODUCT((Projects!$G$2:$G$45="Yes")*(11&gt;=Projects!$C$2:$C$45-$B$14)*(11&lt;=Projects!$W$2:$W$45+$B$17))*$B$5</f>
        <v>9.625</v>
      </c>
      <c r="P38" s="386" t="n">
        <f aca="false">SUMPRODUCT((Projects!$G$2:$G$45="Yes")*(12&gt;=Projects!$C$2:$C$45-$B$14)*(12&lt;=Projects!$W$2:$W$45+$B$17))*$B$5</f>
        <v>9.625</v>
      </c>
      <c r="Q38" s="386" t="n">
        <f aca="false">SUMPRODUCT((Projects!$G$2:$G$45="Yes")*(13&gt;=Projects!$C$2:$C$45-$B$14)*(13&lt;=Projects!$W$2:$W$45+$B$17))*$B$5</f>
        <v>10.5</v>
      </c>
      <c r="R38" s="386" t="n">
        <f aca="false">SUMPRODUCT((Projects!$G$2:$G$45="Yes")*(14&gt;=Projects!$C$2:$C$45-$B$14)*(14&lt;=Projects!$W$2:$W$45+$B$17))*$B$5</f>
        <v>11.375</v>
      </c>
      <c r="S38" s="386" t="n">
        <f aca="false">SUMPRODUCT((Projects!$G$2:$G$45="Yes")*(15&gt;=Projects!$C$2:$C$45-$B$14)*(15&lt;=Projects!$W$2:$W$45+$B$17))*$B$5</f>
        <v>12.25</v>
      </c>
      <c r="T38" s="386" t="n">
        <f aca="false">SUMPRODUCT((Projects!$G$2:$G$45="Yes")*(16&gt;=Projects!$C$2:$C$45-$B$14)*(16&lt;=Projects!$W$2:$W$45+$B$17))*$B$5</f>
        <v>13.125</v>
      </c>
      <c r="U38" s="386" t="n">
        <f aca="false">SUMPRODUCT((Projects!$G$2:$G$45="Yes")*(17&gt;=Projects!$C$2:$C$45-$B$14)*(17&lt;=Projects!$W$2:$W$45+$B$17))*$B$5</f>
        <v>12.25</v>
      </c>
      <c r="V38" s="386" t="n">
        <f aca="false">SUMPRODUCT((Projects!$G$2:$G$45="Yes")*(18&gt;=Projects!$C$2:$C$45-$B$14)*(18&lt;=Projects!$W$2:$W$45+$B$17))*$B$5</f>
        <v>12.25</v>
      </c>
      <c r="W38" s="386" t="n">
        <f aca="false">SUMPRODUCT((Projects!$G$2:$G$45="Yes")*(19&gt;=Projects!$C$2:$C$45-$B$14)*(19&lt;=Projects!$W$2:$W$45+$B$17))*$B$5</f>
        <v>11.375</v>
      </c>
      <c r="X38" s="386" t="n">
        <f aca="false">SUMPRODUCT((Projects!$G$2:$G$45="Yes")*(20&gt;=Projects!$C$2:$C$45-$B$14)*(20&lt;=Projects!$W$2:$W$45+$B$17))*$B$5</f>
        <v>11.375</v>
      </c>
      <c r="Y38" s="386" t="n">
        <f aca="false">SUMPRODUCT((Projects!$G$2:$G$45="Yes")*(21&gt;=Projects!$C$2:$C$45-$B$14)*(21&lt;=Projects!$W$2:$W$45+$B$17))*$B$5</f>
        <v>10.5</v>
      </c>
      <c r="Z38" s="386" t="n">
        <f aca="false">SUMPRODUCT((Projects!$G$2:$G$45="Yes")*(22&gt;=Projects!$C$2:$C$45-$B$14)*(22&lt;=Projects!$W$2:$W$45+$B$17))*$B$5</f>
        <v>10.5</v>
      </c>
      <c r="AA38" s="386" t="n">
        <f aca="false">SUMPRODUCT((Projects!$G$2:$G$45="Yes")*(23&gt;=Projects!$C$2:$C$45-$B$14)*(23&lt;=Projects!$W$2:$W$45+$B$17))*$B$5</f>
        <v>10.5</v>
      </c>
      <c r="AB38" s="386" t="n">
        <f aca="false">SUMPRODUCT((Projects!$G$2:$G$45="Yes")*(24&gt;=Projects!$C$2:$C$45-$B$14)*(24&lt;=Projects!$W$2:$W$45+$B$17))*$B$5</f>
        <v>10.5</v>
      </c>
      <c r="AC38" s="386" t="n">
        <f aca="false">SUMPRODUCT((Projects!$G$2:$G$45="Yes")*(25&gt;=Projects!$C$2:$C$45-$B$14)*(25&lt;=Projects!$W$2:$W$45+$B$17))*$B$5</f>
        <v>9.625</v>
      </c>
      <c r="AD38" s="386" t="n">
        <f aca="false">SUMPRODUCT((Projects!$G$2:$G$45="Yes")*(26&gt;=Projects!$C$2:$C$45-$B$14)*(26&lt;=Projects!$W$2:$W$45+$B$17))*$B$5</f>
        <v>8.75</v>
      </c>
      <c r="AE38" s="386" t="n">
        <f aca="false">SUMPRODUCT((Projects!$G$2:$G$45="Yes")*(27&gt;=Projects!$C$2:$C$45-$B$14)*(27&lt;=Projects!$W$2:$W$45+$B$17))*$B$5</f>
        <v>9.625</v>
      </c>
      <c r="AF38" s="386" t="n">
        <f aca="false">SUMPRODUCT((Projects!$G$2:$G$45="Yes")*(28&gt;=Projects!$C$2:$C$45-$B$14)*(28&lt;=Projects!$W$2:$W$45+$B$17))*$B$5</f>
        <v>9.625</v>
      </c>
      <c r="AG38" s="386" t="n">
        <f aca="false">SUMPRODUCT((Projects!$G$2:$G$45="Yes")*(29&gt;=Projects!$C$2:$C$45-$B$14)*(29&lt;=Projects!$W$2:$W$45+$B$17))*$B$5</f>
        <v>9.625</v>
      </c>
      <c r="AH38" s="386" t="n">
        <f aca="false">SUMPRODUCT((Projects!$G$2:$G$45="Yes")*(30&gt;=Projects!$C$2:$C$45-$B$14)*(30&lt;=Projects!$W$2:$W$45+$B$17))*$B$5</f>
        <v>7.875</v>
      </c>
      <c r="AI38" s="386" t="n">
        <f aca="false">SUMPRODUCT((Projects!$G$2:$G$45="Yes")*(31&gt;=Projects!$C$2:$C$45-$B$14)*(31&lt;=Projects!$W$2:$W$45+$B$17))*$B$5</f>
        <v>7</v>
      </c>
      <c r="AJ38" s="386" t="n">
        <f aca="false">SUMPRODUCT((Projects!$G$2:$G$45="Yes")*(32&gt;=Projects!$C$2:$C$45-$B$14)*(32&lt;=Projects!$W$2:$W$45+$B$17))*$B$5</f>
        <v>7</v>
      </c>
      <c r="AK38" s="386" t="n">
        <f aca="false">SUMPRODUCT((Projects!$G$2:$G$45="Yes")*(33&gt;=Projects!$C$2:$C$45-$B$14)*(33&lt;=Projects!$W$2:$W$45+$B$17))*$B$5</f>
        <v>7</v>
      </c>
      <c r="AL38" s="386" t="n">
        <f aca="false">SUMPRODUCT((Projects!$G$2:$G$45="Yes")*(34&gt;=Projects!$C$2:$C$45-$B$14)*(34&lt;=Projects!$W$2:$W$45+$B$17))*$B$5</f>
        <v>5.25</v>
      </c>
      <c r="AM38" s="386" t="n">
        <f aca="false">SUMPRODUCT((Projects!$G$2:$G$45="Yes")*(35&gt;=Projects!$C$2:$C$45-$B$14)*(35&lt;=Projects!$W$2:$W$45+$B$17))*$B$5</f>
        <v>4.375</v>
      </c>
      <c r="AN38" s="386" t="n">
        <f aca="false">SUMPRODUCT((Projects!$G$2:$G$45="Yes")*(36&gt;=Projects!$C$2:$C$45-$B$14)*(36&lt;=Projects!$W$2:$W$45+$B$17))*$B$5</f>
        <v>3.5</v>
      </c>
      <c r="AO38" s="386" t="n">
        <f aca="false">SUMPRODUCT((Projects!$G$2:$G$45="Yes")*(37&gt;=Projects!$C$2:$C$45-$B$14)*(37&lt;=Projects!$W$2:$W$45+$B$17))*$B$5</f>
        <v>3.5</v>
      </c>
      <c r="AP38" s="386" t="n">
        <f aca="false">SUMPRODUCT((Projects!$G$2:$G$45="Yes")*(38&gt;=Projects!$C$2:$C$45-$B$14)*(38&lt;=Projects!$W$2:$W$45+$B$17))*$B$5</f>
        <v>2.625</v>
      </c>
      <c r="AQ38" s="386" t="n">
        <f aca="false">SUMPRODUCT((Projects!$G$2:$G$45="Yes")*(39&gt;=Projects!$C$2:$C$45-$B$14)*(39&lt;=Projects!$W$2:$W$45+$B$17))*$B$5</f>
        <v>2.625</v>
      </c>
      <c r="AR38" s="386" t="n">
        <f aca="false">SUMPRODUCT((Projects!$G$2:$G$45="Yes")*(40&gt;=Projects!$C$2:$C$45-$B$14)*(40&lt;=Projects!$W$2:$W$45+$B$17))*$B$5</f>
        <v>2.625</v>
      </c>
      <c r="AS38" s="386" t="n">
        <f aca="false">SUMPRODUCT((Projects!$G$2:$G$45="Yes")*(41&gt;=Projects!$C$2:$C$45-$B$14)*(41&lt;=Projects!$W$2:$W$45+$B$17))*$B$5</f>
        <v>2.625</v>
      </c>
      <c r="AT38" s="386" t="n">
        <f aca="false">SUMPRODUCT((Projects!$G$2:$G$45="Yes")*(42&gt;=Projects!$C$2:$C$45-$B$14)*(42&lt;=Projects!$W$2:$W$45+$B$17))*$B$5</f>
        <v>2.625</v>
      </c>
      <c r="AU38" s="386" t="n">
        <f aca="false">SUMPRODUCT((Projects!$G$2:$G$45="Yes")*(43&gt;=Projects!$C$2:$C$45-$B$14)*(43&lt;=Projects!$W$2:$W$45+$B$17))*$B$5</f>
        <v>2.625</v>
      </c>
      <c r="AV38" s="386" t="n">
        <f aca="false">SUMPRODUCT((Projects!$G$2:$G$45="Yes")*(44&gt;=Projects!$C$2:$C$45-$B$14)*(44&lt;=Projects!$W$2:$W$45+$B$17))*$B$5</f>
        <v>1.75</v>
      </c>
      <c r="AW38" s="386" t="n">
        <f aca="false">SUMPRODUCT((Projects!$G$2:$G$45="Yes")*(45&gt;=Projects!$C$2:$C$45-$B$14)*(45&lt;=Projects!$W$2:$W$45+$B$17))*$B$5</f>
        <v>0.875</v>
      </c>
      <c r="AX38" s="386" t="n">
        <f aca="false">SUMPRODUCT((Projects!$G$2:$G$45="Yes")*(46&gt;=Projects!$C$2:$C$45-$B$14)*(46&lt;=Projects!$W$2:$W$45+$B$17))*$B$5</f>
        <v>0.875</v>
      </c>
      <c r="AY38" s="386" t="n">
        <f aca="false">SUMPRODUCT((Projects!$G$2:$G$45="Yes")*(47&gt;=Projects!$C$2:$C$45-$B$14)*(47&lt;=Projects!$W$2:$W$45+$B$17))*$B$5</f>
        <v>0.875</v>
      </c>
      <c r="AZ38" s="386" t="n">
        <f aca="false">SUMPRODUCT((Projects!$G$2:$G$45="Yes")*(48&gt;=Projects!$C$2:$C$45-$B$14)*(48&lt;=Projects!$W$2:$W$45+$B$17))*$B$5</f>
        <v>0.875</v>
      </c>
      <c r="BA38" s="386" t="n">
        <f aca="false">SUMPRODUCT((Projects!$G$2:$G$45="Yes")*(49&gt;=Projects!$C$2:$C$45-$B$14)*(49&lt;=Projects!$W$2:$W$45+$B$17))*$B$5</f>
        <v>0.875</v>
      </c>
      <c r="BB38" s="386" t="n">
        <f aca="false">SUMPRODUCT((Projects!$G$2:$G$45="Yes")*(50&gt;=Projects!$C$2:$C$45-$B$14)*(50&lt;=Projects!$W$2:$W$45+$B$17))*$B$5</f>
        <v>0.875</v>
      </c>
      <c r="BC38" s="386" t="n">
        <f aca="false">SUMPRODUCT((Projects!$G$2:$G$45="Yes")*(51&gt;=Projects!$C$2:$C$45-$B$14)*(51&lt;=Projects!$W$2:$W$45+$B$17))*$B$5</f>
        <v>0.875</v>
      </c>
      <c r="BD38" s="386" t="n">
        <f aca="false">SUMPRODUCT((Projects!$G$2:$G$45="Yes")*(52&gt;=Projects!$C$2:$C$45-$B$14)*(52&lt;=Projects!$W$2:$W$45+$B$17))*$B$5</f>
        <v>0.875</v>
      </c>
      <c r="BE38" s="386" t="n">
        <f aca="false">SUMPRODUCT((Projects!$G$2:$G$45="Yes")*(53&gt;=Projects!$C$2:$C$45-$B$14)*(53&lt;=Projects!$W$2:$W$45+$B$17))*$B$5</f>
        <v>0.875</v>
      </c>
      <c r="BF38" s="386" t="n">
        <f aca="false">SUMPRODUCT((Projects!$G$2:$G$45="Yes")*(54&gt;=Projects!$C$2:$C$45-$B$14)*(54&lt;=Projects!$W$2:$W$45+$B$17))*$B$5</f>
        <v>0.875</v>
      </c>
      <c r="BG38" s="386" t="n">
        <f aca="false">SUMPRODUCT((Projects!$G$2:$G$45="Yes")*(55&gt;=Projects!$C$2:$C$45-$B$14)*(55&lt;=Projects!$W$2:$W$45+$B$17))*$B$5</f>
        <v>0.875</v>
      </c>
      <c r="BH38" s="386" t="n">
        <f aca="false">SUMPRODUCT((Projects!$G$2:$G$45="Yes")*(56&gt;=Projects!$C$2:$C$45-$B$14)*(56&lt;=Projects!$W$2:$W$45+$B$17))*$B$5</f>
        <v>0.875</v>
      </c>
      <c r="BI38" s="386" t="n">
        <f aca="false">SUMPRODUCT((Projects!$G$2:$G$45="Yes")*(57&gt;=Projects!$C$2:$C$45-$B$14)*(57&lt;=Projects!$W$2:$W$45+$B$17))*$B$5</f>
        <v>0.875</v>
      </c>
      <c r="BJ38" s="386" t="n">
        <f aca="false">SUMPRODUCT((Projects!$G$2:$G$45="Yes")*(58&gt;=Projects!$C$2:$C$45-$B$14)*(58&lt;=Projects!$W$2:$W$45+$B$17))*$B$5</f>
        <v>0</v>
      </c>
      <c r="BK38" s="386" t="n">
        <f aca="false">SUMPRODUCT((Projects!$G$2:$G$45="Yes")*(59&gt;=Projects!$C$2:$C$45-$B$14)*(59&lt;=Projects!$W$2:$W$45+$B$17))*$B$5</f>
        <v>0</v>
      </c>
      <c r="BL38" s="386" t="n">
        <f aca="false">SUMPRODUCT((Projects!$G$2:$G$45="Yes")*(60&gt;=Projects!$C$2:$C$45-$B$14)*(60&lt;=Projects!$W$2:$W$45+$B$17))*$B$5</f>
        <v>0</v>
      </c>
      <c r="BM38" s="386" t="n">
        <f aca="false">SUMPRODUCT((Projects!$G$2:$G$45="Yes")*(61&gt;=Projects!$C$2:$C$45-$B$14)*(61&lt;=Projects!$W$2:$W$45+$B$17))*$B$5</f>
        <v>0</v>
      </c>
      <c r="BN38" s="386" t="n">
        <f aca="false">SUMPRODUCT((Projects!$G$2:$G$45="Yes")*(62&gt;=Projects!$C$2:$C$45-$B$14)*(62&lt;=Projects!$W$2:$W$45+$B$17))*$B$5</f>
        <v>0</v>
      </c>
      <c r="BO38" s="386" t="n">
        <f aca="false">SUMPRODUCT((Projects!$G$2:$G$45="Yes")*(63&gt;=Projects!$C$2:$C$45-$B$14)*(63&lt;=Projects!$W$2:$W$45+$B$17))*$B$5</f>
        <v>0</v>
      </c>
      <c r="BP38" s="386" t="n">
        <f aca="false">SUMPRODUCT((Projects!$G$2:$G$45="Yes")*(64&gt;=Projects!$C$2:$C$45-$B$14)*(64&lt;=Projects!$W$2:$W$45+$B$17))*$B$5</f>
        <v>0</v>
      </c>
      <c r="BQ38" s="386" t="n">
        <f aca="false">SUMPRODUCT((Projects!$G$2:$G$45="Yes")*(65&gt;=Projects!$C$2:$C$45-$B$14)*(65&lt;=Projects!$W$2:$W$45+$B$17))*$B$5</f>
        <v>0</v>
      </c>
      <c r="BR38" s="386" t="n">
        <f aca="false">SUMPRODUCT((Projects!$G$2:$G$45="Yes")*(66&gt;=Projects!$C$2:$C$45-$B$14)*(66&lt;=Projects!$W$2:$W$45+$B$17))*$B$5</f>
        <v>0</v>
      </c>
      <c r="BS38" s="386" t="n">
        <f aca="false">SUMPRODUCT((Projects!$G$2:$G$45="Yes")*(67&gt;=Projects!$C$2:$C$45-$B$14)*(67&lt;=Projects!$W$2:$W$45+$B$17))*$B$5</f>
        <v>0</v>
      </c>
      <c r="BT38" s="386" t="n">
        <f aca="false">SUMPRODUCT((Projects!$G$2:$G$45="Yes")*(68&gt;=Projects!$C$2:$C$45-$B$14)*(68&lt;=Projects!$W$2:$W$45+$B$17))*$B$5</f>
        <v>0</v>
      </c>
      <c r="BU38" s="386" t="n">
        <f aca="false">SUMPRODUCT((Projects!$G$2:$G$45="Yes")*(69&gt;=Projects!$C$2:$C$45-$B$14)*(69&lt;=Projects!$W$2:$W$45+$B$17))*$B$5</f>
        <v>0</v>
      </c>
      <c r="BV38" s="386" t="n">
        <f aca="false">SUMPRODUCT((Projects!$G$2:$G$45="Yes")*(70&gt;=Projects!$C$2:$C$45-$B$14)*(70&lt;=Projects!$W$2:$W$45+$B$17))*$B$5</f>
        <v>0</v>
      </c>
      <c r="BW38" s="386" t="n">
        <f aca="false">SUMPRODUCT((Projects!$G$2:$G$45="Yes")*(71&gt;=Projects!$C$2:$C$45-$B$14)*(71&lt;=Projects!$W$2:$W$45+$B$17))*$B$5</f>
        <v>0</v>
      </c>
      <c r="BX38" s="386" t="n">
        <f aca="false">SUMPRODUCT((Projects!$G$2:$G$45="Yes")*(72&gt;=Projects!$C$2:$C$45-$B$14)*(72&lt;=Projects!$W$2:$W$45+$B$17))*$B$5</f>
        <v>0</v>
      </c>
      <c r="BY38" s="386" t="n">
        <f aca="false">SUMPRODUCT((Projects!$G$2:$G$45="Yes")*(73&gt;=Projects!$C$2:$C$45-$B$14)*(73&lt;=Projects!$W$2:$W$45+$B$17))*$B$5</f>
        <v>0</v>
      </c>
      <c r="BZ38" s="386" t="n">
        <f aca="false">SUMPRODUCT((Projects!$G$2:$G$45="Yes")*(74&gt;=Projects!$C$2:$C$45-$B$14)*(74&lt;=Projects!$W$2:$W$45+$B$17))*$B$5</f>
        <v>0</v>
      </c>
      <c r="CA38" s="386" t="n">
        <f aca="false">SUMPRODUCT((Projects!$G$2:$G$45="Yes")*(75&gt;=Projects!$C$2:$C$45-$B$14)*(75&lt;=Projects!$W$2:$W$45+$B$17))*$B$5</f>
        <v>0</v>
      </c>
      <c r="CB38" s="386" t="n">
        <f aca="false">SUMPRODUCT((Projects!$G$2:$G$45="Yes")*(76&gt;=Projects!$C$2:$C$45-$B$14)*(76&lt;=Projects!$W$2:$W$45+$B$17))*$B$5</f>
        <v>0</v>
      </c>
      <c r="CC38" s="386" t="n">
        <f aca="false">SUMPRODUCT((Projects!$G$2:$G$45="Yes")*(77&gt;=Projects!$C$2:$C$45-$B$14)*(77&lt;=Projects!$W$2:$W$45+$B$17))*$B$5</f>
        <v>0</v>
      </c>
      <c r="CD38" s="386" t="n">
        <f aca="false">SUMPRODUCT((Projects!$G$2:$G$45="Yes")*(78&gt;=Projects!$C$2:$C$45-$B$14)*(78&lt;=Projects!$W$2:$W$45+$B$17))*$B$5</f>
        <v>0</v>
      </c>
      <c r="CE38" s="386" t="n">
        <f aca="false">SUMPRODUCT((Projects!$G$2:$G$45="Yes")*(79&gt;=Projects!$C$2:$C$45-$B$14)*(79&lt;=Projects!$W$2:$W$45+$B$17))*$B$5</f>
        <v>0</v>
      </c>
      <c r="CF38" s="386" t="n">
        <f aca="false">SUMPRODUCT((Projects!$G$2:$G$45="Yes")*(80&gt;=Projects!$C$2:$C$45-$B$14)*(80&lt;=Projects!$W$2:$W$45+$B$17))*$B$5</f>
        <v>0</v>
      </c>
      <c r="CG38" s="386" t="n">
        <f aca="false">SUMPRODUCT((Projects!$G$2:$G$45="Yes")*(81&gt;=Projects!$C$2:$C$45-$B$14)*(81&lt;=Projects!$W$2:$W$45+$B$17))*$B$5</f>
        <v>0</v>
      </c>
      <c r="CH38" s="386" t="n">
        <f aca="false">SUMPRODUCT((Projects!$G$2:$G$45="Yes")*(82&gt;=Projects!$C$2:$C$45-$B$14)*(82&lt;=Projects!$W$2:$W$45+$B$17))*$B$5</f>
        <v>0</v>
      </c>
      <c r="CI38" s="386" t="n">
        <f aca="false">SUMPRODUCT((Projects!$G$2:$G$45="Yes")*(83&gt;=Projects!$C$2:$C$45-$B$14)*(83&lt;=Projects!$W$2:$W$45+$B$17))*$B$5</f>
        <v>0</v>
      </c>
      <c r="CJ38" s="386" t="n">
        <f aca="false">SUMPRODUCT((Projects!$G$2:$G$45="Yes")*(84&gt;=Projects!$C$2:$C$45-$B$14)*(84&lt;=Projects!$W$2:$W$45+$B$17))*$B$5</f>
        <v>0</v>
      </c>
      <c r="CK38" s="386" t="n">
        <f aca="false">SUMPRODUCT((Projects!$G$2:$G$45="Yes")*(85&gt;=Projects!$C$2:$C$45-$B$14)*(85&lt;=Projects!$W$2:$W$45+$B$17))*$B$5</f>
        <v>0</v>
      </c>
      <c r="CL38" s="386" t="n">
        <f aca="false">SUMPRODUCT((Projects!$G$2:$G$45="Yes")*(86&gt;=Projects!$C$2:$C$45-$B$14)*(86&lt;=Projects!$W$2:$W$45+$B$17))*$B$5</f>
        <v>0</v>
      </c>
      <c r="CM38" s="386" t="n">
        <f aca="false">SUMPRODUCT((Projects!$G$2:$G$45="Yes")*(87&gt;=Projects!$C$2:$C$45-$B$14)*(87&lt;=Projects!$W$2:$W$45+$B$17))*$B$5</f>
        <v>0</v>
      </c>
      <c r="CN38" s="386" t="n">
        <f aca="false">SUMPRODUCT((Projects!$G$2:$G$45="Yes")*(88&gt;=Projects!$C$2:$C$45-$B$14)*(88&lt;=Projects!$W$2:$W$45+$B$17))*$B$5</f>
        <v>0</v>
      </c>
      <c r="CO38" s="386" t="n">
        <f aca="false">SUMPRODUCT((Projects!$G$2:$G$45="Yes")*(89&gt;=Projects!$C$2:$C$45-$B$14)*(89&lt;=Projects!$W$2:$W$45+$B$17))*$B$5</f>
        <v>0</v>
      </c>
      <c r="CP38" s="386" t="n">
        <f aca="false">SUMPRODUCT((Projects!$G$2:$G$45="Yes")*(90&gt;=Projects!$C$2:$C$45-$B$14)*(90&lt;=Projects!$W$2:$W$45+$B$17))*$B$5</f>
        <v>0</v>
      </c>
      <c r="CQ38" s="386" t="n">
        <f aca="false">SUMPRODUCT((Projects!$G$2:$G$45="Yes")*(91&gt;=Projects!$C$2:$C$45-$B$14)*(91&lt;=Projects!$W$2:$W$45+$B$17))*$B$5</f>
        <v>0</v>
      </c>
      <c r="CR38" s="386" t="n">
        <f aca="false">SUMPRODUCT((Projects!$G$2:$G$45="Yes")*(92&gt;=Projects!$C$2:$C$45-$B$14)*(92&lt;=Projects!$W$2:$W$45+$B$17))*$B$5</f>
        <v>0</v>
      </c>
      <c r="CS38" s="386" t="n">
        <f aca="false">SUMPRODUCT((Projects!$G$2:$G$45="Yes")*(93&gt;=Projects!$C$2:$C$45-$B$14)*(93&lt;=Projects!$W$2:$W$45+$B$17))*$B$5</f>
        <v>0</v>
      </c>
      <c r="CT38" s="386" t="n">
        <f aca="false">SUMPRODUCT((Projects!$G$2:$G$45="Yes")*(94&gt;=Projects!$C$2:$C$45-$B$14)*(94&lt;=Projects!$W$2:$W$45+$B$17))*$B$5</f>
        <v>0</v>
      </c>
      <c r="CU38" s="386" t="n">
        <f aca="false">SUMPRODUCT((Projects!$G$2:$G$45="Yes")*(95&gt;=Projects!$C$2:$C$45-$B$14)*(95&lt;=Projects!$W$2:$W$45+$B$17))*$B$5</f>
        <v>0</v>
      </c>
      <c r="CV38" s="386" t="n">
        <f aca="false">SUMPRODUCT((Projects!$G$2:$G$45="Yes")*(96&gt;=Projects!$C$2:$C$45-$B$14)*(96&lt;=Projects!$W$2:$W$45+$B$17))*$B$5</f>
        <v>0</v>
      </c>
      <c r="CW38" s="386" t="n">
        <f aca="false">SUMPRODUCT((Projects!$G$2:$G$45="Yes")*(97&gt;=Projects!$C$2:$C$45-$B$14)*(97&lt;=Projects!$W$2:$W$45+$B$17))*$B$5</f>
        <v>0</v>
      </c>
      <c r="CX38" s="386" t="n">
        <f aca="false">SUMPRODUCT((Projects!$G$2:$G$45="Yes")*(98&gt;=Projects!$C$2:$C$45-$B$14)*(98&lt;=Projects!$W$2:$W$45+$B$17))*$B$5</f>
        <v>0</v>
      </c>
      <c r="CY38" s="386" t="n">
        <f aca="false">SUMPRODUCT((Projects!$G$2:$G$45="Yes")*(99&gt;=Projects!$C$2:$C$45-$B$14)*(99&lt;=Projects!$W$2:$W$45+$B$17))*$B$5</f>
        <v>0</v>
      </c>
      <c r="CZ38" s="386" t="n">
        <f aca="false">SUMPRODUCT((Projects!$G$2:$G$45="Yes")*(100&gt;=Projects!$C$2:$C$45-$B$14)*(100&lt;=Projects!$W$2:$W$45+$B$17))*$B$5</f>
        <v>0</v>
      </c>
      <c r="DA38" s="386" t="n">
        <f aca="false">SUMPRODUCT((Projects!$G$2:$G$45="Yes")*(101&gt;=Projects!$C$2:$C$45-$B$14)*(101&lt;=Projects!$W$2:$W$45+$B$17))*$B$5</f>
        <v>0</v>
      </c>
      <c r="DB38" s="386" t="n">
        <f aca="false">SUMPRODUCT((Projects!$G$2:$G$45="Yes")*(102&gt;=Projects!$C$2:$C$45-$B$14)*(102&lt;=Projects!$W$2:$W$45+$B$17))*$B$5</f>
        <v>0</v>
      </c>
      <c r="DC38" s="386" t="n">
        <f aca="false">SUMPRODUCT((Projects!$G$2:$G$45="Yes")*(103&gt;=Projects!$C$2:$C$45-$B$14)*(103&lt;=Projects!$W$2:$W$45+$B$17))*$B$5</f>
        <v>0</v>
      </c>
      <c r="DD38" s="386" t="n">
        <f aca="false">SUMPRODUCT((Projects!$G$2:$G$45="Yes")*(104&gt;=Projects!$C$2:$C$45-$B$14)*(104&lt;=Projects!$W$2:$W$45+$B$17))*$B$5</f>
        <v>0</v>
      </c>
      <c r="DE38" s="386" t="n">
        <f aca="false">SUMPRODUCT((Projects!$G$2:$G$45="Yes")*(105&gt;=Projects!$C$2:$C$45-$B$14)*(105&lt;=Projects!$W$2:$W$45+$B$17))*$B$5</f>
        <v>0</v>
      </c>
    </row>
    <row r="39" customFormat="false" ht="13.5" hidden="false" customHeight="true" outlineLevel="0" collapsed="false">
      <c r="A39" s="110" t="s">
        <v>1379</v>
      </c>
      <c r="E39" s="386" t="n">
        <f aca="false">SUMPRODUCT((Projects!$G$2:$G$45="Yes")*(1&gt;=Projects!$C$2:$C$45-$B$15)*((1&lt;=Projects!$W$2:$W$45-$B$106)*1+(1&gt;Projects!$W$2:$W$45-$B$106)*(1&lt;=Projects!$W$2:$W$45+$B$17)*$B$107)*((Projects!$B$2:$B$45&gt;=$B$12)*$B$6+(Projects!$B$2:$B$45&lt;$B$12)*(Projects!$B$2:$B$45&gt;=$B$13)*$B$7+(Projects!$B$2:$B$45&lt;$B$13)*$B$8))</f>
        <v>1.08</v>
      </c>
      <c r="F39" s="386" t="n">
        <f aca="false">SUMPRODUCT((Projects!$G$2:$G$45="Yes")*(2&gt;=Projects!$C$2:$C$45-$B$15)*((2&lt;=Projects!$W$2:$W$45-$B$106)*1+(2&gt;Projects!$W$2:$W$45-$B$106)*(2&lt;=Projects!$W$2:$W$45+$B$17)*$B$107)*((Projects!$B$2:$B$45&gt;=$B$12)*$B$6+(Projects!$B$2:$B$45&lt;$B$12)*(Projects!$B$2:$B$45&gt;=$B$13)*$B$7+(Projects!$B$2:$B$45&lt;$B$13)*$B$8))</f>
        <v>1.08</v>
      </c>
      <c r="G39" s="386" t="n">
        <f aca="false">SUMPRODUCT((Projects!$G$2:$G$45="Yes")*(3&gt;=Projects!$C$2:$C$45-$B$15)*((3&lt;=Projects!$W$2:$W$45-$B$106)*1+(3&gt;Projects!$W$2:$W$45-$B$106)*(3&lt;=Projects!$W$2:$W$45+$B$17)*$B$107)*((Projects!$B$2:$B$45&gt;=$B$12)*$B$6+(Projects!$B$2:$B$45&lt;$B$12)*(Projects!$B$2:$B$45&gt;=$B$13)*$B$7+(Projects!$B$2:$B$45&lt;$B$13)*$B$8))</f>
        <v>1.08</v>
      </c>
      <c r="H39" s="386" t="n">
        <f aca="false">SUMPRODUCT((Projects!$G$2:$G$45="Yes")*(4&gt;=Projects!$C$2:$C$45-$B$15)*((4&lt;=Projects!$W$2:$W$45-$B$106)*1+(4&gt;Projects!$W$2:$W$45-$B$106)*(4&lt;=Projects!$W$2:$W$45+$B$17)*$B$107)*((Projects!$B$2:$B$45&gt;=$B$12)*$B$6+(Projects!$B$2:$B$45&lt;$B$12)*(Projects!$B$2:$B$45&gt;=$B$13)*$B$7+(Projects!$B$2:$B$45&lt;$B$13)*$B$8))</f>
        <v>1.08</v>
      </c>
      <c r="I39" s="386" t="n">
        <f aca="false">SUMPRODUCT((Projects!$G$2:$G$45="Yes")*(5&gt;=Projects!$C$2:$C$45-$B$15)*((5&lt;=Projects!$W$2:$W$45-$B$106)*1+(5&gt;Projects!$W$2:$W$45-$B$106)*(5&lt;=Projects!$W$2:$W$45+$B$17)*$B$107)*((Projects!$B$2:$B$45&gt;=$B$12)*$B$6+(Projects!$B$2:$B$45&lt;$B$12)*(Projects!$B$2:$B$45&gt;=$B$13)*$B$7+(Projects!$B$2:$B$45&lt;$B$13)*$B$8))</f>
        <v>1.83</v>
      </c>
      <c r="J39" s="386" t="n">
        <f aca="false">SUMPRODUCT((Projects!$G$2:$G$45="Yes")*(6&gt;=Projects!$C$2:$C$45-$B$15)*((6&lt;=Projects!$W$2:$W$45-$B$106)*1+(6&gt;Projects!$W$2:$W$45-$B$106)*(6&lt;=Projects!$W$2:$W$45+$B$17)*$B$107)*((Projects!$B$2:$B$45&gt;=$B$12)*$B$6+(Projects!$B$2:$B$45&lt;$B$12)*(Projects!$B$2:$B$45&gt;=$B$13)*$B$7+(Projects!$B$2:$B$45&lt;$B$13)*$B$8))</f>
        <v>1.9975</v>
      </c>
      <c r="K39" s="386" t="n">
        <f aca="false">SUMPRODUCT((Projects!$G$2:$G$45="Yes")*(7&gt;=Projects!$C$2:$C$45-$B$15)*((7&lt;=Projects!$W$2:$W$45-$B$106)*1+(7&gt;Projects!$W$2:$W$45-$B$106)*(7&lt;=Projects!$W$2:$W$45+$B$17)*$B$107)*((Projects!$B$2:$B$45&gt;=$B$12)*$B$6+(Projects!$B$2:$B$45&lt;$B$12)*(Projects!$B$2:$B$45&gt;=$B$13)*$B$7+(Projects!$B$2:$B$45&lt;$B$13)*$B$8))</f>
        <v>1.9975</v>
      </c>
      <c r="L39" s="386" t="n">
        <f aca="false">SUMPRODUCT((Projects!$G$2:$G$45="Yes")*(8&gt;=Projects!$C$2:$C$45-$B$15)*((8&lt;=Projects!$W$2:$W$45-$B$106)*1+(8&gt;Projects!$W$2:$W$45-$B$106)*(8&lt;=Projects!$W$2:$W$45+$B$17)*$B$107)*((Projects!$B$2:$B$45&gt;=$B$12)*$B$6+(Projects!$B$2:$B$45&lt;$B$12)*(Projects!$B$2:$B$45&gt;=$B$13)*$B$7+(Projects!$B$2:$B$45&lt;$B$13)*$B$8))</f>
        <v>1.9975</v>
      </c>
      <c r="M39" s="386" t="n">
        <f aca="false">SUMPRODUCT((Projects!$G$2:$G$45="Yes")*(9&gt;=Projects!$C$2:$C$45-$B$15)*((9&lt;=Projects!$W$2:$W$45-$B$106)*1+(9&gt;Projects!$W$2:$W$45-$B$106)*(9&lt;=Projects!$W$2:$W$45+$B$17)*$B$107)*((Projects!$B$2:$B$45&gt;=$B$12)*$B$6+(Projects!$B$2:$B$45&lt;$B$12)*(Projects!$B$2:$B$45&gt;=$B$13)*$B$7+(Projects!$B$2:$B$45&lt;$B$13)*$B$8))</f>
        <v>2.2475</v>
      </c>
      <c r="N39" s="386" t="n">
        <f aca="false">SUMPRODUCT((Projects!$G$2:$G$45="Yes")*(10&gt;=Projects!$C$2:$C$45-$B$15)*((10&lt;=Projects!$W$2:$W$45-$B$106)*1+(10&gt;Projects!$W$2:$W$45-$B$106)*(10&lt;=Projects!$W$2:$W$45+$B$17)*$B$107)*((Projects!$B$2:$B$45&gt;=$B$12)*$B$6+(Projects!$B$2:$B$45&lt;$B$12)*(Projects!$B$2:$B$45&gt;=$B$13)*$B$7+(Projects!$B$2:$B$45&lt;$B$13)*$B$8))</f>
        <v>2.58</v>
      </c>
      <c r="O39" s="386" t="n">
        <f aca="false">SUMPRODUCT((Projects!$G$2:$G$45="Yes")*(11&gt;=Projects!$C$2:$C$45-$B$15)*((11&lt;=Projects!$W$2:$W$45-$B$106)*1+(11&gt;Projects!$W$2:$W$45-$B$106)*(11&lt;=Projects!$W$2:$W$45+$B$17)*$B$107)*((Projects!$B$2:$B$45&gt;=$B$12)*$B$6+(Projects!$B$2:$B$45&lt;$B$12)*(Projects!$B$2:$B$45&gt;=$B$13)*$B$7+(Projects!$B$2:$B$45&lt;$B$13)*$B$8))</f>
        <v>2.745</v>
      </c>
      <c r="P39" s="386" t="n">
        <f aca="false">SUMPRODUCT((Projects!$G$2:$G$45="Yes")*(12&gt;=Projects!$C$2:$C$45-$B$15)*((12&lt;=Projects!$W$2:$W$45-$B$106)*1+(12&gt;Projects!$W$2:$W$45-$B$106)*(12&lt;=Projects!$W$2:$W$45+$B$17)*$B$107)*((Projects!$B$2:$B$45&gt;=$B$12)*$B$6+(Projects!$B$2:$B$45&lt;$B$12)*(Projects!$B$2:$B$45&gt;=$B$13)*$B$7+(Projects!$B$2:$B$45&lt;$B$13)*$B$8))</f>
        <v>2.745</v>
      </c>
      <c r="Q39" s="386" t="n">
        <f aca="false">SUMPRODUCT((Projects!$G$2:$G$45="Yes")*(13&gt;=Projects!$C$2:$C$45-$B$15)*((13&lt;=Projects!$W$2:$W$45-$B$106)*1+(13&gt;Projects!$W$2:$W$45-$B$106)*(13&lt;=Projects!$W$2:$W$45+$B$17)*$B$107)*((Projects!$B$2:$B$45&gt;=$B$12)*$B$6+(Projects!$B$2:$B$45&lt;$B$12)*(Projects!$B$2:$B$45&gt;=$B$13)*$B$7+(Projects!$B$2:$B$45&lt;$B$13)*$B$8))</f>
        <v>3.1625</v>
      </c>
      <c r="R39" s="386" t="n">
        <f aca="false">SUMPRODUCT((Projects!$G$2:$G$45="Yes")*(14&gt;=Projects!$C$2:$C$45-$B$15)*((14&lt;=Projects!$W$2:$W$45-$B$106)*1+(14&gt;Projects!$W$2:$W$45-$B$106)*(14&lt;=Projects!$W$2:$W$45+$B$17)*$B$107)*((Projects!$B$2:$B$45&gt;=$B$12)*$B$6+(Projects!$B$2:$B$45&lt;$B$12)*(Projects!$B$2:$B$45&gt;=$B$13)*$B$7+(Projects!$B$2:$B$45&lt;$B$13)*$B$8))</f>
        <v>3.4125</v>
      </c>
      <c r="S39" s="386" t="n">
        <f aca="false">SUMPRODUCT((Projects!$G$2:$G$45="Yes")*(15&gt;=Projects!$C$2:$C$45-$B$15)*((15&lt;=Projects!$W$2:$W$45-$B$106)*1+(15&gt;Projects!$W$2:$W$45-$B$106)*(15&lt;=Projects!$W$2:$W$45+$B$17)*$B$107)*((Projects!$B$2:$B$45&gt;=$B$12)*$B$6+(Projects!$B$2:$B$45&lt;$B$12)*(Projects!$B$2:$B$45&gt;=$B$13)*$B$7+(Projects!$B$2:$B$45&lt;$B$13)*$B$8))</f>
        <v>3.5375</v>
      </c>
      <c r="T39" s="386" t="n">
        <f aca="false">SUMPRODUCT((Projects!$G$2:$G$45="Yes")*(16&gt;=Projects!$C$2:$C$45-$B$15)*((16&lt;=Projects!$W$2:$W$45-$B$106)*1+(16&gt;Projects!$W$2:$W$45-$B$106)*(16&lt;=Projects!$W$2:$W$45+$B$17)*$B$107)*((Projects!$B$2:$B$45&gt;=$B$12)*$B$6+(Projects!$B$2:$B$45&lt;$B$12)*(Projects!$B$2:$B$45&gt;=$B$13)*$B$7+(Projects!$B$2:$B$45&lt;$B$13)*$B$8))</f>
        <v>3.6625</v>
      </c>
      <c r="U39" s="386" t="n">
        <f aca="false">SUMPRODUCT((Projects!$G$2:$G$45="Yes")*(17&gt;=Projects!$C$2:$C$45-$B$15)*((17&lt;=Projects!$W$2:$W$45-$B$106)*1+(17&gt;Projects!$W$2:$W$45-$B$106)*(17&lt;=Projects!$W$2:$W$45+$B$17)*$B$107)*((Projects!$B$2:$B$45&gt;=$B$12)*$B$6+(Projects!$B$2:$B$45&lt;$B$12)*(Projects!$B$2:$B$45&gt;=$B$13)*$B$7+(Projects!$B$2:$B$45&lt;$B$13)*$B$8))</f>
        <v>3.455</v>
      </c>
      <c r="V39" s="386" t="n">
        <f aca="false">SUMPRODUCT((Projects!$G$2:$G$45="Yes")*(18&gt;=Projects!$C$2:$C$45-$B$15)*((18&lt;=Projects!$W$2:$W$45-$B$106)*1+(18&gt;Projects!$W$2:$W$45-$B$106)*(18&lt;=Projects!$W$2:$W$45+$B$17)*$B$107)*((Projects!$B$2:$B$45&gt;=$B$12)*$B$6+(Projects!$B$2:$B$45&lt;$B$12)*(Projects!$B$2:$B$45&gt;=$B$13)*$B$7+(Projects!$B$2:$B$45&lt;$B$13)*$B$8))</f>
        <v>3.455</v>
      </c>
      <c r="W39" s="386" t="n">
        <f aca="false">SUMPRODUCT((Projects!$G$2:$G$45="Yes")*(19&gt;=Projects!$C$2:$C$45-$B$15)*((19&lt;=Projects!$W$2:$W$45-$B$106)*1+(19&gt;Projects!$W$2:$W$45-$B$106)*(19&lt;=Projects!$W$2:$W$45+$B$17)*$B$107)*((Projects!$B$2:$B$45&gt;=$B$12)*$B$6+(Projects!$B$2:$B$45&lt;$B$12)*(Projects!$B$2:$B$45&gt;=$B$13)*$B$7+(Projects!$B$2:$B$45&lt;$B$13)*$B$8))</f>
        <v>3.33</v>
      </c>
      <c r="X39" s="386" t="n">
        <f aca="false">SUMPRODUCT((Projects!$G$2:$G$45="Yes")*(20&gt;=Projects!$C$2:$C$45-$B$15)*((20&lt;=Projects!$W$2:$W$45-$B$106)*1+(20&gt;Projects!$W$2:$W$45-$B$106)*(20&lt;=Projects!$W$2:$W$45+$B$17)*$B$107)*((Projects!$B$2:$B$45&gt;=$B$12)*$B$6+(Projects!$B$2:$B$45&lt;$B$12)*(Projects!$B$2:$B$45&gt;=$B$13)*$B$7+(Projects!$B$2:$B$45&lt;$B$13)*$B$8))</f>
        <v>3.705</v>
      </c>
      <c r="Y39" s="386" t="n">
        <f aca="false">SUMPRODUCT((Projects!$G$2:$G$45="Yes")*(21&gt;=Projects!$C$2:$C$45-$B$15)*((21&lt;=Projects!$W$2:$W$45-$B$106)*1+(21&gt;Projects!$W$2:$W$45-$B$106)*(21&lt;=Projects!$W$2:$W$45+$B$17)*$B$107)*((Projects!$B$2:$B$45&gt;=$B$12)*$B$6+(Projects!$B$2:$B$45&lt;$B$12)*(Projects!$B$2:$B$45&gt;=$B$13)*$B$7+(Projects!$B$2:$B$45&lt;$B$13)*$B$8))</f>
        <v>3.455</v>
      </c>
      <c r="Z39" s="386" t="n">
        <f aca="false">SUMPRODUCT((Projects!$G$2:$G$45="Yes")*(22&gt;=Projects!$C$2:$C$45-$B$15)*((22&lt;=Projects!$W$2:$W$45-$B$106)*1+(22&gt;Projects!$W$2:$W$45-$B$106)*(22&lt;=Projects!$W$2:$W$45+$B$17)*$B$107)*((Projects!$B$2:$B$45&gt;=$B$12)*$B$6+(Projects!$B$2:$B$45&lt;$B$12)*(Projects!$B$2:$B$45&gt;=$B$13)*$B$7+(Projects!$B$2:$B$45&lt;$B$13)*$B$8))</f>
        <v>3.33</v>
      </c>
      <c r="AA39" s="386" t="n">
        <f aca="false">SUMPRODUCT((Projects!$G$2:$G$45="Yes")*(23&gt;=Projects!$C$2:$C$45-$B$15)*((23&lt;=Projects!$W$2:$W$45-$B$106)*1+(23&gt;Projects!$W$2:$W$45-$B$106)*(23&lt;=Projects!$W$2:$W$45+$B$17)*$B$107)*((Projects!$B$2:$B$45&gt;=$B$12)*$B$6+(Projects!$B$2:$B$45&lt;$B$12)*(Projects!$B$2:$B$45&gt;=$B$13)*$B$7+(Projects!$B$2:$B$45&lt;$B$13)*$B$8))</f>
        <v>3.33</v>
      </c>
      <c r="AB39" s="386" t="n">
        <f aca="false">SUMPRODUCT((Projects!$G$2:$G$45="Yes")*(24&gt;=Projects!$C$2:$C$45-$B$15)*((24&lt;=Projects!$W$2:$W$45-$B$106)*1+(24&gt;Projects!$W$2:$W$45-$B$106)*(24&lt;=Projects!$W$2:$W$45+$B$17)*$B$107)*((Projects!$B$2:$B$45&gt;=$B$12)*$B$6+(Projects!$B$2:$B$45&lt;$B$12)*(Projects!$B$2:$B$45&gt;=$B$13)*$B$7+(Projects!$B$2:$B$45&lt;$B$13)*$B$8))</f>
        <v>3.33</v>
      </c>
      <c r="AC39" s="386" t="n">
        <f aca="false">SUMPRODUCT((Projects!$G$2:$G$45="Yes")*(25&gt;=Projects!$C$2:$C$45-$B$15)*((25&lt;=Projects!$W$2:$W$45-$B$106)*1+(25&gt;Projects!$W$2:$W$45-$B$106)*(25&lt;=Projects!$W$2:$W$45+$B$17)*$B$107)*((Projects!$B$2:$B$45&gt;=$B$12)*$B$6+(Projects!$B$2:$B$45&lt;$B$12)*(Projects!$B$2:$B$45&gt;=$B$13)*$B$7+(Projects!$B$2:$B$45&lt;$B$13)*$B$8))</f>
        <v>3.205</v>
      </c>
      <c r="AD39" s="386" t="n">
        <f aca="false">SUMPRODUCT((Projects!$G$2:$G$45="Yes")*(26&gt;=Projects!$C$2:$C$45-$B$15)*((26&lt;=Projects!$W$2:$W$45-$B$106)*1+(26&gt;Projects!$W$2:$W$45-$B$106)*(26&lt;=Projects!$W$2:$W$45+$B$17)*$B$107)*((Projects!$B$2:$B$45&gt;=$B$12)*$B$6+(Projects!$B$2:$B$45&lt;$B$12)*(Projects!$B$2:$B$45&gt;=$B$13)*$B$7+(Projects!$B$2:$B$45&lt;$B$13)*$B$8))</f>
        <v>2.8725</v>
      </c>
      <c r="AE39" s="386" t="n">
        <f aca="false">SUMPRODUCT((Projects!$G$2:$G$45="Yes")*(27&gt;=Projects!$C$2:$C$45-$B$15)*((27&lt;=Projects!$W$2:$W$45-$B$106)*1+(27&gt;Projects!$W$2:$W$45-$B$106)*(27&lt;=Projects!$W$2:$W$45+$B$17)*$B$107)*((Projects!$B$2:$B$45&gt;=$B$12)*$B$6+(Projects!$B$2:$B$45&lt;$B$12)*(Projects!$B$2:$B$45&gt;=$B$13)*$B$7+(Projects!$B$2:$B$45&lt;$B$13)*$B$8))</f>
        <v>3.29</v>
      </c>
      <c r="AF39" s="386" t="n">
        <f aca="false">SUMPRODUCT((Projects!$G$2:$G$45="Yes")*(28&gt;=Projects!$C$2:$C$45-$B$15)*((28&lt;=Projects!$W$2:$W$45-$B$106)*1+(28&gt;Projects!$W$2:$W$45-$B$106)*(28&lt;=Projects!$W$2:$W$45+$B$17)*$B$107)*((Projects!$B$2:$B$45&gt;=$B$12)*$B$6+(Projects!$B$2:$B$45&lt;$B$12)*(Projects!$B$2:$B$45&gt;=$B$13)*$B$7+(Projects!$B$2:$B$45&lt;$B$13)*$B$8))</f>
        <v>3.29</v>
      </c>
      <c r="AG39" s="386" t="n">
        <f aca="false">SUMPRODUCT((Projects!$G$2:$G$45="Yes")*(29&gt;=Projects!$C$2:$C$45-$B$15)*((29&lt;=Projects!$W$2:$W$45-$B$106)*1+(29&gt;Projects!$W$2:$W$45-$B$106)*(29&lt;=Projects!$W$2:$W$45+$B$17)*$B$107)*((Projects!$B$2:$B$45&gt;=$B$12)*$B$6+(Projects!$B$2:$B$45&lt;$B$12)*(Projects!$B$2:$B$45&gt;=$B$13)*$B$7+(Projects!$B$2:$B$45&lt;$B$13)*$B$8))</f>
        <v>3.29</v>
      </c>
      <c r="AH39" s="386" t="n">
        <f aca="false">SUMPRODUCT((Projects!$G$2:$G$45="Yes")*(30&gt;=Projects!$C$2:$C$45-$B$15)*((30&lt;=Projects!$W$2:$W$45-$B$106)*1+(30&gt;Projects!$W$2:$W$45-$B$106)*(30&lt;=Projects!$W$2:$W$45+$B$17)*$B$107)*((Projects!$B$2:$B$45&gt;=$B$12)*$B$6+(Projects!$B$2:$B$45&lt;$B$12)*(Projects!$B$2:$B$45&gt;=$B$13)*$B$7+(Projects!$B$2:$B$45&lt;$B$13)*$B$8))</f>
        <v>2.8325</v>
      </c>
      <c r="AI39" s="386" t="n">
        <f aca="false">SUMPRODUCT((Projects!$G$2:$G$45="Yes")*(31&gt;=Projects!$C$2:$C$45-$B$15)*((31&lt;=Projects!$W$2:$W$45-$B$106)*1+(31&gt;Projects!$W$2:$W$45-$B$106)*(31&lt;=Projects!$W$2:$W$45+$B$17)*$B$107)*((Projects!$B$2:$B$45&gt;=$B$12)*$B$6+(Projects!$B$2:$B$45&lt;$B$12)*(Projects!$B$2:$B$45&gt;=$B$13)*$B$7+(Projects!$B$2:$B$45&lt;$B$13)*$B$8))</f>
        <v>2.625</v>
      </c>
      <c r="AJ39" s="386" t="n">
        <f aca="false">SUMPRODUCT((Projects!$G$2:$G$45="Yes")*(32&gt;=Projects!$C$2:$C$45-$B$15)*((32&lt;=Projects!$W$2:$W$45-$B$106)*1+(32&gt;Projects!$W$2:$W$45-$B$106)*(32&lt;=Projects!$W$2:$W$45+$B$17)*$B$107)*((Projects!$B$2:$B$45&gt;=$B$12)*$B$6+(Projects!$B$2:$B$45&lt;$B$12)*(Projects!$B$2:$B$45&gt;=$B$13)*$B$7+(Projects!$B$2:$B$45&lt;$B$13)*$B$8))</f>
        <v>2.5</v>
      </c>
      <c r="AK39" s="386" t="n">
        <f aca="false">SUMPRODUCT((Projects!$G$2:$G$45="Yes")*(33&gt;=Projects!$C$2:$C$45-$B$15)*((33&lt;=Projects!$W$2:$W$45-$B$106)*1+(33&gt;Projects!$W$2:$W$45-$B$106)*(33&lt;=Projects!$W$2:$W$45+$B$17)*$B$107)*((Projects!$B$2:$B$45&gt;=$B$12)*$B$6+(Projects!$B$2:$B$45&lt;$B$12)*(Projects!$B$2:$B$45&gt;=$B$13)*$B$7+(Projects!$B$2:$B$45&lt;$B$13)*$B$8))</f>
        <v>2.5</v>
      </c>
      <c r="AL39" s="386" t="n">
        <f aca="false">SUMPRODUCT((Projects!$G$2:$G$45="Yes")*(34&gt;=Projects!$C$2:$C$45-$B$15)*((34&lt;=Projects!$W$2:$W$45-$B$106)*1+(34&gt;Projects!$W$2:$W$45-$B$106)*(34&lt;=Projects!$W$2:$W$45+$B$17)*$B$107)*((Projects!$B$2:$B$45&gt;=$B$12)*$B$6+(Projects!$B$2:$B$45&lt;$B$12)*(Projects!$B$2:$B$45&gt;=$B$13)*$B$7+(Projects!$B$2:$B$45&lt;$B$13)*$B$8))</f>
        <v>2</v>
      </c>
      <c r="AM39" s="386" t="n">
        <f aca="false">SUMPRODUCT((Projects!$G$2:$G$45="Yes")*(35&gt;=Projects!$C$2:$C$45-$B$15)*((35&lt;=Projects!$W$2:$W$45-$B$106)*1+(35&gt;Projects!$W$2:$W$45-$B$106)*(35&lt;=Projects!$W$2:$W$45+$B$17)*$B$107)*((Projects!$B$2:$B$45&gt;=$B$12)*$B$6+(Projects!$B$2:$B$45&lt;$B$12)*(Projects!$B$2:$B$45&gt;=$B$13)*$B$7+(Projects!$B$2:$B$45&lt;$B$13)*$B$8))</f>
        <v>1.875</v>
      </c>
      <c r="AN39" s="386" t="n">
        <f aca="false">SUMPRODUCT((Projects!$G$2:$G$45="Yes")*(36&gt;=Projects!$C$2:$C$45-$B$15)*((36&lt;=Projects!$W$2:$W$45-$B$106)*1+(36&gt;Projects!$W$2:$W$45-$B$106)*(36&lt;=Projects!$W$2:$W$45+$B$17)*$B$107)*((Projects!$B$2:$B$45&gt;=$B$12)*$B$6+(Projects!$B$2:$B$45&lt;$B$12)*(Projects!$B$2:$B$45&gt;=$B$13)*$B$7+(Projects!$B$2:$B$45&lt;$B$13)*$B$8))</f>
        <v>1.75</v>
      </c>
      <c r="AO39" s="386" t="n">
        <f aca="false">SUMPRODUCT((Projects!$G$2:$G$45="Yes")*(37&gt;=Projects!$C$2:$C$45-$B$15)*((37&lt;=Projects!$W$2:$W$45-$B$106)*1+(37&gt;Projects!$W$2:$W$45-$B$106)*(37&lt;=Projects!$W$2:$W$45+$B$17)*$B$107)*((Projects!$B$2:$B$45&gt;=$B$12)*$B$6+(Projects!$B$2:$B$45&lt;$B$12)*(Projects!$B$2:$B$45&gt;=$B$13)*$B$7+(Projects!$B$2:$B$45&lt;$B$13)*$B$8))</f>
        <v>1.75</v>
      </c>
      <c r="AP39" s="386" t="n">
        <f aca="false">SUMPRODUCT((Projects!$G$2:$G$45="Yes")*(38&gt;=Projects!$C$2:$C$45-$B$15)*((38&lt;=Projects!$W$2:$W$45-$B$106)*1+(38&gt;Projects!$W$2:$W$45-$B$106)*(38&lt;=Projects!$W$2:$W$45+$B$17)*$B$107)*((Projects!$B$2:$B$45&gt;=$B$12)*$B$6+(Projects!$B$2:$B$45&lt;$B$12)*(Projects!$B$2:$B$45&gt;=$B$13)*$B$7+(Projects!$B$2:$B$45&lt;$B$13)*$B$8))</f>
        <v>1.5</v>
      </c>
      <c r="AQ39" s="386" t="n">
        <f aca="false">SUMPRODUCT((Projects!$G$2:$G$45="Yes")*(39&gt;=Projects!$C$2:$C$45-$B$15)*((39&lt;=Projects!$W$2:$W$45-$B$106)*1+(39&gt;Projects!$W$2:$W$45-$B$106)*(39&lt;=Projects!$W$2:$W$45+$B$17)*$B$107)*((Projects!$B$2:$B$45&gt;=$B$12)*$B$6+(Projects!$B$2:$B$45&lt;$B$12)*(Projects!$B$2:$B$45&gt;=$B$13)*$B$7+(Projects!$B$2:$B$45&lt;$B$13)*$B$8))</f>
        <v>1.5</v>
      </c>
      <c r="AR39" s="386" t="n">
        <f aca="false">SUMPRODUCT((Projects!$G$2:$G$45="Yes")*(40&gt;=Projects!$C$2:$C$45-$B$15)*((40&lt;=Projects!$W$2:$W$45-$B$106)*1+(40&gt;Projects!$W$2:$W$45-$B$106)*(40&lt;=Projects!$W$2:$W$45+$B$17)*$B$107)*((Projects!$B$2:$B$45&gt;=$B$12)*$B$6+(Projects!$B$2:$B$45&lt;$B$12)*(Projects!$B$2:$B$45&gt;=$B$13)*$B$7+(Projects!$B$2:$B$45&lt;$B$13)*$B$8))</f>
        <v>1.25</v>
      </c>
      <c r="AS39" s="386" t="n">
        <f aca="false">SUMPRODUCT((Projects!$G$2:$G$45="Yes")*(41&gt;=Projects!$C$2:$C$45-$B$15)*((41&lt;=Projects!$W$2:$W$45-$B$106)*1+(41&gt;Projects!$W$2:$W$45-$B$106)*(41&lt;=Projects!$W$2:$W$45+$B$17)*$B$107)*((Projects!$B$2:$B$45&gt;=$B$12)*$B$6+(Projects!$B$2:$B$45&lt;$B$12)*(Projects!$B$2:$B$45&gt;=$B$13)*$B$7+(Projects!$B$2:$B$45&lt;$B$13)*$B$8))</f>
        <v>1</v>
      </c>
      <c r="AT39" s="386" t="n">
        <f aca="false">SUMPRODUCT((Projects!$G$2:$G$45="Yes")*(42&gt;=Projects!$C$2:$C$45-$B$15)*((42&lt;=Projects!$W$2:$W$45-$B$106)*1+(42&gt;Projects!$W$2:$W$45-$B$106)*(42&lt;=Projects!$W$2:$W$45+$B$17)*$B$107)*((Projects!$B$2:$B$45&gt;=$B$12)*$B$6+(Projects!$B$2:$B$45&lt;$B$12)*(Projects!$B$2:$B$45&gt;=$B$13)*$B$7+(Projects!$B$2:$B$45&lt;$B$13)*$B$8))</f>
        <v>1</v>
      </c>
      <c r="AU39" s="386" t="n">
        <f aca="false">SUMPRODUCT((Projects!$G$2:$G$45="Yes")*(43&gt;=Projects!$C$2:$C$45-$B$15)*((43&lt;=Projects!$W$2:$W$45-$B$106)*1+(43&gt;Projects!$W$2:$W$45-$B$106)*(43&lt;=Projects!$W$2:$W$45+$B$17)*$B$107)*((Projects!$B$2:$B$45&gt;=$B$12)*$B$6+(Projects!$B$2:$B$45&lt;$B$12)*(Projects!$B$2:$B$45&gt;=$B$13)*$B$7+(Projects!$B$2:$B$45&lt;$B$13)*$B$8))</f>
        <v>1</v>
      </c>
      <c r="AV39" s="386" t="n">
        <f aca="false">SUMPRODUCT((Projects!$G$2:$G$45="Yes")*(44&gt;=Projects!$C$2:$C$45-$B$15)*((44&lt;=Projects!$W$2:$W$45-$B$106)*1+(44&gt;Projects!$W$2:$W$45-$B$106)*(44&lt;=Projects!$W$2:$W$45+$B$17)*$B$107)*((Projects!$B$2:$B$45&gt;=$B$12)*$B$6+(Projects!$B$2:$B$45&lt;$B$12)*(Projects!$B$2:$B$45&gt;=$B$13)*$B$7+(Projects!$B$2:$B$45&lt;$B$13)*$B$8))</f>
        <v>0.75</v>
      </c>
      <c r="AW39" s="386" t="n">
        <f aca="false">SUMPRODUCT((Projects!$G$2:$G$45="Yes")*(45&gt;=Projects!$C$2:$C$45-$B$15)*((45&lt;=Projects!$W$2:$W$45-$B$106)*1+(45&gt;Projects!$W$2:$W$45-$B$106)*(45&lt;=Projects!$W$2:$W$45+$B$17)*$B$107)*((Projects!$B$2:$B$45&gt;=$B$12)*$B$6+(Projects!$B$2:$B$45&lt;$B$12)*(Projects!$B$2:$B$45&gt;=$B$13)*$B$7+(Projects!$B$2:$B$45&lt;$B$13)*$B$8))</f>
        <v>0.5</v>
      </c>
      <c r="AX39" s="386" t="n">
        <f aca="false">SUMPRODUCT((Projects!$G$2:$G$45="Yes")*(46&gt;=Projects!$C$2:$C$45-$B$15)*((46&lt;=Projects!$W$2:$W$45-$B$106)*1+(46&gt;Projects!$W$2:$W$45-$B$106)*(46&lt;=Projects!$W$2:$W$45+$B$17)*$B$107)*((Projects!$B$2:$B$45&gt;=$B$12)*$B$6+(Projects!$B$2:$B$45&lt;$B$12)*(Projects!$B$2:$B$45&gt;=$B$13)*$B$7+(Projects!$B$2:$B$45&lt;$B$13)*$B$8))</f>
        <v>0.5</v>
      </c>
      <c r="AY39" s="386" t="n">
        <f aca="false">SUMPRODUCT((Projects!$G$2:$G$45="Yes")*(47&gt;=Projects!$C$2:$C$45-$B$15)*((47&lt;=Projects!$W$2:$W$45-$B$106)*1+(47&gt;Projects!$W$2:$W$45-$B$106)*(47&lt;=Projects!$W$2:$W$45+$B$17)*$B$107)*((Projects!$B$2:$B$45&gt;=$B$12)*$B$6+(Projects!$B$2:$B$45&lt;$B$12)*(Projects!$B$2:$B$45&gt;=$B$13)*$B$7+(Projects!$B$2:$B$45&lt;$B$13)*$B$8))</f>
        <v>0.5</v>
      </c>
      <c r="AZ39" s="386" t="n">
        <f aca="false">SUMPRODUCT((Projects!$G$2:$G$45="Yes")*(48&gt;=Projects!$C$2:$C$45-$B$15)*((48&lt;=Projects!$W$2:$W$45-$B$106)*1+(48&gt;Projects!$W$2:$W$45-$B$106)*(48&lt;=Projects!$W$2:$W$45+$B$17)*$B$107)*((Projects!$B$2:$B$45&gt;=$B$12)*$B$6+(Projects!$B$2:$B$45&lt;$B$12)*(Projects!$B$2:$B$45&gt;=$B$13)*$B$7+(Projects!$B$2:$B$45&lt;$B$13)*$B$8))</f>
        <v>0.5</v>
      </c>
      <c r="BA39" s="386" t="n">
        <f aca="false">SUMPRODUCT((Projects!$G$2:$G$45="Yes")*(49&gt;=Projects!$C$2:$C$45-$B$15)*((49&lt;=Projects!$W$2:$W$45-$B$106)*1+(49&gt;Projects!$W$2:$W$45-$B$106)*(49&lt;=Projects!$W$2:$W$45+$B$17)*$B$107)*((Projects!$B$2:$B$45&gt;=$B$12)*$B$6+(Projects!$B$2:$B$45&lt;$B$12)*(Projects!$B$2:$B$45&gt;=$B$13)*$B$7+(Projects!$B$2:$B$45&lt;$B$13)*$B$8))</f>
        <v>0.5</v>
      </c>
      <c r="BB39" s="386" t="n">
        <f aca="false">SUMPRODUCT((Projects!$G$2:$G$45="Yes")*(50&gt;=Projects!$C$2:$C$45-$B$15)*((50&lt;=Projects!$W$2:$W$45-$B$106)*1+(50&gt;Projects!$W$2:$W$45-$B$106)*(50&lt;=Projects!$W$2:$W$45+$B$17)*$B$107)*((Projects!$B$2:$B$45&gt;=$B$12)*$B$6+(Projects!$B$2:$B$45&lt;$B$12)*(Projects!$B$2:$B$45&gt;=$B$13)*$B$7+(Projects!$B$2:$B$45&lt;$B$13)*$B$8))</f>
        <v>0.5</v>
      </c>
      <c r="BC39" s="386" t="n">
        <f aca="false">SUMPRODUCT((Projects!$G$2:$G$45="Yes")*(51&gt;=Projects!$C$2:$C$45-$B$15)*((51&lt;=Projects!$W$2:$W$45-$B$106)*1+(51&gt;Projects!$W$2:$W$45-$B$106)*(51&lt;=Projects!$W$2:$W$45+$B$17)*$B$107)*((Projects!$B$2:$B$45&gt;=$B$12)*$B$6+(Projects!$B$2:$B$45&lt;$B$12)*(Projects!$B$2:$B$45&gt;=$B$13)*$B$7+(Projects!$B$2:$B$45&lt;$B$13)*$B$8))</f>
        <v>0.5</v>
      </c>
      <c r="BD39" s="386" t="n">
        <f aca="false">SUMPRODUCT((Projects!$G$2:$G$45="Yes")*(52&gt;=Projects!$C$2:$C$45-$B$15)*((52&lt;=Projects!$W$2:$W$45-$B$106)*1+(52&gt;Projects!$W$2:$W$45-$B$106)*(52&lt;=Projects!$W$2:$W$45+$B$17)*$B$107)*((Projects!$B$2:$B$45&gt;=$B$12)*$B$6+(Projects!$B$2:$B$45&lt;$B$12)*(Projects!$B$2:$B$45&gt;=$B$13)*$B$7+(Projects!$B$2:$B$45&lt;$B$13)*$B$8))</f>
        <v>0.5</v>
      </c>
      <c r="BE39" s="386" t="n">
        <f aca="false">SUMPRODUCT((Projects!$G$2:$G$45="Yes")*(53&gt;=Projects!$C$2:$C$45-$B$15)*((53&lt;=Projects!$W$2:$W$45-$B$106)*1+(53&gt;Projects!$W$2:$W$45-$B$106)*(53&lt;=Projects!$W$2:$W$45+$B$17)*$B$107)*((Projects!$B$2:$B$45&gt;=$B$12)*$B$6+(Projects!$B$2:$B$45&lt;$B$12)*(Projects!$B$2:$B$45&gt;=$B$13)*$B$7+(Projects!$B$2:$B$45&lt;$B$13)*$B$8))</f>
        <v>0.5</v>
      </c>
      <c r="BF39" s="386" t="n">
        <f aca="false">SUMPRODUCT((Projects!$G$2:$G$45="Yes")*(54&gt;=Projects!$C$2:$C$45-$B$15)*((54&lt;=Projects!$W$2:$W$45-$B$106)*1+(54&gt;Projects!$W$2:$W$45-$B$106)*(54&lt;=Projects!$W$2:$W$45+$B$17)*$B$107)*((Projects!$B$2:$B$45&gt;=$B$12)*$B$6+(Projects!$B$2:$B$45&lt;$B$12)*(Projects!$B$2:$B$45&gt;=$B$13)*$B$7+(Projects!$B$2:$B$45&lt;$B$13)*$B$8))</f>
        <v>0.25</v>
      </c>
      <c r="BG39" s="386" t="n">
        <f aca="false">SUMPRODUCT((Projects!$G$2:$G$45="Yes")*(55&gt;=Projects!$C$2:$C$45-$B$15)*((55&lt;=Projects!$W$2:$W$45-$B$106)*1+(55&gt;Projects!$W$2:$W$45-$B$106)*(55&lt;=Projects!$W$2:$W$45+$B$17)*$B$107)*((Projects!$B$2:$B$45&gt;=$B$12)*$B$6+(Projects!$B$2:$B$45&lt;$B$12)*(Projects!$B$2:$B$45&gt;=$B$13)*$B$7+(Projects!$B$2:$B$45&lt;$B$13)*$B$8))</f>
        <v>0.25</v>
      </c>
      <c r="BH39" s="386" t="n">
        <f aca="false">SUMPRODUCT((Projects!$G$2:$G$45="Yes")*(56&gt;=Projects!$C$2:$C$45-$B$15)*((56&lt;=Projects!$W$2:$W$45-$B$106)*1+(56&gt;Projects!$W$2:$W$45-$B$106)*(56&lt;=Projects!$W$2:$W$45+$B$17)*$B$107)*((Projects!$B$2:$B$45&gt;=$B$12)*$B$6+(Projects!$B$2:$B$45&lt;$B$12)*(Projects!$B$2:$B$45&gt;=$B$13)*$B$7+(Projects!$B$2:$B$45&lt;$B$13)*$B$8))</f>
        <v>0.25</v>
      </c>
      <c r="BI39" s="386" t="n">
        <f aca="false">SUMPRODUCT((Projects!$G$2:$G$45="Yes")*(57&gt;=Projects!$C$2:$C$45-$B$15)*((57&lt;=Projects!$W$2:$W$45-$B$106)*1+(57&gt;Projects!$W$2:$W$45-$B$106)*(57&lt;=Projects!$W$2:$W$45+$B$17)*$B$107)*((Projects!$B$2:$B$45&gt;=$B$12)*$B$6+(Projects!$B$2:$B$45&lt;$B$12)*(Projects!$B$2:$B$45&gt;=$B$13)*$B$7+(Projects!$B$2:$B$45&lt;$B$13)*$B$8))</f>
        <v>0.25</v>
      </c>
      <c r="BJ39" s="386" t="n">
        <f aca="false">SUMPRODUCT((Projects!$G$2:$G$45="Yes")*(58&gt;=Projects!$C$2:$C$45-$B$15)*((58&lt;=Projects!$W$2:$W$45-$B$106)*1+(58&gt;Projects!$W$2:$W$45-$B$106)*(58&lt;=Projects!$W$2:$W$45+$B$17)*$B$107)*((Projects!$B$2:$B$45&gt;=$B$12)*$B$6+(Projects!$B$2:$B$45&lt;$B$12)*(Projects!$B$2:$B$45&gt;=$B$13)*$B$7+(Projects!$B$2:$B$45&lt;$B$13)*$B$8))</f>
        <v>0</v>
      </c>
      <c r="BK39" s="386" t="n">
        <f aca="false">SUMPRODUCT((Projects!$G$2:$G$45="Yes")*(59&gt;=Projects!$C$2:$C$45-$B$15)*((59&lt;=Projects!$W$2:$W$45-$B$106)*1+(59&gt;Projects!$W$2:$W$45-$B$106)*(59&lt;=Projects!$W$2:$W$45+$B$17)*$B$107)*((Projects!$B$2:$B$45&gt;=$B$12)*$B$6+(Projects!$B$2:$B$45&lt;$B$12)*(Projects!$B$2:$B$45&gt;=$B$13)*$B$7+(Projects!$B$2:$B$45&lt;$B$13)*$B$8))</f>
        <v>0</v>
      </c>
      <c r="BL39" s="386" t="n">
        <f aca="false">SUMPRODUCT((Projects!$G$2:$G$45="Yes")*(60&gt;=Projects!$C$2:$C$45-$B$15)*((60&lt;=Projects!$W$2:$W$45-$B$106)*1+(60&gt;Projects!$W$2:$W$45-$B$106)*(60&lt;=Projects!$W$2:$W$45+$B$17)*$B$107)*((Projects!$B$2:$B$45&gt;=$B$12)*$B$6+(Projects!$B$2:$B$45&lt;$B$12)*(Projects!$B$2:$B$45&gt;=$B$13)*$B$7+(Projects!$B$2:$B$45&lt;$B$13)*$B$8))</f>
        <v>0</v>
      </c>
      <c r="BM39" s="386" t="n">
        <f aca="false">SUMPRODUCT((Projects!$G$2:$G$45="Yes")*(61&gt;=Projects!$C$2:$C$45-$B$15)*((61&lt;=Projects!$W$2:$W$45-$B$106)*1+(61&gt;Projects!$W$2:$W$45-$B$106)*(61&lt;=Projects!$W$2:$W$45+$B$17)*$B$107)*((Projects!$B$2:$B$45&gt;=$B$12)*$B$6+(Projects!$B$2:$B$45&lt;$B$12)*(Projects!$B$2:$B$45&gt;=$B$13)*$B$7+(Projects!$B$2:$B$45&lt;$B$13)*$B$8))</f>
        <v>0</v>
      </c>
      <c r="BN39" s="386" t="n">
        <f aca="false">SUMPRODUCT((Projects!$G$2:$G$45="Yes")*(62&gt;=Projects!$C$2:$C$45-$B$15)*((62&lt;=Projects!$W$2:$W$45-$B$106)*1+(62&gt;Projects!$W$2:$W$45-$B$106)*(62&lt;=Projects!$W$2:$W$45+$B$17)*$B$107)*((Projects!$B$2:$B$45&gt;=$B$12)*$B$6+(Projects!$B$2:$B$45&lt;$B$12)*(Projects!$B$2:$B$45&gt;=$B$13)*$B$7+(Projects!$B$2:$B$45&lt;$B$13)*$B$8))</f>
        <v>0</v>
      </c>
      <c r="BO39" s="386" t="n">
        <f aca="false">SUMPRODUCT((Projects!$G$2:$G$45="Yes")*(63&gt;=Projects!$C$2:$C$45-$B$15)*((63&lt;=Projects!$W$2:$W$45-$B$106)*1+(63&gt;Projects!$W$2:$W$45-$B$106)*(63&lt;=Projects!$W$2:$W$45+$B$17)*$B$107)*((Projects!$B$2:$B$45&gt;=$B$12)*$B$6+(Projects!$B$2:$B$45&lt;$B$12)*(Projects!$B$2:$B$45&gt;=$B$13)*$B$7+(Projects!$B$2:$B$45&lt;$B$13)*$B$8))</f>
        <v>0</v>
      </c>
      <c r="BP39" s="386" t="n">
        <f aca="false">SUMPRODUCT((Projects!$G$2:$G$45="Yes")*(64&gt;=Projects!$C$2:$C$45-$B$15)*((64&lt;=Projects!$W$2:$W$45-$B$106)*1+(64&gt;Projects!$W$2:$W$45-$B$106)*(64&lt;=Projects!$W$2:$W$45+$B$17)*$B$107)*((Projects!$B$2:$B$45&gt;=$B$12)*$B$6+(Projects!$B$2:$B$45&lt;$B$12)*(Projects!$B$2:$B$45&gt;=$B$13)*$B$7+(Projects!$B$2:$B$45&lt;$B$13)*$B$8))</f>
        <v>0</v>
      </c>
      <c r="BQ39" s="386" t="n">
        <f aca="false">SUMPRODUCT((Projects!$G$2:$G$45="Yes")*(65&gt;=Projects!$C$2:$C$45-$B$15)*((65&lt;=Projects!$W$2:$W$45-$B$106)*1+(65&gt;Projects!$W$2:$W$45-$B$106)*(65&lt;=Projects!$W$2:$W$45+$B$17)*$B$107)*((Projects!$B$2:$B$45&gt;=$B$12)*$B$6+(Projects!$B$2:$B$45&lt;$B$12)*(Projects!$B$2:$B$45&gt;=$B$13)*$B$7+(Projects!$B$2:$B$45&lt;$B$13)*$B$8))</f>
        <v>0</v>
      </c>
      <c r="BR39" s="386" t="n">
        <f aca="false">SUMPRODUCT((Projects!$G$2:$G$45="Yes")*(66&gt;=Projects!$C$2:$C$45-$B$15)*((66&lt;=Projects!$W$2:$W$45-$B$106)*1+(66&gt;Projects!$W$2:$W$45-$B$106)*(66&lt;=Projects!$W$2:$W$45+$B$17)*$B$107)*((Projects!$B$2:$B$45&gt;=$B$12)*$B$6+(Projects!$B$2:$B$45&lt;$B$12)*(Projects!$B$2:$B$45&gt;=$B$13)*$B$7+(Projects!$B$2:$B$45&lt;$B$13)*$B$8))</f>
        <v>0</v>
      </c>
      <c r="BS39" s="386" t="n">
        <f aca="false">SUMPRODUCT((Projects!$G$2:$G$45="Yes")*(67&gt;=Projects!$C$2:$C$45-$B$15)*((67&lt;=Projects!$W$2:$W$45-$B$106)*1+(67&gt;Projects!$W$2:$W$45-$B$106)*(67&lt;=Projects!$W$2:$W$45+$B$17)*$B$107)*((Projects!$B$2:$B$45&gt;=$B$12)*$B$6+(Projects!$B$2:$B$45&lt;$B$12)*(Projects!$B$2:$B$45&gt;=$B$13)*$B$7+(Projects!$B$2:$B$45&lt;$B$13)*$B$8))</f>
        <v>0</v>
      </c>
      <c r="BT39" s="386" t="n">
        <f aca="false">SUMPRODUCT((Projects!$G$2:$G$45="Yes")*(68&gt;=Projects!$C$2:$C$45-$B$15)*((68&lt;=Projects!$W$2:$W$45-$B$106)*1+(68&gt;Projects!$W$2:$W$45-$B$106)*(68&lt;=Projects!$W$2:$W$45+$B$17)*$B$107)*((Projects!$B$2:$B$45&gt;=$B$12)*$B$6+(Projects!$B$2:$B$45&lt;$B$12)*(Projects!$B$2:$B$45&gt;=$B$13)*$B$7+(Projects!$B$2:$B$45&lt;$B$13)*$B$8))</f>
        <v>0</v>
      </c>
      <c r="BU39" s="386" t="n">
        <f aca="false">SUMPRODUCT((Projects!$G$2:$G$45="Yes")*(69&gt;=Projects!$C$2:$C$45-$B$15)*((69&lt;=Projects!$W$2:$W$45-$B$106)*1+(69&gt;Projects!$W$2:$W$45-$B$106)*(69&lt;=Projects!$W$2:$W$45+$B$17)*$B$107)*((Projects!$B$2:$B$45&gt;=$B$12)*$B$6+(Projects!$B$2:$B$45&lt;$B$12)*(Projects!$B$2:$B$45&gt;=$B$13)*$B$7+(Projects!$B$2:$B$45&lt;$B$13)*$B$8))</f>
        <v>0</v>
      </c>
      <c r="BV39" s="386" t="n">
        <f aca="false">SUMPRODUCT((Projects!$G$2:$G$45="Yes")*(70&gt;=Projects!$C$2:$C$45-$B$15)*((70&lt;=Projects!$W$2:$W$45-$B$106)*1+(70&gt;Projects!$W$2:$W$45-$B$106)*(70&lt;=Projects!$W$2:$W$45+$B$17)*$B$107)*((Projects!$B$2:$B$45&gt;=$B$12)*$B$6+(Projects!$B$2:$B$45&lt;$B$12)*(Projects!$B$2:$B$45&gt;=$B$13)*$B$7+(Projects!$B$2:$B$45&lt;$B$13)*$B$8))</f>
        <v>0</v>
      </c>
      <c r="BW39" s="386" t="n">
        <f aca="false">SUMPRODUCT((Projects!$G$2:$G$45="Yes")*(71&gt;=Projects!$C$2:$C$45-$B$15)*((71&lt;=Projects!$W$2:$W$45-$B$106)*1+(71&gt;Projects!$W$2:$W$45-$B$106)*(71&lt;=Projects!$W$2:$W$45+$B$17)*$B$107)*((Projects!$B$2:$B$45&gt;=$B$12)*$B$6+(Projects!$B$2:$B$45&lt;$B$12)*(Projects!$B$2:$B$45&gt;=$B$13)*$B$7+(Projects!$B$2:$B$45&lt;$B$13)*$B$8))</f>
        <v>0</v>
      </c>
      <c r="BX39" s="386" t="n">
        <f aca="false">SUMPRODUCT((Projects!$G$2:$G$45="Yes")*(72&gt;=Projects!$C$2:$C$45-$B$15)*((72&lt;=Projects!$W$2:$W$45-$B$106)*1+(72&gt;Projects!$W$2:$W$45-$B$106)*(72&lt;=Projects!$W$2:$W$45+$B$17)*$B$107)*((Projects!$B$2:$B$45&gt;=$B$12)*$B$6+(Projects!$B$2:$B$45&lt;$B$12)*(Projects!$B$2:$B$45&gt;=$B$13)*$B$7+(Projects!$B$2:$B$45&lt;$B$13)*$B$8))</f>
        <v>0</v>
      </c>
      <c r="BY39" s="386" t="n">
        <f aca="false">SUMPRODUCT((Projects!$G$2:$G$45="Yes")*(73&gt;=Projects!$C$2:$C$45-$B$15)*((73&lt;=Projects!$W$2:$W$45-$B$106)*1+(73&gt;Projects!$W$2:$W$45-$B$106)*(73&lt;=Projects!$W$2:$W$45+$B$17)*$B$107)*((Projects!$B$2:$B$45&gt;=$B$12)*$B$6+(Projects!$B$2:$B$45&lt;$B$12)*(Projects!$B$2:$B$45&gt;=$B$13)*$B$7+(Projects!$B$2:$B$45&lt;$B$13)*$B$8))</f>
        <v>0</v>
      </c>
      <c r="BZ39" s="386" t="n">
        <f aca="false">SUMPRODUCT((Projects!$G$2:$G$45="Yes")*(74&gt;=Projects!$C$2:$C$45-$B$15)*((74&lt;=Projects!$W$2:$W$45-$B$106)*1+(74&gt;Projects!$W$2:$W$45-$B$106)*(74&lt;=Projects!$W$2:$W$45+$B$17)*$B$107)*((Projects!$B$2:$B$45&gt;=$B$12)*$B$6+(Projects!$B$2:$B$45&lt;$B$12)*(Projects!$B$2:$B$45&gt;=$B$13)*$B$7+(Projects!$B$2:$B$45&lt;$B$13)*$B$8))</f>
        <v>0</v>
      </c>
      <c r="CA39" s="386" t="n">
        <f aca="false">SUMPRODUCT((Projects!$G$2:$G$45="Yes")*(75&gt;=Projects!$C$2:$C$45-$B$15)*((75&lt;=Projects!$W$2:$W$45-$B$106)*1+(75&gt;Projects!$W$2:$W$45-$B$106)*(75&lt;=Projects!$W$2:$W$45+$B$17)*$B$107)*((Projects!$B$2:$B$45&gt;=$B$12)*$B$6+(Projects!$B$2:$B$45&lt;$B$12)*(Projects!$B$2:$B$45&gt;=$B$13)*$B$7+(Projects!$B$2:$B$45&lt;$B$13)*$B$8))</f>
        <v>0</v>
      </c>
      <c r="CB39" s="386" t="n">
        <f aca="false">SUMPRODUCT((Projects!$G$2:$G$45="Yes")*(76&gt;=Projects!$C$2:$C$45-$B$15)*((76&lt;=Projects!$W$2:$W$45-$B$106)*1+(76&gt;Projects!$W$2:$W$45-$B$106)*(76&lt;=Projects!$W$2:$W$45+$B$17)*$B$107)*((Projects!$B$2:$B$45&gt;=$B$12)*$B$6+(Projects!$B$2:$B$45&lt;$B$12)*(Projects!$B$2:$B$45&gt;=$B$13)*$B$7+(Projects!$B$2:$B$45&lt;$B$13)*$B$8))</f>
        <v>0</v>
      </c>
      <c r="CC39" s="386" t="n">
        <f aca="false">SUMPRODUCT((Projects!$G$2:$G$45="Yes")*(77&gt;=Projects!$C$2:$C$45-$B$15)*((77&lt;=Projects!$W$2:$W$45-$B$106)*1+(77&gt;Projects!$W$2:$W$45-$B$106)*(77&lt;=Projects!$W$2:$W$45+$B$17)*$B$107)*((Projects!$B$2:$B$45&gt;=$B$12)*$B$6+(Projects!$B$2:$B$45&lt;$B$12)*(Projects!$B$2:$B$45&gt;=$B$13)*$B$7+(Projects!$B$2:$B$45&lt;$B$13)*$B$8))</f>
        <v>0</v>
      </c>
      <c r="CD39" s="386" t="n">
        <f aca="false">SUMPRODUCT((Projects!$G$2:$G$45="Yes")*(78&gt;=Projects!$C$2:$C$45-$B$15)*((78&lt;=Projects!$W$2:$W$45-$B$106)*1+(78&gt;Projects!$W$2:$W$45-$B$106)*(78&lt;=Projects!$W$2:$W$45+$B$17)*$B$107)*((Projects!$B$2:$B$45&gt;=$B$12)*$B$6+(Projects!$B$2:$B$45&lt;$B$12)*(Projects!$B$2:$B$45&gt;=$B$13)*$B$7+(Projects!$B$2:$B$45&lt;$B$13)*$B$8))</f>
        <v>0</v>
      </c>
      <c r="CE39" s="386" t="n">
        <f aca="false">SUMPRODUCT((Projects!$G$2:$G$45="Yes")*(79&gt;=Projects!$C$2:$C$45-$B$15)*((79&lt;=Projects!$W$2:$W$45-$B$106)*1+(79&gt;Projects!$W$2:$W$45-$B$106)*(79&lt;=Projects!$W$2:$W$45+$B$17)*$B$107)*((Projects!$B$2:$B$45&gt;=$B$12)*$B$6+(Projects!$B$2:$B$45&lt;$B$12)*(Projects!$B$2:$B$45&gt;=$B$13)*$B$7+(Projects!$B$2:$B$45&lt;$B$13)*$B$8))</f>
        <v>0</v>
      </c>
      <c r="CF39" s="386" t="n">
        <f aca="false">SUMPRODUCT((Projects!$G$2:$G$45="Yes")*(80&gt;=Projects!$C$2:$C$45-$B$15)*((80&lt;=Projects!$W$2:$W$45-$B$106)*1+(80&gt;Projects!$W$2:$W$45-$B$106)*(80&lt;=Projects!$W$2:$W$45+$B$17)*$B$107)*((Projects!$B$2:$B$45&gt;=$B$12)*$B$6+(Projects!$B$2:$B$45&lt;$B$12)*(Projects!$B$2:$B$45&gt;=$B$13)*$B$7+(Projects!$B$2:$B$45&lt;$B$13)*$B$8))</f>
        <v>0</v>
      </c>
      <c r="CG39" s="386" t="n">
        <f aca="false">SUMPRODUCT((Projects!$G$2:$G$45="Yes")*(81&gt;=Projects!$C$2:$C$45-$B$15)*((81&lt;=Projects!$W$2:$W$45-$B$106)*1+(81&gt;Projects!$W$2:$W$45-$B$106)*(81&lt;=Projects!$W$2:$W$45+$B$17)*$B$107)*((Projects!$B$2:$B$45&gt;=$B$12)*$B$6+(Projects!$B$2:$B$45&lt;$B$12)*(Projects!$B$2:$B$45&gt;=$B$13)*$B$7+(Projects!$B$2:$B$45&lt;$B$13)*$B$8))</f>
        <v>0</v>
      </c>
      <c r="CH39" s="386" t="n">
        <f aca="false">SUMPRODUCT((Projects!$G$2:$G$45="Yes")*(82&gt;=Projects!$C$2:$C$45-$B$15)*((82&lt;=Projects!$W$2:$W$45-$B$106)*1+(82&gt;Projects!$W$2:$W$45-$B$106)*(82&lt;=Projects!$W$2:$W$45+$B$17)*$B$107)*((Projects!$B$2:$B$45&gt;=$B$12)*$B$6+(Projects!$B$2:$B$45&lt;$B$12)*(Projects!$B$2:$B$45&gt;=$B$13)*$B$7+(Projects!$B$2:$B$45&lt;$B$13)*$B$8))</f>
        <v>0</v>
      </c>
      <c r="CI39" s="386" t="n">
        <f aca="false">SUMPRODUCT((Projects!$G$2:$G$45="Yes")*(83&gt;=Projects!$C$2:$C$45-$B$15)*((83&lt;=Projects!$W$2:$W$45-$B$106)*1+(83&gt;Projects!$W$2:$W$45-$B$106)*(83&lt;=Projects!$W$2:$W$45+$B$17)*$B$107)*((Projects!$B$2:$B$45&gt;=$B$12)*$B$6+(Projects!$B$2:$B$45&lt;$B$12)*(Projects!$B$2:$B$45&gt;=$B$13)*$B$7+(Projects!$B$2:$B$45&lt;$B$13)*$B$8))</f>
        <v>0</v>
      </c>
      <c r="CJ39" s="386" t="n">
        <f aca="false">SUMPRODUCT((Projects!$G$2:$G$45="Yes")*(84&gt;=Projects!$C$2:$C$45-$B$15)*((84&lt;=Projects!$W$2:$W$45-$B$106)*1+(84&gt;Projects!$W$2:$W$45-$B$106)*(84&lt;=Projects!$W$2:$W$45+$B$17)*$B$107)*((Projects!$B$2:$B$45&gt;=$B$12)*$B$6+(Projects!$B$2:$B$45&lt;$B$12)*(Projects!$B$2:$B$45&gt;=$B$13)*$B$7+(Projects!$B$2:$B$45&lt;$B$13)*$B$8))</f>
        <v>0</v>
      </c>
      <c r="CK39" s="386" t="n">
        <f aca="false">SUMPRODUCT((Projects!$G$2:$G$45="Yes")*(85&gt;=Projects!$C$2:$C$45-$B$15)*((85&lt;=Projects!$W$2:$W$45-$B$106)*1+(85&gt;Projects!$W$2:$W$45-$B$106)*(85&lt;=Projects!$W$2:$W$45+$B$17)*$B$107)*((Projects!$B$2:$B$45&gt;=$B$12)*$B$6+(Projects!$B$2:$B$45&lt;$B$12)*(Projects!$B$2:$B$45&gt;=$B$13)*$B$7+(Projects!$B$2:$B$45&lt;$B$13)*$B$8))</f>
        <v>0</v>
      </c>
      <c r="CL39" s="386" t="n">
        <f aca="false">SUMPRODUCT((Projects!$G$2:$G$45="Yes")*(86&gt;=Projects!$C$2:$C$45-$B$15)*((86&lt;=Projects!$W$2:$W$45-$B$106)*1+(86&gt;Projects!$W$2:$W$45-$B$106)*(86&lt;=Projects!$W$2:$W$45+$B$17)*$B$107)*((Projects!$B$2:$B$45&gt;=$B$12)*$B$6+(Projects!$B$2:$B$45&lt;$B$12)*(Projects!$B$2:$B$45&gt;=$B$13)*$B$7+(Projects!$B$2:$B$45&lt;$B$13)*$B$8))</f>
        <v>0</v>
      </c>
      <c r="CM39" s="386" t="n">
        <f aca="false">SUMPRODUCT((Projects!$G$2:$G$45="Yes")*(87&gt;=Projects!$C$2:$C$45-$B$15)*((87&lt;=Projects!$W$2:$W$45-$B$106)*1+(87&gt;Projects!$W$2:$W$45-$B$106)*(87&lt;=Projects!$W$2:$W$45+$B$17)*$B$107)*((Projects!$B$2:$B$45&gt;=$B$12)*$B$6+(Projects!$B$2:$B$45&lt;$B$12)*(Projects!$B$2:$B$45&gt;=$B$13)*$B$7+(Projects!$B$2:$B$45&lt;$B$13)*$B$8))</f>
        <v>0</v>
      </c>
      <c r="CN39" s="386" t="n">
        <f aca="false">SUMPRODUCT((Projects!$G$2:$G$45="Yes")*(88&gt;=Projects!$C$2:$C$45-$B$15)*((88&lt;=Projects!$W$2:$W$45-$B$106)*1+(88&gt;Projects!$W$2:$W$45-$B$106)*(88&lt;=Projects!$W$2:$W$45+$B$17)*$B$107)*((Projects!$B$2:$B$45&gt;=$B$12)*$B$6+(Projects!$B$2:$B$45&lt;$B$12)*(Projects!$B$2:$B$45&gt;=$B$13)*$B$7+(Projects!$B$2:$B$45&lt;$B$13)*$B$8))</f>
        <v>0</v>
      </c>
      <c r="CO39" s="386" t="n">
        <f aca="false">SUMPRODUCT((Projects!$G$2:$G$45="Yes")*(89&gt;=Projects!$C$2:$C$45-$B$15)*((89&lt;=Projects!$W$2:$W$45-$B$106)*1+(89&gt;Projects!$W$2:$W$45-$B$106)*(89&lt;=Projects!$W$2:$W$45+$B$17)*$B$107)*((Projects!$B$2:$B$45&gt;=$B$12)*$B$6+(Projects!$B$2:$B$45&lt;$B$12)*(Projects!$B$2:$B$45&gt;=$B$13)*$B$7+(Projects!$B$2:$B$45&lt;$B$13)*$B$8))</f>
        <v>0</v>
      </c>
      <c r="CP39" s="386" t="n">
        <f aca="false">SUMPRODUCT((Projects!$G$2:$G$45="Yes")*(90&gt;=Projects!$C$2:$C$45-$B$15)*((90&lt;=Projects!$W$2:$W$45-$B$106)*1+(90&gt;Projects!$W$2:$W$45-$B$106)*(90&lt;=Projects!$W$2:$W$45+$B$17)*$B$107)*((Projects!$B$2:$B$45&gt;=$B$12)*$B$6+(Projects!$B$2:$B$45&lt;$B$12)*(Projects!$B$2:$B$45&gt;=$B$13)*$B$7+(Projects!$B$2:$B$45&lt;$B$13)*$B$8))</f>
        <v>0</v>
      </c>
      <c r="CQ39" s="386" t="n">
        <f aca="false">SUMPRODUCT((Projects!$G$2:$G$45="Yes")*(91&gt;=Projects!$C$2:$C$45-$B$15)*((91&lt;=Projects!$W$2:$W$45-$B$106)*1+(91&gt;Projects!$W$2:$W$45-$B$106)*(91&lt;=Projects!$W$2:$W$45+$B$17)*$B$107)*((Projects!$B$2:$B$45&gt;=$B$12)*$B$6+(Projects!$B$2:$B$45&lt;$B$12)*(Projects!$B$2:$B$45&gt;=$B$13)*$B$7+(Projects!$B$2:$B$45&lt;$B$13)*$B$8))</f>
        <v>0</v>
      </c>
      <c r="CR39" s="386" t="n">
        <f aca="false">SUMPRODUCT((Projects!$G$2:$G$45="Yes")*(92&gt;=Projects!$C$2:$C$45-$B$15)*((92&lt;=Projects!$W$2:$W$45-$B$106)*1+(92&gt;Projects!$W$2:$W$45-$B$106)*(92&lt;=Projects!$W$2:$W$45+$B$17)*$B$107)*((Projects!$B$2:$B$45&gt;=$B$12)*$B$6+(Projects!$B$2:$B$45&lt;$B$12)*(Projects!$B$2:$B$45&gt;=$B$13)*$B$7+(Projects!$B$2:$B$45&lt;$B$13)*$B$8))</f>
        <v>0</v>
      </c>
      <c r="CS39" s="386" t="n">
        <f aca="false">SUMPRODUCT((Projects!$G$2:$G$45="Yes")*(93&gt;=Projects!$C$2:$C$45-$B$15)*((93&lt;=Projects!$W$2:$W$45-$B$106)*1+(93&gt;Projects!$W$2:$W$45-$B$106)*(93&lt;=Projects!$W$2:$W$45+$B$17)*$B$107)*((Projects!$B$2:$B$45&gt;=$B$12)*$B$6+(Projects!$B$2:$B$45&lt;$B$12)*(Projects!$B$2:$B$45&gt;=$B$13)*$B$7+(Projects!$B$2:$B$45&lt;$B$13)*$B$8))</f>
        <v>0</v>
      </c>
      <c r="CT39" s="386" t="n">
        <f aca="false">SUMPRODUCT((Projects!$G$2:$G$45="Yes")*(94&gt;=Projects!$C$2:$C$45-$B$15)*((94&lt;=Projects!$W$2:$W$45-$B$106)*1+(94&gt;Projects!$W$2:$W$45-$B$106)*(94&lt;=Projects!$W$2:$W$45+$B$17)*$B$107)*((Projects!$B$2:$B$45&gt;=$B$12)*$B$6+(Projects!$B$2:$B$45&lt;$B$12)*(Projects!$B$2:$B$45&gt;=$B$13)*$B$7+(Projects!$B$2:$B$45&lt;$B$13)*$B$8))</f>
        <v>0</v>
      </c>
      <c r="CU39" s="386" t="n">
        <f aca="false">SUMPRODUCT((Projects!$G$2:$G$45="Yes")*(95&gt;=Projects!$C$2:$C$45-$B$15)*((95&lt;=Projects!$W$2:$W$45-$B$106)*1+(95&gt;Projects!$W$2:$W$45-$B$106)*(95&lt;=Projects!$W$2:$W$45+$B$17)*$B$107)*((Projects!$B$2:$B$45&gt;=$B$12)*$B$6+(Projects!$B$2:$B$45&lt;$B$12)*(Projects!$B$2:$B$45&gt;=$B$13)*$B$7+(Projects!$B$2:$B$45&lt;$B$13)*$B$8))</f>
        <v>0</v>
      </c>
      <c r="CV39" s="386" t="n">
        <f aca="false">SUMPRODUCT((Projects!$G$2:$G$45="Yes")*(96&gt;=Projects!$C$2:$C$45-$B$15)*((96&lt;=Projects!$W$2:$W$45-$B$106)*1+(96&gt;Projects!$W$2:$W$45-$B$106)*(96&lt;=Projects!$W$2:$W$45+$B$17)*$B$107)*((Projects!$B$2:$B$45&gt;=$B$12)*$B$6+(Projects!$B$2:$B$45&lt;$B$12)*(Projects!$B$2:$B$45&gt;=$B$13)*$B$7+(Projects!$B$2:$B$45&lt;$B$13)*$B$8))</f>
        <v>0</v>
      </c>
      <c r="CW39" s="386" t="n">
        <f aca="false">SUMPRODUCT((Projects!$G$2:$G$45="Yes")*(97&gt;=Projects!$C$2:$C$45-$B$15)*((97&lt;=Projects!$W$2:$W$45-$B$106)*1+(97&gt;Projects!$W$2:$W$45-$B$106)*(97&lt;=Projects!$W$2:$W$45+$B$17)*$B$107)*((Projects!$B$2:$B$45&gt;=$B$12)*$B$6+(Projects!$B$2:$B$45&lt;$B$12)*(Projects!$B$2:$B$45&gt;=$B$13)*$B$7+(Projects!$B$2:$B$45&lt;$B$13)*$B$8))</f>
        <v>0</v>
      </c>
      <c r="CX39" s="386" t="n">
        <f aca="false">SUMPRODUCT((Projects!$G$2:$G$45="Yes")*(98&gt;=Projects!$C$2:$C$45-$B$15)*((98&lt;=Projects!$W$2:$W$45-$B$106)*1+(98&gt;Projects!$W$2:$W$45-$B$106)*(98&lt;=Projects!$W$2:$W$45+$B$17)*$B$107)*((Projects!$B$2:$B$45&gt;=$B$12)*$B$6+(Projects!$B$2:$B$45&lt;$B$12)*(Projects!$B$2:$B$45&gt;=$B$13)*$B$7+(Projects!$B$2:$B$45&lt;$B$13)*$B$8))</f>
        <v>0</v>
      </c>
      <c r="CY39" s="386" t="n">
        <f aca="false">SUMPRODUCT((Projects!$G$2:$G$45="Yes")*(99&gt;=Projects!$C$2:$C$45-$B$15)*((99&lt;=Projects!$W$2:$W$45-$B$106)*1+(99&gt;Projects!$W$2:$W$45-$B$106)*(99&lt;=Projects!$W$2:$W$45+$B$17)*$B$107)*((Projects!$B$2:$B$45&gt;=$B$12)*$B$6+(Projects!$B$2:$B$45&lt;$B$12)*(Projects!$B$2:$B$45&gt;=$B$13)*$B$7+(Projects!$B$2:$B$45&lt;$B$13)*$B$8))</f>
        <v>0</v>
      </c>
      <c r="CZ39" s="386" t="n">
        <f aca="false">SUMPRODUCT((Projects!$G$2:$G$45="Yes")*(100&gt;=Projects!$C$2:$C$45-$B$15)*((100&lt;=Projects!$W$2:$W$45-$B$106)*1+(100&gt;Projects!$W$2:$W$45-$B$106)*(100&lt;=Projects!$W$2:$W$45+$B$17)*$B$107)*((Projects!$B$2:$B$45&gt;=$B$12)*$B$6+(Projects!$B$2:$B$45&lt;$B$12)*(Projects!$B$2:$B$45&gt;=$B$13)*$B$7+(Projects!$B$2:$B$45&lt;$B$13)*$B$8))</f>
        <v>0</v>
      </c>
      <c r="DA39" s="386" t="n">
        <f aca="false">SUMPRODUCT((Projects!$G$2:$G$45="Yes")*(101&gt;=Projects!$C$2:$C$45-$B$15)*((101&lt;=Projects!$W$2:$W$45-$B$106)*1+(101&gt;Projects!$W$2:$W$45-$B$106)*(101&lt;=Projects!$W$2:$W$45+$B$17)*$B$107)*((Projects!$B$2:$B$45&gt;=$B$12)*$B$6+(Projects!$B$2:$B$45&lt;$B$12)*(Projects!$B$2:$B$45&gt;=$B$13)*$B$7+(Projects!$B$2:$B$45&lt;$B$13)*$B$8))</f>
        <v>0</v>
      </c>
      <c r="DB39" s="386" t="n">
        <f aca="false">SUMPRODUCT((Projects!$G$2:$G$45="Yes")*(102&gt;=Projects!$C$2:$C$45-$B$15)*((102&lt;=Projects!$W$2:$W$45-$B$106)*1+(102&gt;Projects!$W$2:$W$45-$B$106)*(102&lt;=Projects!$W$2:$W$45+$B$17)*$B$107)*((Projects!$B$2:$B$45&gt;=$B$12)*$B$6+(Projects!$B$2:$B$45&lt;$B$12)*(Projects!$B$2:$B$45&gt;=$B$13)*$B$7+(Projects!$B$2:$B$45&lt;$B$13)*$B$8))</f>
        <v>0</v>
      </c>
      <c r="DC39" s="386" t="n">
        <f aca="false">SUMPRODUCT((Projects!$G$2:$G$45="Yes")*(103&gt;=Projects!$C$2:$C$45-$B$15)*((103&lt;=Projects!$W$2:$W$45-$B$106)*1+(103&gt;Projects!$W$2:$W$45-$B$106)*(103&lt;=Projects!$W$2:$W$45+$B$17)*$B$107)*((Projects!$B$2:$B$45&gt;=$B$12)*$B$6+(Projects!$B$2:$B$45&lt;$B$12)*(Projects!$B$2:$B$45&gt;=$B$13)*$B$7+(Projects!$B$2:$B$45&lt;$B$13)*$B$8))</f>
        <v>0</v>
      </c>
      <c r="DD39" s="386" t="n">
        <f aca="false">SUMPRODUCT((Projects!$G$2:$G$45="Yes")*(104&gt;=Projects!$C$2:$C$45-$B$15)*((104&lt;=Projects!$W$2:$W$45-$B$106)*1+(104&gt;Projects!$W$2:$W$45-$B$106)*(104&lt;=Projects!$W$2:$W$45+$B$17)*$B$107)*((Projects!$B$2:$B$45&gt;=$B$12)*$B$6+(Projects!$B$2:$B$45&lt;$B$12)*(Projects!$B$2:$B$45&gt;=$B$13)*$B$7+(Projects!$B$2:$B$45&lt;$B$13)*$B$8))</f>
        <v>0</v>
      </c>
      <c r="DE39" s="386"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1380</v>
      </c>
      <c r="E40" s="386" t="n">
        <f aca="false">SUMPRODUCT((Projects!$G$2:$G$45="Yes")*(1&gt;=Projects!$C$2:$C$45-$B$16)*((1&lt;=Projects!$W$2:$W$45-$B$106)*1+(1&gt;Projects!$W$2:$W$45-$B$106)*(1&lt;=Projects!$W$2:$W$45+$B$17)*$B$107)*((Projects!$B$2:$B$45&gt;=$B$12)*$B$9+(Projects!$B$2:$B$45&lt;$B$12)*(Projects!$B$2:$B$45&gt;=$B$13)*$B$10+(Projects!$B$2:$B$45&lt;$B$13)*$B$11))</f>
        <v>1.6</v>
      </c>
      <c r="F40" s="386" t="n">
        <f aca="false">SUMPRODUCT((Projects!$G$2:$G$45="Yes")*(2&gt;=Projects!$C$2:$C$45-$B$16)*((2&lt;=Projects!$W$2:$W$45-$B$106)*1+(2&gt;Projects!$W$2:$W$45-$B$106)*(2&lt;=Projects!$W$2:$W$45+$B$17)*$B$107)*((Projects!$B$2:$B$45&gt;=$B$12)*$B$9+(Projects!$B$2:$B$45&lt;$B$12)*(Projects!$B$2:$B$45&gt;=$B$13)*$B$10+(Projects!$B$2:$B$45&lt;$B$13)*$B$11))</f>
        <v>1.6</v>
      </c>
      <c r="G40" s="386" t="n">
        <f aca="false">SUMPRODUCT((Projects!$G$2:$G$45="Yes")*(3&gt;=Projects!$C$2:$C$45-$B$16)*((3&lt;=Projects!$W$2:$W$45-$B$106)*1+(3&gt;Projects!$W$2:$W$45-$B$106)*(3&lt;=Projects!$W$2:$W$45+$B$17)*$B$107)*((Projects!$B$2:$B$45&gt;=$B$12)*$B$9+(Projects!$B$2:$B$45&lt;$B$12)*(Projects!$B$2:$B$45&gt;=$B$13)*$B$10+(Projects!$B$2:$B$45&lt;$B$13)*$B$11))</f>
        <v>1.6</v>
      </c>
      <c r="H40" s="386" t="n">
        <f aca="false">SUMPRODUCT((Projects!$G$2:$G$45="Yes")*(4&gt;=Projects!$C$2:$C$45-$B$16)*((4&lt;=Projects!$W$2:$W$45-$B$106)*1+(4&gt;Projects!$W$2:$W$45-$B$106)*(4&lt;=Projects!$W$2:$W$45+$B$17)*$B$107)*((Projects!$B$2:$B$45&gt;=$B$12)*$B$9+(Projects!$B$2:$B$45&lt;$B$12)*(Projects!$B$2:$B$45&gt;=$B$13)*$B$10+(Projects!$B$2:$B$45&lt;$B$13)*$B$11))</f>
        <v>1.6</v>
      </c>
      <c r="I40" s="386" t="n">
        <f aca="false">SUMPRODUCT((Projects!$G$2:$G$45="Yes")*(5&gt;=Projects!$C$2:$C$45-$B$16)*((5&lt;=Projects!$W$2:$W$45-$B$106)*1+(5&gt;Projects!$W$2:$W$45-$B$106)*(5&lt;=Projects!$W$2:$W$45+$B$17)*$B$107)*((Projects!$B$2:$B$45&gt;=$B$12)*$B$9+(Projects!$B$2:$B$45&lt;$B$12)*(Projects!$B$2:$B$45&gt;=$B$13)*$B$10+(Projects!$B$2:$B$45&lt;$B$13)*$B$11))</f>
        <v>2.3</v>
      </c>
      <c r="J40" s="386" t="n">
        <f aca="false">SUMPRODUCT((Projects!$G$2:$G$45="Yes")*(6&gt;=Projects!$C$2:$C$45-$B$16)*((6&lt;=Projects!$W$2:$W$45-$B$106)*1+(6&gt;Projects!$W$2:$W$45-$B$106)*(6&lt;=Projects!$W$2:$W$45+$B$17)*$B$107)*((Projects!$B$2:$B$45&gt;=$B$12)*$B$9+(Projects!$B$2:$B$45&lt;$B$12)*(Projects!$B$2:$B$45&gt;=$B$13)*$B$10+(Projects!$B$2:$B$45&lt;$B$13)*$B$11))</f>
        <v>2.25</v>
      </c>
      <c r="K40" s="386" t="n">
        <f aca="false">SUMPRODUCT((Projects!$G$2:$G$45="Yes")*(7&gt;=Projects!$C$2:$C$45-$B$16)*((7&lt;=Projects!$W$2:$W$45-$B$106)*1+(7&gt;Projects!$W$2:$W$45-$B$106)*(7&lt;=Projects!$W$2:$W$45+$B$17)*$B$107)*((Projects!$B$2:$B$45&gt;=$B$12)*$B$9+(Projects!$B$2:$B$45&lt;$B$12)*(Projects!$B$2:$B$45&gt;=$B$13)*$B$10+(Projects!$B$2:$B$45&lt;$B$13)*$B$11))</f>
        <v>2.25</v>
      </c>
      <c r="L40" s="386" t="n">
        <f aca="false">SUMPRODUCT((Projects!$G$2:$G$45="Yes")*(8&gt;=Projects!$C$2:$C$45-$B$16)*((8&lt;=Projects!$W$2:$W$45-$B$106)*1+(8&gt;Projects!$W$2:$W$45-$B$106)*(8&lt;=Projects!$W$2:$W$45+$B$17)*$B$107)*((Projects!$B$2:$B$45&gt;=$B$12)*$B$9+(Projects!$B$2:$B$45&lt;$B$12)*(Projects!$B$2:$B$45&gt;=$B$13)*$B$10+(Projects!$B$2:$B$45&lt;$B$13)*$B$11))</f>
        <v>2.25</v>
      </c>
      <c r="M40" s="386" t="n">
        <f aca="false">SUMPRODUCT((Projects!$G$2:$G$45="Yes")*(9&gt;=Projects!$C$2:$C$45-$B$16)*((9&lt;=Projects!$W$2:$W$45-$B$106)*1+(9&gt;Projects!$W$2:$W$45-$B$106)*(9&lt;=Projects!$W$2:$W$45+$B$17)*$B$107)*((Projects!$B$2:$B$45&gt;=$B$12)*$B$9+(Projects!$B$2:$B$45&lt;$B$12)*(Projects!$B$2:$B$45&gt;=$B$13)*$B$10+(Projects!$B$2:$B$45&lt;$B$13)*$B$11))</f>
        <v>2.45</v>
      </c>
      <c r="N40" s="386" t="n">
        <f aca="false">SUMPRODUCT((Projects!$G$2:$G$45="Yes")*(10&gt;=Projects!$C$2:$C$45-$B$16)*((10&lt;=Projects!$W$2:$W$45-$B$106)*1+(10&gt;Projects!$W$2:$W$45-$B$106)*(10&lt;=Projects!$W$2:$W$45+$B$17)*$B$107)*((Projects!$B$2:$B$45&gt;=$B$12)*$B$9+(Projects!$B$2:$B$45&lt;$B$12)*(Projects!$B$2:$B$45&gt;=$B$13)*$B$10+(Projects!$B$2:$B$45&lt;$B$13)*$B$11))</f>
        <v>2.9</v>
      </c>
      <c r="O40" s="386" t="n">
        <f aca="false">SUMPRODUCT((Projects!$G$2:$G$45="Yes")*(11&gt;=Projects!$C$2:$C$45-$B$16)*((11&lt;=Projects!$W$2:$W$45-$B$106)*1+(11&gt;Projects!$W$2:$W$45-$B$106)*(11&lt;=Projects!$W$2:$W$45+$B$17)*$B$107)*((Projects!$B$2:$B$45&gt;=$B$12)*$B$9+(Projects!$B$2:$B$45&lt;$B$12)*(Projects!$B$2:$B$45&gt;=$B$13)*$B$10+(Projects!$B$2:$B$45&lt;$B$13)*$B$11))</f>
        <v>3.4</v>
      </c>
      <c r="P40" s="386" t="n">
        <f aca="false">SUMPRODUCT((Projects!$G$2:$G$45="Yes")*(12&gt;=Projects!$C$2:$C$45-$B$16)*((12&lt;=Projects!$W$2:$W$45-$B$106)*1+(12&gt;Projects!$W$2:$W$45-$B$106)*(12&lt;=Projects!$W$2:$W$45+$B$17)*$B$107)*((Projects!$B$2:$B$45&gt;=$B$12)*$B$9+(Projects!$B$2:$B$45&lt;$B$12)*(Projects!$B$2:$B$45&gt;=$B$13)*$B$10+(Projects!$B$2:$B$45&lt;$B$13)*$B$11))</f>
        <v>3.4</v>
      </c>
      <c r="Q40" s="386" t="n">
        <f aca="false">SUMPRODUCT((Projects!$G$2:$G$45="Yes")*(13&gt;=Projects!$C$2:$C$45-$B$16)*((13&lt;=Projects!$W$2:$W$45-$B$106)*1+(13&gt;Projects!$W$2:$W$45-$B$106)*(13&lt;=Projects!$W$2:$W$45+$B$17)*$B$107)*((Projects!$B$2:$B$45&gt;=$B$12)*$B$9+(Projects!$B$2:$B$45&lt;$B$12)*(Projects!$B$2:$B$45&gt;=$B$13)*$B$10+(Projects!$B$2:$B$45&lt;$B$13)*$B$11))</f>
        <v>3.65</v>
      </c>
      <c r="R40" s="386" t="n">
        <f aca="false">SUMPRODUCT((Projects!$G$2:$G$45="Yes")*(14&gt;=Projects!$C$2:$C$45-$B$16)*((14&lt;=Projects!$W$2:$W$45-$B$106)*1+(14&gt;Projects!$W$2:$W$45-$B$106)*(14&lt;=Projects!$W$2:$W$45+$B$17)*$B$107)*((Projects!$B$2:$B$45&gt;=$B$12)*$B$9+(Projects!$B$2:$B$45&lt;$B$12)*(Projects!$B$2:$B$45&gt;=$B$13)*$B$10+(Projects!$B$2:$B$45&lt;$B$13)*$B$11))</f>
        <v>3.85</v>
      </c>
      <c r="S40" s="386" t="n">
        <f aca="false">SUMPRODUCT((Projects!$G$2:$G$45="Yes")*(15&gt;=Projects!$C$2:$C$45-$B$16)*((15&lt;=Projects!$W$2:$W$45-$B$106)*1+(15&gt;Projects!$W$2:$W$45-$B$106)*(15&lt;=Projects!$W$2:$W$45+$B$17)*$B$107)*((Projects!$B$2:$B$45&gt;=$B$12)*$B$9+(Projects!$B$2:$B$45&lt;$B$12)*(Projects!$B$2:$B$45&gt;=$B$13)*$B$10+(Projects!$B$2:$B$45&lt;$B$13)*$B$11))</f>
        <v>3.95</v>
      </c>
      <c r="T40" s="386" t="n">
        <f aca="false">SUMPRODUCT((Projects!$G$2:$G$45="Yes")*(16&gt;=Projects!$C$2:$C$45-$B$16)*((16&lt;=Projects!$W$2:$W$45-$B$106)*1+(16&gt;Projects!$W$2:$W$45-$B$106)*(16&lt;=Projects!$W$2:$W$45+$B$17)*$B$107)*((Projects!$B$2:$B$45&gt;=$B$12)*$B$9+(Projects!$B$2:$B$45&lt;$B$12)*(Projects!$B$2:$B$45&gt;=$B$13)*$B$10+(Projects!$B$2:$B$45&lt;$B$13)*$B$11))</f>
        <v>4.05</v>
      </c>
      <c r="U40" s="386" t="n">
        <f aca="false">SUMPRODUCT((Projects!$G$2:$G$45="Yes")*(17&gt;=Projects!$C$2:$C$45-$B$16)*((17&lt;=Projects!$W$2:$W$45-$B$106)*1+(17&gt;Projects!$W$2:$W$45-$B$106)*(17&lt;=Projects!$W$2:$W$45+$B$17)*$B$107)*((Projects!$B$2:$B$45&gt;=$B$12)*$B$9+(Projects!$B$2:$B$45&lt;$B$12)*(Projects!$B$2:$B$45&gt;=$B$13)*$B$10+(Projects!$B$2:$B$45&lt;$B$13)*$B$11))</f>
        <v>3.7</v>
      </c>
      <c r="V40" s="386" t="n">
        <f aca="false">SUMPRODUCT((Projects!$G$2:$G$45="Yes")*(18&gt;=Projects!$C$2:$C$45-$B$16)*((18&lt;=Projects!$W$2:$W$45-$B$106)*1+(18&gt;Projects!$W$2:$W$45-$B$106)*(18&lt;=Projects!$W$2:$W$45+$B$17)*$B$107)*((Projects!$B$2:$B$45&gt;=$B$12)*$B$9+(Projects!$B$2:$B$45&lt;$B$12)*(Projects!$B$2:$B$45&gt;=$B$13)*$B$10+(Projects!$B$2:$B$45&lt;$B$13)*$B$11))</f>
        <v>3.7</v>
      </c>
      <c r="W40" s="386" t="n">
        <f aca="false">SUMPRODUCT((Projects!$G$2:$G$45="Yes")*(19&gt;=Projects!$C$2:$C$45-$B$16)*((19&lt;=Projects!$W$2:$W$45-$B$106)*1+(19&gt;Projects!$W$2:$W$45-$B$106)*(19&lt;=Projects!$W$2:$W$45+$B$17)*$B$107)*((Projects!$B$2:$B$45&gt;=$B$12)*$B$9+(Projects!$B$2:$B$45&lt;$B$12)*(Projects!$B$2:$B$45&gt;=$B$13)*$B$10+(Projects!$B$2:$B$45&lt;$B$13)*$B$11))</f>
        <v>3.6</v>
      </c>
      <c r="X40" s="386" t="n">
        <f aca="false">SUMPRODUCT((Projects!$G$2:$G$45="Yes")*(20&gt;=Projects!$C$2:$C$45-$B$16)*((20&lt;=Projects!$W$2:$W$45-$B$106)*1+(20&gt;Projects!$W$2:$W$45-$B$106)*(20&lt;=Projects!$W$2:$W$45+$B$17)*$B$107)*((Projects!$B$2:$B$45&gt;=$B$12)*$B$9+(Projects!$B$2:$B$45&lt;$B$12)*(Projects!$B$2:$B$45&gt;=$B$13)*$B$10+(Projects!$B$2:$B$45&lt;$B$13)*$B$11))</f>
        <v>4</v>
      </c>
      <c r="Y40" s="386" t="n">
        <f aca="false">SUMPRODUCT((Projects!$G$2:$G$45="Yes")*(21&gt;=Projects!$C$2:$C$45-$B$16)*((21&lt;=Projects!$W$2:$W$45-$B$106)*1+(21&gt;Projects!$W$2:$W$45-$B$106)*(21&lt;=Projects!$W$2:$W$45+$B$17)*$B$107)*((Projects!$B$2:$B$45&gt;=$B$12)*$B$9+(Projects!$B$2:$B$45&lt;$B$12)*(Projects!$B$2:$B$45&gt;=$B$13)*$B$10+(Projects!$B$2:$B$45&lt;$B$13)*$B$11))</f>
        <v>3.8</v>
      </c>
      <c r="Z40" s="386" t="n">
        <f aca="false">SUMPRODUCT((Projects!$G$2:$G$45="Yes")*(22&gt;=Projects!$C$2:$C$45-$B$16)*((22&lt;=Projects!$W$2:$W$45-$B$106)*1+(22&gt;Projects!$W$2:$W$45-$B$106)*(22&lt;=Projects!$W$2:$W$45+$B$17)*$B$107)*((Projects!$B$2:$B$45&gt;=$B$12)*$B$9+(Projects!$B$2:$B$45&lt;$B$12)*(Projects!$B$2:$B$45&gt;=$B$13)*$B$10+(Projects!$B$2:$B$45&lt;$B$13)*$B$11))</f>
        <v>3.7</v>
      </c>
      <c r="AA40" s="386" t="n">
        <f aca="false">SUMPRODUCT((Projects!$G$2:$G$45="Yes")*(23&gt;=Projects!$C$2:$C$45-$B$16)*((23&lt;=Projects!$W$2:$W$45-$B$106)*1+(23&gt;Projects!$W$2:$W$45-$B$106)*(23&lt;=Projects!$W$2:$W$45+$B$17)*$B$107)*((Projects!$B$2:$B$45&gt;=$B$12)*$B$9+(Projects!$B$2:$B$45&lt;$B$12)*(Projects!$B$2:$B$45&gt;=$B$13)*$B$10+(Projects!$B$2:$B$45&lt;$B$13)*$B$11))</f>
        <v>3.7</v>
      </c>
      <c r="AB40" s="386" t="n">
        <f aca="false">SUMPRODUCT((Projects!$G$2:$G$45="Yes")*(24&gt;=Projects!$C$2:$C$45-$B$16)*((24&lt;=Projects!$W$2:$W$45-$B$106)*1+(24&gt;Projects!$W$2:$W$45-$B$106)*(24&lt;=Projects!$W$2:$W$45+$B$17)*$B$107)*((Projects!$B$2:$B$45&gt;=$B$12)*$B$9+(Projects!$B$2:$B$45&lt;$B$12)*(Projects!$B$2:$B$45&gt;=$B$13)*$B$10+(Projects!$B$2:$B$45&lt;$B$13)*$B$11))</f>
        <v>3.7</v>
      </c>
      <c r="AC40" s="386" t="n">
        <f aca="false">SUMPRODUCT((Projects!$G$2:$G$45="Yes")*(25&gt;=Projects!$C$2:$C$45-$B$16)*((25&lt;=Projects!$W$2:$W$45-$B$106)*1+(25&gt;Projects!$W$2:$W$45-$B$106)*(25&lt;=Projects!$W$2:$W$45+$B$17)*$B$107)*((Projects!$B$2:$B$45&gt;=$B$12)*$B$9+(Projects!$B$2:$B$45&lt;$B$12)*(Projects!$B$2:$B$45&gt;=$B$13)*$B$10+(Projects!$B$2:$B$45&lt;$B$13)*$B$11))</f>
        <v>3.6</v>
      </c>
      <c r="AD40" s="386" t="n">
        <f aca="false">SUMPRODUCT((Projects!$G$2:$G$45="Yes")*(26&gt;=Projects!$C$2:$C$45-$B$16)*((26&lt;=Projects!$W$2:$W$45-$B$106)*1+(26&gt;Projects!$W$2:$W$45-$B$106)*(26&lt;=Projects!$W$2:$W$45+$B$17)*$B$107)*((Projects!$B$2:$B$45&gt;=$B$12)*$B$9+(Projects!$B$2:$B$45&lt;$B$12)*(Projects!$B$2:$B$45&gt;=$B$13)*$B$10+(Projects!$B$2:$B$45&lt;$B$13)*$B$11))</f>
        <v>3.15</v>
      </c>
      <c r="AE40" s="386" t="n">
        <f aca="false">SUMPRODUCT((Projects!$G$2:$G$45="Yes")*(27&gt;=Projects!$C$2:$C$45-$B$16)*((27&lt;=Projects!$W$2:$W$45-$B$106)*1+(27&gt;Projects!$W$2:$W$45-$B$106)*(27&lt;=Projects!$W$2:$W$45+$B$17)*$B$107)*((Projects!$B$2:$B$45&gt;=$B$12)*$B$9+(Projects!$B$2:$B$45&lt;$B$12)*(Projects!$B$2:$B$45&gt;=$B$13)*$B$10+(Projects!$B$2:$B$45&lt;$B$13)*$B$11))</f>
        <v>3.4</v>
      </c>
      <c r="AF40" s="386" t="n">
        <f aca="false">SUMPRODUCT((Projects!$G$2:$G$45="Yes")*(28&gt;=Projects!$C$2:$C$45-$B$16)*((28&lt;=Projects!$W$2:$W$45-$B$106)*1+(28&gt;Projects!$W$2:$W$45-$B$106)*(28&lt;=Projects!$W$2:$W$45+$B$17)*$B$107)*((Projects!$B$2:$B$45&gt;=$B$12)*$B$9+(Projects!$B$2:$B$45&lt;$B$12)*(Projects!$B$2:$B$45&gt;=$B$13)*$B$10+(Projects!$B$2:$B$45&lt;$B$13)*$B$11))</f>
        <v>3.4</v>
      </c>
      <c r="AG40" s="386" t="n">
        <f aca="false">SUMPRODUCT((Projects!$G$2:$G$45="Yes")*(29&gt;=Projects!$C$2:$C$45-$B$16)*((29&lt;=Projects!$W$2:$W$45-$B$106)*1+(29&gt;Projects!$W$2:$W$45-$B$106)*(29&lt;=Projects!$W$2:$W$45+$B$17)*$B$107)*((Projects!$B$2:$B$45&gt;=$B$12)*$B$9+(Projects!$B$2:$B$45&lt;$B$12)*(Projects!$B$2:$B$45&gt;=$B$13)*$B$10+(Projects!$B$2:$B$45&lt;$B$13)*$B$11))</f>
        <v>3.4</v>
      </c>
      <c r="AH40" s="386" t="n">
        <f aca="false">SUMPRODUCT((Projects!$G$2:$G$45="Yes")*(30&gt;=Projects!$C$2:$C$45-$B$16)*((30&lt;=Projects!$W$2:$W$45-$B$106)*1+(30&gt;Projects!$W$2:$W$45-$B$106)*(30&lt;=Projects!$W$2:$W$45+$B$17)*$B$107)*((Projects!$B$2:$B$45&gt;=$B$12)*$B$9+(Projects!$B$2:$B$45&lt;$B$12)*(Projects!$B$2:$B$45&gt;=$B$13)*$B$10+(Projects!$B$2:$B$45&lt;$B$13)*$B$11))</f>
        <v>2.85</v>
      </c>
      <c r="AI40" s="386" t="n">
        <f aca="false">SUMPRODUCT((Projects!$G$2:$G$45="Yes")*(31&gt;=Projects!$C$2:$C$45-$B$16)*((31&lt;=Projects!$W$2:$W$45-$B$106)*1+(31&gt;Projects!$W$2:$W$45-$B$106)*(31&lt;=Projects!$W$2:$W$45+$B$17)*$B$107)*((Projects!$B$2:$B$45&gt;=$B$12)*$B$9+(Projects!$B$2:$B$45&lt;$B$12)*(Projects!$B$2:$B$45&gt;=$B$13)*$B$10+(Projects!$B$2:$B$45&lt;$B$13)*$B$11))</f>
        <v>2.5</v>
      </c>
      <c r="AJ40" s="386" t="n">
        <f aca="false">SUMPRODUCT((Projects!$G$2:$G$45="Yes")*(32&gt;=Projects!$C$2:$C$45-$B$16)*((32&lt;=Projects!$W$2:$W$45-$B$106)*1+(32&gt;Projects!$W$2:$W$45-$B$106)*(32&lt;=Projects!$W$2:$W$45+$B$17)*$B$107)*((Projects!$B$2:$B$45&gt;=$B$12)*$B$9+(Projects!$B$2:$B$45&lt;$B$12)*(Projects!$B$2:$B$45&gt;=$B$13)*$B$10+(Projects!$B$2:$B$45&lt;$B$13)*$B$11))</f>
        <v>2.4</v>
      </c>
      <c r="AK40" s="386" t="n">
        <f aca="false">SUMPRODUCT((Projects!$G$2:$G$45="Yes")*(33&gt;=Projects!$C$2:$C$45-$B$16)*((33&lt;=Projects!$W$2:$W$45-$B$106)*1+(33&gt;Projects!$W$2:$W$45-$B$106)*(33&lt;=Projects!$W$2:$W$45+$B$17)*$B$107)*((Projects!$B$2:$B$45&gt;=$B$12)*$B$9+(Projects!$B$2:$B$45&lt;$B$12)*(Projects!$B$2:$B$45&gt;=$B$13)*$B$10+(Projects!$B$2:$B$45&lt;$B$13)*$B$11))</f>
        <v>2.4</v>
      </c>
      <c r="AL40" s="386" t="n">
        <f aca="false">SUMPRODUCT((Projects!$G$2:$G$45="Yes")*(34&gt;=Projects!$C$2:$C$45-$B$16)*((34&lt;=Projects!$W$2:$W$45-$B$106)*1+(34&gt;Projects!$W$2:$W$45-$B$106)*(34&lt;=Projects!$W$2:$W$45+$B$17)*$B$107)*((Projects!$B$2:$B$45&gt;=$B$12)*$B$9+(Projects!$B$2:$B$45&lt;$B$12)*(Projects!$B$2:$B$45&gt;=$B$13)*$B$10+(Projects!$B$2:$B$45&lt;$B$13)*$B$11))</f>
        <v>1.95</v>
      </c>
      <c r="AM40" s="386" t="n">
        <f aca="false">SUMPRODUCT((Projects!$G$2:$G$45="Yes")*(35&gt;=Projects!$C$2:$C$45-$B$16)*((35&lt;=Projects!$W$2:$W$45-$B$106)*1+(35&gt;Projects!$W$2:$W$45-$B$106)*(35&lt;=Projects!$W$2:$W$45+$B$17)*$B$107)*((Projects!$B$2:$B$45&gt;=$B$12)*$B$9+(Projects!$B$2:$B$45&lt;$B$12)*(Projects!$B$2:$B$45&gt;=$B$13)*$B$10+(Projects!$B$2:$B$45&lt;$B$13)*$B$11))</f>
        <v>1.85</v>
      </c>
      <c r="AN40" s="386" t="n">
        <f aca="false">SUMPRODUCT((Projects!$G$2:$G$45="Yes")*(36&gt;=Projects!$C$2:$C$45-$B$16)*((36&lt;=Projects!$W$2:$W$45-$B$106)*1+(36&gt;Projects!$W$2:$W$45-$B$106)*(36&lt;=Projects!$W$2:$W$45+$B$17)*$B$107)*((Projects!$B$2:$B$45&gt;=$B$12)*$B$9+(Projects!$B$2:$B$45&lt;$B$12)*(Projects!$B$2:$B$45&gt;=$B$13)*$B$10+(Projects!$B$2:$B$45&lt;$B$13)*$B$11))</f>
        <v>1.75</v>
      </c>
      <c r="AO40" s="386" t="n">
        <f aca="false">SUMPRODUCT((Projects!$G$2:$G$45="Yes")*(37&gt;=Projects!$C$2:$C$45-$B$16)*((37&lt;=Projects!$W$2:$W$45-$B$106)*1+(37&gt;Projects!$W$2:$W$45-$B$106)*(37&lt;=Projects!$W$2:$W$45+$B$17)*$B$107)*((Projects!$B$2:$B$45&gt;=$B$12)*$B$9+(Projects!$B$2:$B$45&lt;$B$12)*(Projects!$B$2:$B$45&gt;=$B$13)*$B$10+(Projects!$B$2:$B$45&lt;$B$13)*$B$11))</f>
        <v>1.75</v>
      </c>
      <c r="AP40" s="386" t="n">
        <f aca="false">SUMPRODUCT((Projects!$G$2:$G$45="Yes")*(38&gt;=Projects!$C$2:$C$45-$B$16)*((38&lt;=Projects!$W$2:$W$45-$B$106)*1+(38&gt;Projects!$W$2:$W$45-$B$106)*(38&lt;=Projects!$W$2:$W$45+$B$17)*$B$107)*((Projects!$B$2:$B$45&gt;=$B$12)*$B$9+(Projects!$B$2:$B$45&lt;$B$12)*(Projects!$B$2:$B$45&gt;=$B$13)*$B$10+(Projects!$B$2:$B$45&lt;$B$13)*$B$11))</f>
        <v>1.5</v>
      </c>
      <c r="AQ40" s="386" t="n">
        <f aca="false">SUMPRODUCT((Projects!$G$2:$G$45="Yes")*(39&gt;=Projects!$C$2:$C$45-$B$16)*((39&lt;=Projects!$W$2:$W$45-$B$106)*1+(39&gt;Projects!$W$2:$W$45-$B$106)*(39&lt;=Projects!$W$2:$W$45+$B$17)*$B$107)*((Projects!$B$2:$B$45&gt;=$B$12)*$B$9+(Projects!$B$2:$B$45&lt;$B$12)*(Projects!$B$2:$B$45&gt;=$B$13)*$B$10+(Projects!$B$2:$B$45&lt;$B$13)*$B$11))</f>
        <v>1.5</v>
      </c>
      <c r="AR40" s="386" t="n">
        <f aca="false">SUMPRODUCT((Projects!$G$2:$G$45="Yes")*(40&gt;=Projects!$C$2:$C$45-$B$16)*((40&lt;=Projects!$W$2:$W$45-$B$106)*1+(40&gt;Projects!$W$2:$W$45-$B$106)*(40&lt;=Projects!$W$2:$W$45+$B$17)*$B$107)*((Projects!$B$2:$B$45&gt;=$B$12)*$B$9+(Projects!$B$2:$B$45&lt;$B$12)*(Projects!$B$2:$B$45&gt;=$B$13)*$B$10+(Projects!$B$2:$B$45&lt;$B$13)*$B$11))</f>
        <v>1.25</v>
      </c>
      <c r="AS40" s="386" t="n">
        <f aca="false">SUMPRODUCT((Projects!$G$2:$G$45="Yes")*(41&gt;=Projects!$C$2:$C$45-$B$16)*((41&lt;=Projects!$W$2:$W$45-$B$106)*1+(41&gt;Projects!$W$2:$W$45-$B$106)*(41&lt;=Projects!$W$2:$W$45+$B$17)*$B$107)*((Projects!$B$2:$B$45&gt;=$B$12)*$B$9+(Projects!$B$2:$B$45&lt;$B$12)*(Projects!$B$2:$B$45&gt;=$B$13)*$B$10+(Projects!$B$2:$B$45&lt;$B$13)*$B$11))</f>
        <v>1</v>
      </c>
      <c r="AT40" s="386" t="n">
        <f aca="false">SUMPRODUCT((Projects!$G$2:$G$45="Yes")*(42&gt;=Projects!$C$2:$C$45-$B$16)*((42&lt;=Projects!$W$2:$W$45-$B$106)*1+(42&gt;Projects!$W$2:$W$45-$B$106)*(42&lt;=Projects!$W$2:$W$45+$B$17)*$B$107)*((Projects!$B$2:$B$45&gt;=$B$12)*$B$9+(Projects!$B$2:$B$45&lt;$B$12)*(Projects!$B$2:$B$45&gt;=$B$13)*$B$10+(Projects!$B$2:$B$45&lt;$B$13)*$B$11))</f>
        <v>1</v>
      </c>
      <c r="AU40" s="386" t="n">
        <f aca="false">SUMPRODUCT((Projects!$G$2:$G$45="Yes")*(43&gt;=Projects!$C$2:$C$45-$B$16)*((43&lt;=Projects!$W$2:$W$45-$B$106)*1+(43&gt;Projects!$W$2:$W$45-$B$106)*(43&lt;=Projects!$W$2:$W$45+$B$17)*$B$107)*((Projects!$B$2:$B$45&gt;=$B$12)*$B$9+(Projects!$B$2:$B$45&lt;$B$12)*(Projects!$B$2:$B$45&gt;=$B$13)*$B$10+(Projects!$B$2:$B$45&lt;$B$13)*$B$11))</f>
        <v>1</v>
      </c>
      <c r="AV40" s="386" t="n">
        <f aca="false">SUMPRODUCT((Projects!$G$2:$G$45="Yes")*(44&gt;=Projects!$C$2:$C$45-$B$16)*((44&lt;=Projects!$W$2:$W$45-$B$106)*1+(44&gt;Projects!$W$2:$W$45-$B$106)*(44&lt;=Projects!$W$2:$W$45+$B$17)*$B$107)*((Projects!$B$2:$B$45&gt;=$B$12)*$B$9+(Projects!$B$2:$B$45&lt;$B$12)*(Projects!$B$2:$B$45&gt;=$B$13)*$B$10+(Projects!$B$2:$B$45&lt;$B$13)*$B$11))</f>
        <v>0.75</v>
      </c>
      <c r="AW40" s="386" t="n">
        <f aca="false">SUMPRODUCT((Projects!$G$2:$G$45="Yes")*(45&gt;=Projects!$C$2:$C$45-$B$16)*((45&lt;=Projects!$W$2:$W$45-$B$106)*1+(45&gt;Projects!$W$2:$W$45-$B$106)*(45&lt;=Projects!$W$2:$W$45+$B$17)*$B$107)*((Projects!$B$2:$B$45&gt;=$B$12)*$B$9+(Projects!$B$2:$B$45&lt;$B$12)*(Projects!$B$2:$B$45&gt;=$B$13)*$B$10+(Projects!$B$2:$B$45&lt;$B$13)*$B$11))</f>
        <v>0.5</v>
      </c>
      <c r="AX40" s="386" t="n">
        <f aca="false">SUMPRODUCT((Projects!$G$2:$G$45="Yes")*(46&gt;=Projects!$C$2:$C$45-$B$16)*((46&lt;=Projects!$W$2:$W$45-$B$106)*1+(46&gt;Projects!$W$2:$W$45-$B$106)*(46&lt;=Projects!$W$2:$W$45+$B$17)*$B$107)*((Projects!$B$2:$B$45&gt;=$B$12)*$B$9+(Projects!$B$2:$B$45&lt;$B$12)*(Projects!$B$2:$B$45&gt;=$B$13)*$B$10+(Projects!$B$2:$B$45&lt;$B$13)*$B$11))</f>
        <v>0.5</v>
      </c>
      <c r="AY40" s="386" t="n">
        <f aca="false">SUMPRODUCT((Projects!$G$2:$G$45="Yes")*(47&gt;=Projects!$C$2:$C$45-$B$16)*((47&lt;=Projects!$W$2:$W$45-$B$106)*1+(47&gt;Projects!$W$2:$W$45-$B$106)*(47&lt;=Projects!$W$2:$W$45+$B$17)*$B$107)*((Projects!$B$2:$B$45&gt;=$B$12)*$B$9+(Projects!$B$2:$B$45&lt;$B$12)*(Projects!$B$2:$B$45&gt;=$B$13)*$B$10+(Projects!$B$2:$B$45&lt;$B$13)*$B$11))</f>
        <v>0.5</v>
      </c>
      <c r="AZ40" s="386" t="n">
        <f aca="false">SUMPRODUCT((Projects!$G$2:$G$45="Yes")*(48&gt;=Projects!$C$2:$C$45-$B$16)*((48&lt;=Projects!$W$2:$W$45-$B$106)*1+(48&gt;Projects!$W$2:$W$45-$B$106)*(48&lt;=Projects!$W$2:$W$45+$B$17)*$B$107)*((Projects!$B$2:$B$45&gt;=$B$12)*$B$9+(Projects!$B$2:$B$45&lt;$B$12)*(Projects!$B$2:$B$45&gt;=$B$13)*$B$10+(Projects!$B$2:$B$45&lt;$B$13)*$B$11))</f>
        <v>0.5</v>
      </c>
      <c r="BA40" s="386" t="n">
        <f aca="false">SUMPRODUCT((Projects!$G$2:$G$45="Yes")*(49&gt;=Projects!$C$2:$C$45-$B$16)*((49&lt;=Projects!$W$2:$W$45-$B$106)*1+(49&gt;Projects!$W$2:$W$45-$B$106)*(49&lt;=Projects!$W$2:$W$45+$B$17)*$B$107)*((Projects!$B$2:$B$45&gt;=$B$12)*$B$9+(Projects!$B$2:$B$45&lt;$B$12)*(Projects!$B$2:$B$45&gt;=$B$13)*$B$10+(Projects!$B$2:$B$45&lt;$B$13)*$B$11))</f>
        <v>0.5</v>
      </c>
      <c r="BB40" s="386" t="n">
        <f aca="false">SUMPRODUCT((Projects!$G$2:$G$45="Yes")*(50&gt;=Projects!$C$2:$C$45-$B$16)*((50&lt;=Projects!$W$2:$W$45-$B$106)*1+(50&gt;Projects!$W$2:$W$45-$B$106)*(50&lt;=Projects!$W$2:$W$45+$B$17)*$B$107)*((Projects!$B$2:$B$45&gt;=$B$12)*$B$9+(Projects!$B$2:$B$45&lt;$B$12)*(Projects!$B$2:$B$45&gt;=$B$13)*$B$10+(Projects!$B$2:$B$45&lt;$B$13)*$B$11))</f>
        <v>0.5</v>
      </c>
      <c r="BC40" s="386" t="n">
        <f aca="false">SUMPRODUCT((Projects!$G$2:$G$45="Yes")*(51&gt;=Projects!$C$2:$C$45-$B$16)*((51&lt;=Projects!$W$2:$W$45-$B$106)*1+(51&gt;Projects!$W$2:$W$45-$B$106)*(51&lt;=Projects!$W$2:$W$45+$B$17)*$B$107)*((Projects!$B$2:$B$45&gt;=$B$12)*$B$9+(Projects!$B$2:$B$45&lt;$B$12)*(Projects!$B$2:$B$45&gt;=$B$13)*$B$10+(Projects!$B$2:$B$45&lt;$B$13)*$B$11))</f>
        <v>0.5</v>
      </c>
      <c r="BD40" s="386" t="n">
        <f aca="false">SUMPRODUCT((Projects!$G$2:$G$45="Yes")*(52&gt;=Projects!$C$2:$C$45-$B$16)*((52&lt;=Projects!$W$2:$W$45-$B$106)*1+(52&gt;Projects!$W$2:$W$45-$B$106)*(52&lt;=Projects!$W$2:$W$45+$B$17)*$B$107)*((Projects!$B$2:$B$45&gt;=$B$12)*$B$9+(Projects!$B$2:$B$45&lt;$B$12)*(Projects!$B$2:$B$45&gt;=$B$13)*$B$10+(Projects!$B$2:$B$45&lt;$B$13)*$B$11))</f>
        <v>0.5</v>
      </c>
      <c r="BE40" s="386" t="n">
        <f aca="false">SUMPRODUCT((Projects!$G$2:$G$45="Yes")*(53&gt;=Projects!$C$2:$C$45-$B$16)*((53&lt;=Projects!$W$2:$W$45-$B$106)*1+(53&gt;Projects!$W$2:$W$45-$B$106)*(53&lt;=Projects!$W$2:$W$45+$B$17)*$B$107)*((Projects!$B$2:$B$45&gt;=$B$12)*$B$9+(Projects!$B$2:$B$45&lt;$B$12)*(Projects!$B$2:$B$45&gt;=$B$13)*$B$10+(Projects!$B$2:$B$45&lt;$B$13)*$B$11))</f>
        <v>0.5</v>
      </c>
      <c r="BF40" s="386" t="n">
        <f aca="false">SUMPRODUCT((Projects!$G$2:$G$45="Yes")*(54&gt;=Projects!$C$2:$C$45-$B$16)*((54&lt;=Projects!$W$2:$W$45-$B$106)*1+(54&gt;Projects!$W$2:$W$45-$B$106)*(54&lt;=Projects!$W$2:$W$45+$B$17)*$B$107)*((Projects!$B$2:$B$45&gt;=$B$12)*$B$9+(Projects!$B$2:$B$45&lt;$B$12)*(Projects!$B$2:$B$45&gt;=$B$13)*$B$10+(Projects!$B$2:$B$45&lt;$B$13)*$B$11))</f>
        <v>0.25</v>
      </c>
      <c r="BG40" s="386" t="n">
        <f aca="false">SUMPRODUCT((Projects!$G$2:$G$45="Yes")*(55&gt;=Projects!$C$2:$C$45-$B$16)*((55&lt;=Projects!$W$2:$W$45-$B$106)*1+(55&gt;Projects!$W$2:$W$45-$B$106)*(55&lt;=Projects!$W$2:$W$45+$B$17)*$B$107)*((Projects!$B$2:$B$45&gt;=$B$12)*$B$9+(Projects!$B$2:$B$45&lt;$B$12)*(Projects!$B$2:$B$45&gt;=$B$13)*$B$10+(Projects!$B$2:$B$45&lt;$B$13)*$B$11))</f>
        <v>0.25</v>
      </c>
      <c r="BH40" s="386" t="n">
        <f aca="false">SUMPRODUCT((Projects!$G$2:$G$45="Yes")*(56&gt;=Projects!$C$2:$C$45-$B$16)*((56&lt;=Projects!$W$2:$W$45-$B$106)*1+(56&gt;Projects!$W$2:$W$45-$B$106)*(56&lt;=Projects!$W$2:$W$45+$B$17)*$B$107)*((Projects!$B$2:$B$45&gt;=$B$12)*$B$9+(Projects!$B$2:$B$45&lt;$B$12)*(Projects!$B$2:$B$45&gt;=$B$13)*$B$10+(Projects!$B$2:$B$45&lt;$B$13)*$B$11))</f>
        <v>0.25</v>
      </c>
      <c r="BI40" s="386" t="n">
        <f aca="false">SUMPRODUCT((Projects!$G$2:$G$45="Yes")*(57&gt;=Projects!$C$2:$C$45-$B$16)*((57&lt;=Projects!$W$2:$W$45-$B$106)*1+(57&gt;Projects!$W$2:$W$45-$B$106)*(57&lt;=Projects!$W$2:$W$45+$B$17)*$B$107)*((Projects!$B$2:$B$45&gt;=$B$12)*$B$9+(Projects!$B$2:$B$45&lt;$B$12)*(Projects!$B$2:$B$45&gt;=$B$13)*$B$10+(Projects!$B$2:$B$45&lt;$B$13)*$B$11))</f>
        <v>0.25</v>
      </c>
      <c r="BJ40" s="386" t="n">
        <f aca="false">SUMPRODUCT((Projects!$G$2:$G$45="Yes")*(58&gt;=Projects!$C$2:$C$45-$B$16)*((58&lt;=Projects!$W$2:$W$45-$B$106)*1+(58&gt;Projects!$W$2:$W$45-$B$106)*(58&lt;=Projects!$W$2:$W$45+$B$17)*$B$107)*((Projects!$B$2:$B$45&gt;=$B$12)*$B$9+(Projects!$B$2:$B$45&lt;$B$12)*(Projects!$B$2:$B$45&gt;=$B$13)*$B$10+(Projects!$B$2:$B$45&lt;$B$13)*$B$11))</f>
        <v>0</v>
      </c>
      <c r="BK40" s="386" t="n">
        <f aca="false">SUMPRODUCT((Projects!$G$2:$G$45="Yes")*(59&gt;=Projects!$C$2:$C$45-$B$16)*((59&lt;=Projects!$W$2:$W$45-$B$106)*1+(59&gt;Projects!$W$2:$W$45-$B$106)*(59&lt;=Projects!$W$2:$W$45+$B$17)*$B$107)*((Projects!$B$2:$B$45&gt;=$B$12)*$B$9+(Projects!$B$2:$B$45&lt;$B$12)*(Projects!$B$2:$B$45&gt;=$B$13)*$B$10+(Projects!$B$2:$B$45&lt;$B$13)*$B$11))</f>
        <v>0</v>
      </c>
      <c r="BL40" s="386" t="n">
        <f aca="false">SUMPRODUCT((Projects!$G$2:$G$45="Yes")*(60&gt;=Projects!$C$2:$C$45-$B$16)*((60&lt;=Projects!$W$2:$W$45-$B$106)*1+(60&gt;Projects!$W$2:$W$45-$B$106)*(60&lt;=Projects!$W$2:$W$45+$B$17)*$B$107)*((Projects!$B$2:$B$45&gt;=$B$12)*$B$9+(Projects!$B$2:$B$45&lt;$B$12)*(Projects!$B$2:$B$45&gt;=$B$13)*$B$10+(Projects!$B$2:$B$45&lt;$B$13)*$B$11))</f>
        <v>0</v>
      </c>
      <c r="BM40" s="386" t="n">
        <f aca="false">SUMPRODUCT((Projects!$G$2:$G$45="Yes")*(61&gt;=Projects!$C$2:$C$45-$B$16)*((61&lt;=Projects!$W$2:$W$45-$B$106)*1+(61&gt;Projects!$W$2:$W$45-$B$106)*(61&lt;=Projects!$W$2:$W$45+$B$17)*$B$107)*((Projects!$B$2:$B$45&gt;=$B$12)*$B$9+(Projects!$B$2:$B$45&lt;$B$12)*(Projects!$B$2:$B$45&gt;=$B$13)*$B$10+(Projects!$B$2:$B$45&lt;$B$13)*$B$11))</f>
        <v>0</v>
      </c>
      <c r="BN40" s="386" t="n">
        <f aca="false">SUMPRODUCT((Projects!$G$2:$G$45="Yes")*(62&gt;=Projects!$C$2:$C$45-$B$16)*((62&lt;=Projects!$W$2:$W$45-$B$106)*1+(62&gt;Projects!$W$2:$W$45-$B$106)*(62&lt;=Projects!$W$2:$W$45+$B$17)*$B$107)*((Projects!$B$2:$B$45&gt;=$B$12)*$B$9+(Projects!$B$2:$B$45&lt;$B$12)*(Projects!$B$2:$B$45&gt;=$B$13)*$B$10+(Projects!$B$2:$B$45&lt;$B$13)*$B$11))</f>
        <v>0</v>
      </c>
      <c r="BO40" s="386" t="n">
        <f aca="false">SUMPRODUCT((Projects!$G$2:$G$45="Yes")*(63&gt;=Projects!$C$2:$C$45-$B$16)*((63&lt;=Projects!$W$2:$W$45-$B$106)*1+(63&gt;Projects!$W$2:$W$45-$B$106)*(63&lt;=Projects!$W$2:$W$45+$B$17)*$B$107)*((Projects!$B$2:$B$45&gt;=$B$12)*$B$9+(Projects!$B$2:$B$45&lt;$B$12)*(Projects!$B$2:$B$45&gt;=$B$13)*$B$10+(Projects!$B$2:$B$45&lt;$B$13)*$B$11))</f>
        <v>0</v>
      </c>
      <c r="BP40" s="386" t="n">
        <f aca="false">SUMPRODUCT((Projects!$G$2:$G$45="Yes")*(64&gt;=Projects!$C$2:$C$45-$B$16)*((64&lt;=Projects!$W$2:$W$45-$B$106)*1+(64&gt;Projects!$W$2:$W$45-$B$106)*(64&lt;=Projects!$W$2:$W$45+$B$17)*$B$107)*((Projects!$B$2:$B$45&gt;=$B$12)*$B$9+(Projects!$B$2:$B$45&lt;$B$12)*(Projects!$B$2:$B$45&gt;=$B$13)*$B$10+(Projects!$B$2:$B$45&lt;$B$13)*$B$11))</f>
        <v>0</v>
      </c>
      <c r="BQ40" s="386" t="n">
        <f aca="false">SUMPRODUCT((Projects!$G$2:$G$45="Yes")*(65&gt;=Projects!$C$2:$C$45-$B$16)*((65&lt;=Projects!$W$2:$W$45-$B$106)*1+(65&gt;Projects!$W$2:$W$45-$B$106)*(65&lt;=Projects!$W$2:$W$45+$B$17)*$B$107)*((Projects!$B$2:$B$45&gt;=$B$12)*$B$9+(Projects!$B$2:$B$45&lt;$B$12)*(Projects!$B$2:$B$45&gt;=$B$13)*$B$10+(Projects!$B$2:$B$45&lt;$B$13)*$B$11))</f>
        <v>0</v>
      </c>
      <c r="BR40" s="386" t="n">
        <f aca="false">SUMPRODUCT((Projects!$G$2:$G$45="Yes")*(66&gt;=Projects!$C$2:$C$45-$B$16)*((66&lt;=Projects!$W$2:$W$45-$B$106)*1+(66&gt;Projects!$W$2:$W$45-$B$106)*(66&lt;=Projects!$W$2:$W$45+$B$17)*$B$107)*((Projects!$B$2:$B$45&gt;=$B$12)*$B$9+(Projects!$B$2:$B$45&lt;$B$12)*(Projects!$B$2:$B$45&gt;=$B$13)*$B$10+(Projects!$B$2:$B$45&lt;$B$13)*$B$11))</f>
        <v>0</v>
      </c>
      <c r="BS40" s="386" t="n">
        <f aca="false">SUMPRODUCT((Projects!$G$2:$G$45="Yes")*(67&gt;=Projects!$C$2:$C$45-$B$16)*((67&lt;=Projects!$W$2:$W$45-$B$106)*1+(67&gt;Projects!$W$2:$W$45-$B$106)*(67&lt;=Projects!$W$2:$W$45+$B$17)*$B$107)*((Projects!$B$2:$B$45&gt;=$B$12)*$B$9+(Projects!$B$2:$B$45&lt;$B$12)*(Projects!$B$2:$B$45&gt;=$B$13)*$B$10+(Projects!$B$2:$B$45&lt;$B$13)*$B$11))</f>
        <v>0</v>
      </c>
      <c r="BT40" s="386" t="n">
        <f aca="false">SUMPRODUCT((Projects!$G$2:$G$45="Yes")*(68&gt;=Projects!$C$2:$C$45-$B$16)*((68&lt;=Projects!$W$2:$W$45-$B$106)*1+(68&gt;Projects!$W$2:$W$45-$B$106)*(68&lt;=Projects!$W$2:$W$45+$B$17)*$B$107)*((Projects!$B$2:$B$45&gt;=$B$12)*$B$9+(Projects!$B$2:$B$45&lt;$B$12)*(Projects!$B$2:$B$45&gt;=$B$13)*$B$10+(Projects!$B$2:$B$45&lt;$B$13)*$B$11))</f>
        <v>0</v>
      </c>
      <c r="BU40" s="386" t="n">
        <f aca="false">SUMPRODUCT((Projects!$G$2:$G$45="Yes")*(69&gt;=Projects!$C$2:$C$45-$B$16)*((69&lt;=Projects!$W$2:$W$45-$B$106)*1+(69&gt;Projects!$W$2:$W$45-$B$106)*(69&lt;=Projects!$W$2:$W$45+$B$17)*$B$107)*((Projects!$B$2:$B$45&gt;=$B$12)*$B$9+(Projects!$B$2:$B$45&lt;$B$12)*(Projects!$B$2:$B$45&gt;=$B$13)*$B$10+(Projects!$B$2:$B$45&lt;$B$13)*$B$11))</f>
        <v>0</v>
      </c>
      <c r="BV40" s="386" t="n">
        <f aca="false">SUMPRODUCT((Projects!$G$2:$G$45="Yes")*(70&gt;=Projects!$C$2:$C$45-$B$16)*((70&lt;=Projects!$W$2:$W$45-$B$106)*1+(70&gt;Projects!$W$2:$W$45-$B$106)*(70&lt;=Projects!$W$2:$W$45+$B$17)*$B$107)*((Projects!$B$2:$B$45&gt;=$B$12)*$B$9+(Projects!$B$2:$B$45&lt;$B$12)*(Projects!$B$2:$B$45&gt;=$B$13)*$B$10+(Projects!$B$2:$B$45&lt;$B$13)*$B$11))</f>
        <v>0</v>
      </c>
      <c r="BW40" s="386" t="n">
        <f aca="false">SUMPRODUCT((Projects!$G$2:$G$45="Yes")*(71&gt;=Projects!$C$2:$C$45-$B$16)*((71&lt;=Projects!$W$2:$W$45-$B$106)*1+(71&gt;Projects!$W$2:$W$45-$B$106)*(71&lt;=Projects!$W$2:$W$45+$B$17)*$B$107)*((Projects!$B$2:$B$45&gt;=$B$12)*$B$9+(Projects!$B$2:$B$45&lt;$B$12)*(Projects!$B$2:$B$45&gt;=$B$13)*$B$10+(Projects!$B$2:$B$45&lt;$B$13)*$B$11))</f>
        <v>0</v>
      </c>
      <c r="BX40" s="386" t="n">
        <f aca="false">SUMPRODUCT((Projects!$G$2:$G$45="Yes")*(72&gt;=Projects!$C$2:$C$45-$B$16)*((72&lt;=Projects!$W$2:$W$45-$B$106)*1+(72&gt;Projects!$W$2:$W$45-$B$106)*(72&lt;=Projects!$W$2:$W$45+$B$17)*$B$107)*((Projects!$B$2:$B$45&gt;=$B$12)*$B$9+(Projects!$B$2:$B$45&lt;$B$12)*(Projects!$B$2:$B$45&gt;=$B$13)*$B$10+(Projects!$B$2:$B$45&lt;$B$13)*$B$11))</f>
        <v>0</v>
      </c>
      <c r="BY40" s="386" t="n">
        <f aca="false">SUMPRODUCT((Projects!$G$2:$G$45="Yes")*(73&gt;=Projects!$C$2:$C$45-$B$16)*((73&lt;=Projects!$W$2:$W$45-$B$106)*1+(73&gt;Projects!$W$2:$W$45-$B$106)*(73&lt;=Projects!$W$2:$W$45+$B$17)*$B$107)*((Projects!$B$2:$B$45&gt;=$B$12)*$B$9+(Projects!$B$2:$B$45&lt;$B$12)*(Projects!$B$2:$B$45&gt;=$B$13)*$B$10+(Projects!$B$2:$B$45&lt;$B$13)*$B$11))</f>
        <v>0</v>
      </c>
      <c r="BZ40" s="386" t="n">
        <f aca="false">SUMPRODUCT((Projects!$G$2:$G$45="Yes")*(74&gt;=Projects!$C$2:$C$45-$B$16)*((74&lt;=Projects!$W$2:$W$45-$B$106)*1+(74&gt;Projects!$W$2:$W$45-$B$106)*(74&lt;=Projects!$W$2:$W$45+$B$17)*$B$107)*((Projects!$B$2:$B$45&gt;=$B$12)*$B$9+(Projects!$B$2:$B$45&lt;$B$12)*(Projects!$B$2:$B$45&gt;=$B$13)*$B$10+(Projects!$B$2:$B$45&lt;$B$13)*$B$11))</f>
        <v>0</v>
      </c>
      <c r="CA40" s="386" t="n">
        <f aca="false">SUMPRODUCT((Projects!$G$2:$G$45="Yes")*(75&gt;=Projects!$C$2:$C$45-$B$16)*((75&lt;=Projects!$W$2:$W$45-$B$106)*1+(75&gt;Projects!$W$2:$W$45-$B$106)*(75&lt;=Projects!$W$2:$W$45+$B$17)*$B$107)*((Projects!$B$2:$B$45&gt;=$B$12)*$B$9+(Projects!$B$2:$B$45&lt;$B$12)*(Projects!$B$2:$B$45&gt;=$B$13)*$B$10+(Projects!$B$2:$B$45&lt;$B$13)*$B$11))</f>
        <v>0</v>
      </c>
      <c r="CB40" s="386" t="n">
        <f aca="false">SUMPRODUCT((Projects!$G$2:$G$45="Yes")*(76&gt;=Projects!$C$2:$C$45-$B$16)*((76&lt;=Projects!$W$2:$W$45-$B$106)*1+(76&gt;Projects!$W$2:$W$45-$B$106)*(76&lt;=Projects!$W$2:$W$45+$B$17)*$B$107)*((Projects!$B$2:$B$45&gt;=$B$12)*$B$9+(Projects!$B$2:$B$45&lt;$B$12)*(Projects!$B$2:$B$45&gt;=$B$13)*$B$10+(Projects!$B$2:$B$45&lt;$B$13)*$B$11))</f>
        <v>0</v>
      </c>
      <c r="CC40" s="386" t="n">
        <f aca="false">SUMPRODUCT((Projects!$G$2:$G$45="Yes")*(77&gt;=Projects!$C$2:$C$45-$B$16)*((77&lt;=Projects!$W$2:$W$45-$B$106)*1+(77&gt;Projects!$W$2:$W$45-$B$106)*(77&lt;=Projects!$W$2:$W$45+$B$17)*$B$107)*((Projects!$B$2:$B$45&gt;=$B$12)*$B$9+(Projects!$B$2:$B$45&lt;$B$12)*(Projects!$B$2:$B$45&gt;=$B$13)*$B$10+(Projects!$B$2:$B$45&lt;$B$13)*$B$11))</f>
        <v>0</v>
      </c>
      <c r="CD40" s="386" t="n">
        <f aca="false">SUMPRODUCT((Projects!$G$2:$G$45="Yes")*(78&gt;=Projects!$C$2:$C$45-$B$16)*((78&lt;=Projects!$W$2:$W$45-$B$106)*1+(78&gt;Projects!$W$2:$W$45-$B$106)*(78&lt;=Projects!$W$2:$W$45+$B$17)*$B$107)*((Projects!$B$2:$B$45&gt;=$B$12)*$B$9+(Projects!$B$2:$B$45&lt;$B$12)*(Projects!$B$2:$B$45&gt;=$B$13)*$B$10+(Projects!$B$2:$B$45&lt;$B$13)*$B$11))</f>
        <v>0</v>
      </c>
      <c r="CE40" s="386" t="n">
        <f aca="false">SUMPRODUCT((Projects!$G$2:$G$45="Yes")*(79&gt;=Projects!$C$2:$C$45-$B$16)*((79&lt;=Projects!$W$2:$W$45-$B$106)*1+(79&gt;Projects!$W$2:$W$45-$B$106)*(79&lt;=Projects!$W$2:$W$45+$B$17)*$B$107)*((Projects!$B$2:$B$45&gt;=$B$12)*$B$9+(Projects!$B$2:$B$45&lt;$B$12)*(Projects!$B$2:$B$45&gt;=$B$13)*$B$10+(Projects!$B$2:$B$45&lt;$B$13)*$B$11))</f>
        <v>0</v>
      </c>
      <c r="CF40" s="386" t="n">
        <f aca="false">SUMPRODUCT((Projects!$G$2:$G$45="Yes")*(80&gt;=Projects!$C$2:$C$45-$B$16)*((80&lt;=Projects!$W$2:$W$45-$B$106)*1+(80&gt;Projects!$W$2:$W$45-$B$106)*(80&lt;=Projects!$W$2:$W$45+$B$17)*$B$107)*((Projects!$B$2:$B$45&gt;=$B$12)*$B$9+(Projects!$B$2:$B$45&lt;$B$12)*(Projects!$B$2:$B$45&gt;=$B$13)*$B$10+(Projects!$B$2:$B$45&lt;$B$13)*$B$11))</f>
        <v>0</v>
      </c>
      <c r="CG40" s="386" t="n">
        <f aca="false">SUMPRODUCT((Projects!$G$2:$G$45="Yes")*(81&gt;=Projects!$C$2:$C$45-$B$16)*((81&lt;=Projects!$W$2:$W$45-$B$106)*1+(81&gt;Projects!$W$2:$W$45-$B$106)*(81&lt;=Projects!$W$2:$W$45+$B$17)*$B$107)*((Projects!$B$2:$B$45&gt;=$B$12)*$B$9+(Projects!$B$2:$B$45&lt;$B$12)*(Projects!$B$2:$B$45&gt;=$B$13)*$B$10+(Projects!$B$2:$B$45&lt;$B$13)*$B$11))</f>
        <v>0</v>
      </c>
      <c r="CH40" s="386" t="n">
        <f aca="false">SUMPRODUCT((Projects!$G$2:$G$45="Yes")*(82&gt;=Projects!$C$2:$C$45-$B$16)*((82&lt;=Projects!$W$2:$W$45-$B$106)*1+(82&gt;Projects!$W$2:$W$45-$B$106)*(82&lt;=Projects!$W$2:$W$45+$B$17)*$B$107)*((Projects!$B$2:$B$45&gt;=$B$12)*$B$9+(Projects!$B$2:$B$45&lt;$B$12)*(Projects!$B$2:$B$45&gt;=$B$13)*$B$10+(Projects!$B$2:$B$45&lt;$B$13)*$B$11))</f>
        <v>0</v>
      </c>
      <c r="CI40" s="386" t="n">
        <f aca="false">SUMPRODUCT((Projects!$G$2:$G$45="Yes")*(83&gt;=Projects!$C$2:$C$45-$B$16)*((83&lt;=Projects!$W$2:$W$45-$B$106)*1+(83&gt;Projects!$W$2:$W$45-$B$106)*(83&lt;=Projects!$W$2:$W$45+$B$17)*$B$107)*((Projects!$B$2:$B$45&gt;=$B$12)*$B$9+(Projects!$B$2:$B$45&lt;$B$12)*(Projects!$B$2:$B$45&gt;=$B$13)*$B$10+(Projects!$B$2:$B$45&lt;$B$13)*$B$11))</f>
        <v>0</v>
      </c>
      <c r="CJ40" s="386" t="n">
        <f aca="false">SUMPRODUCT((Projects!$G$2:$G$45="Yes")*(84&gt;=Projects!$C$2:$C$45-$B$16)*((84&lt;=Projects!$W$2:$W$45-$B$106)*1+(84&gt;Projects!$W$2:$W$45-$B$106)*(84&lt;=Projects!$W$2:$W$45+$B$17)*$B$107)*((Projects!$B$2:$B$45&gt;=$B$12)*$B$9+(Projects!$B$2:$B$45&lt;$B$12)*(Projects!$B$2:$B$45&gt;=$B$13)*$B$10+(Projects!$B$2:$B$45&lt;$B$13)*$B$11))</f>
        <v>0</v>
      </c>
      <c r="CK40" s="386" t="n">
        <f aca="false">SUMPRODUCT((Projects!$G$2:$G$45="Yes")*(85&gt;=Projects!$C$2:$C$45-$B$16)*((85&lt;=Projects!$W$2:$W$45-$B$106)*1+(85&gt;Projects!$W$2:$W$45-$B$106)*(85&lt;=Projects!$W$2:$W$45+$B$17)*$B$107)*((Projects!$B$2:$B$45&gt;=$B$12)*$B$9+(Projects!$B$2:$B$45&lt;$B$12)*(Projects!$B$2:$B$45&gt;=$B$13)*$B$10+(Projects!$B$2:$B$45&lt;$B$13)*$B$11))</f>
        <v>0</v>
      </c>
      <c r="CL40" s="386" t="n">
        <f aca="false">SUMPRODUCT((Projects!$G$2:$G$45="Yes")*(86&gt;=Projects!$C$2:$C$45-$B$16)*((86&lt;=Projects!$W$2:$W$45-$B$106)*1+(86&gt;Projects!$W$2:$W$45-$B$106)*(86&lt;=Projects!$W$2:$W$45+$B$17)*$B$107)*((Projects!$B$2:$B$45&gt;=$B$12)*$B$9+(Projects!$B$2:$B$45&lt;$B$12)*(Projects!$B$2:$B$45&gt;=$B$13)*$B$10+(Projects!$B$2:$B$45&lt;$B$13)*$B$11))</f>
        <v>0</v>
      </c>
      <c r="CM40" s="386" t="n">
        <f aca="false">SUMPRODUCT((Projects!$G$2:$G$45="Yes")*(87&gt;=Projects!$C$2:$C$45-$B$16)*((87&lt;=Projects!$W$2:$W$45-$B$106)*1+(87&gt;Projects!$W$2:$W$45-$B$106)*(87&lt;=Projects!$W$2:$W$45+$B$17)*$B$107)*((Projects!$B$2:$B$45&gt;=$B$12)*$B$9+(Projects!$B$2:$B$45&lt;$B$12)*(Projects!$B$2:$B$45&gt;=$B$13)*$B$10+(Projects!$B$2:$B$45&lt;$B$13)*$B$11))</f>
        <v>0</v>
      </c>
      <c r="CN40" s="386" t="n">
        <f aca="false">SUMPRODUCT((Projects!$G$2:$G$45="Yes")*(88&gt;=Projects!$C$2:$C$45-$B$16)*((88&lt;=Projects!$W$2:$W$45-$B$106)*1+(88&gt;Projects!$W$2:$W$45-$B$106)*(88&lt;=Projects!$W$2:$W$45+$B$17)*$B$107)*((Projects!$B$2:$B$45&gt;=$B$12)*$B$9+(Projects!$B$2:$B$45&lt;$B$12)*(Projects!$B$2:$B$45&gt;=$B$13)*$B$10+(Projects!$B$2:$B$45&lt;$B$13)*$B$11))</f>
        <v>0</v>
      </c>
      <c r="CO40" s="386" t="n">
        <f aca="false">SUMPRODUCT((Projects!$G$2:$G$45="Yes")*(89&gt;=Projects!$C$2:$C$45-$B$16)*((89&lt;=Projects!$W$2:$W$45-$B$106)*1+(89&gt;Projects!$W$2:$W$45-$B$106)*(89&lt;=Projects!$W$2:$W$45+$B$17)*$B$107)*((Projects!$B$2:$B$45&gt;=$B$12)*$B$9+(Projects!$B$2:$B$45&lt;$B$12)*(Projects!$B$2:$B$45&gt;=$B$13)*$B$10+(Projects!$B$2:$B$45&lt;$B$13)*$B$11))</f>
        <v>0</v>
      </c>
      <c r="CP40" s="386" t="n">
        <f aca="false">SUMPRODUCT((Projects!$G$2:$G$45="Yes")*(90&gt;=Projects!$C$2:$C$45-$B$16)*((90&lt;=Projects!$W$2:$W$45-$B$106)*1+(90&gt;Projects!$W$2:$W$45-$B$106)*(90&lt;=Projects!$W$2:$W$45+$B$17)*$B$107)*((Projects!$B$2:$B$45&gt;=$B$12)*$B$9+(Projects!$B$2:$B$45&lt;$B$12)*(Projects!$B$2:$B$45&gt;=$B$13)*$B$10+(Projects!$B$2:$B$45&lt;$B$13)*$B$11))</f>
        <v>0</v>
      </c>
      <c r="CQ40" s="386" t="n">
        <f aca="false">SUMPRODUCT((Projects!$G$2:$G$45="Yes")*(91&gt;=Projects!$C$2:$C$45-$B$16)*((91&lt;=Projects!$W$2:$W$45-$B$106)*1+(91&gt;Projects!$W$2:$W$45-$B$106)*(91&lt;=Projects!$W$2:$W$45+$B$17)*$B$107)*((Projects!$B$2:$B$45&gt;=$B$12)*$B$9+(Projects!$B$2:$B$45&lt;$B$12)*(Projects!$B$2:$B$45&gt;=$B$13)*$B$10+(Projects!$B$2:$B$45&lt;$B$13)*$B$11))</f>
        <v>0</v>
      </c>
      <c r="CR40" s="386" t="n">
        <f aca="false">SUMPRODUCT((Projects!$G$2:$G$45="Yes")*(92&gt;=Projects!$C$2:$C$45-$B$16)*((92&lt;=Projects!$W$2:$W$45-$B$106)*1+(92&gt;Projects!$W$2:$W$45-$B$106)*(92&lt;=Projects!$W$2:$W$45+$B$17)*$B$107)*((Projects!$B$2:$B$45&gt;=$B$12)*$B$9+(Projects!$B$2:$B$45&lt;$B$12)*(Projects!$B$2:$B$45&gt;=$B$13)*$B$10+(Projects!$B$2:$B$45&lt;$B$13)*$B$11))</f>
        <v>0</v>
      </c>
      <c r="CS40" s="386" t="n">
        <f aca="false">SUMPRODUCT((Projects!$G$2:$G$45="Yes")*(93&gt;=Projects!$C$2:$C$45-$B$16)*((93&lt;=Projects!$W$2:$W$45-$B$106)*1+(93&gt;Projects!$W$2:$W$45-$B$106)*(93&lt;=Projects!$W$2:$W$45+$B$17)*$B$107)*((Projects!$B$2:$B$45&gt;=$B$12)*$B$9+(Projects!$B$2:$B$45&lt;$B$12)*(Projects!$B$2:$B$45&gt;=$B$13)*$B$10+(Projects!$B$2:$B$45&lt;$B$13)*$B$11))</f>
        <v>0</v>
      </c>
      <c r="CT40" s="386" t="n">
        <f aca="false">SUMPRODUCT((Projects!$G$2:$G$45="Yes")*(94&gt;=Projects!$C$2:$C$45-$B$16)*((94&lt;=Projects!$W$2:$W$45-$B$106)*1+(94&gt;Projects!$W$2:$W$45-$B$106)*(94&lt;=Projects!$W$2:$W$45+$B$17)*$B$107)*((Projects!$B$2:$B$45&gt;=$B$12)*$B$9+(Projects!$B$2:$B$45&lt;$B$12)*(Projects!$B$2:$B$45&gt;=$B$13)*$B$10+(Projects!$B$2:$B$45&lt;$B$13)*$B$11))</f>
        <v>0</v>
      </c>
      <c r="CU40" s="386" t="n">
        <f aca="false">SUMPRODUCT((Projects!$G$2:$G$45="Yes")*(95&gt;=Projects!$C$2:$C$45-$B$16)*((95&lt;=Projects!$W$2:$W$45-$B$106)*1+(95&gt;Projects!$W$2:$W$45-$B$106)*(95&lt;=Projects!$W$2:$W$45+$B$17)*$B$107)*((Projects!$B$2:$B$45&gt;=$B$12)*$B$9+(Projects!$B$2:$B$45&lt;$B$12)*(Projects!$B$2:$B$45&gt;=$B$13)*$B$10+(Projects!$B$2:$B$45&lt;$B$13)*$B$11))</f>
        <v>0</v>
      </c>
      <c r="CV40" s="386" t="n">
        <f aca="false">SUMPRODUCT((Projects!$G$2:$G$45="Yes")*(96&gt;=Projects!$C$2:$C$45-$B$16)*((96&lt;=Projects!$W$2:$W$45-$B$106)*1+(96&gt;Projects!$W$2:$W$45-$B$106)*(96&lt;=Projects!$W$2:$W$45+$B$17)*$B$107)*((Projects!$B$2:$B$45&gt;=$B$12)*$B$9+(Projects!$B$2:$B$45&lt;$B$12)*(Projects!$B$2:$B$45&gt;=$B$13)*$B$10+(Projects!$B$2:$B$45&lt;$B$13)*$B$11))</f>
        <v>0</v>
      </c>
      <c r="CW40" s="386" t="n">
        <f aca="false">SUMPRODUCT((Projects!$G$2:$G$45="Yes")*(97&gt;=Projects!$C$2:$C$45-$B$16)*((97&lt;=Projects!$W$2:$W$45-$B$106)*1+(97&gt;Projects!$W$2:$W$45-$B$106)*(97&lt;=Projects!$W$2:$W$45+$B$17)*$B$107)*((Projects!$B$2:$B$45&gt;=$B$12)*$B$9+(Projects!$B$2:$B$45&lt;$B$12)*(Projects!$B$2:$B$45&gt;=$B$13)*$B$10+(Projects!$B$2:$B$45&lt;$B$13)*$B$11))</f>
        <v>0</v>
      </c>
      <c r="CX40" s="386" t="n">
        <f aca="false">SUMPRODUCT((Projects!$G$2:$G$45="Yes")*(98&gt;=Projects!$C$2:$C$45-$B$16)*((98&lt;=Projects!$W$2:$W$45-$B$106)*1+(98&gt;Projects!$W$2:$W$45-$B$106)*(98&lt;=Projects!$W$2:$W$45+$B$17)*$B$107)*((Projects!$B$2:$B$45&gt;=$B$12)*$B$9+(Projects!$B$2:$B$45&lt;$B$12)*(Projects!$B$2:$B$45&gt;=$B$13)*$B$10+(Projects!$B$2:$B$45&lt;$B$13)*$B$11))</f>
        <v>0</v>
      </c>
      <c r="CY40" s="386" t="n">
        <f aca="false">SUMPRODUCT((Projects!$G$2:$G$45="Yes")*(99&gt;=Projects!$C$2:$C$45-$B$16)*((99&lt;=Projects!$W$2:$W$45-$B$106)*1+(99&gt;Projects!$W$2:$W$45-$B$106)*(99&lt;=Projects!$W$2:$W$45+$B$17)*$B$107)*((Projects!$B$2:$B$45&gt;=$B$12)*$B$9+(Projects!$B$2:$B$45&lt;$B$12)*(Projects!$B$2:$B$45&gt;=$B$13)*$B$10+(Projects!$B$2:$B$45&lt;$B$13)*$B$11))</f>
        <v>0</v>
      </c>
      <c r="CZ40" s="386" t="n">
        <f aca="false">SUMPRODUCT((Projects!$G$2:$G$45="Yes")*(100&gt;=Projects!$C$2:$C$45-$B$16)*((100&lt;=Projects!$W$2:$W$45-$B$106)*1+(100&gt;Projects!$W$2:$W$45-$B$106)*(100&lt;=Projects!$W$2:$W$45+$B$17)*$B$107)*((Projects!$B$2:$B$45&gt;=$B$12)*$B$9+(Projects!$B$2:$B$45&lt;$B$12)*(Projects!$B$2:$B$45&gt;=$B$13)*$B$10+(Projects!$B$2:$B$45&lt;$B$13)*$B$11))</f>
        <v>0</v>
      </c>
      <c r="DA40" s="386" t="n">
        <f aca="false">SUMPRODUCT((Projects!$G$2:$G$45="Yes")*(101&gt;=Projects!$C$2:$C$45-$B$16)*((101&lt;=Projects!$W$2:$W$45-$B$106)*1+(101&gt;Projects!$W$2:$W$45-$B$106)*(101&lt;=Projects!$W$2:$W$45+$B$17)*$B$107)*((Projects!$B$2:$B$45&gt;=$B$12)*$B$9+(Projects!$B$2:$B$45&lt;$B$12)*(Projects!$B$2:$B$45&gt;=$B$13)*$B$10+(Projects!$B$2:$B$45&lt;$B$13)*$B$11))</f>
        <v>0</v>
      </c>
      <c r="DB40" s="386" t="n">
        <f aca="false">SUMPRODUCT((Projects!$G$2:$G$45="Yes")*(102&gt;=Projects!$C$2:$C$45-$B$16)*((102&lt;=Projects!$W$2:$W$45-$B$106)*1+(102&gt;Projects!$W$2:$W$45-$B$106)*(102&lt;=Projects!$W$2:$W$45+$B$17)*$B$107)*((Projects!$B$2:$B$45&gt;=$B$12)*$B$9+(Projects!$B$2:$B$45&lt;$B$12)*(Projects!$B$2:$B$45&gt;=$B$13)*$B$10+(Projects!$B$2:$B$45&lt;$B$13)*$B$11))</f>
        <v>0</v>
      </c>
      <c r="DC40" s="386" t="n">
        <f aca="false">SUMPRODUCT((Projects!$G$2:$G$45="Yes")*(103&gt;=Projects!$C$2:$C$45-$B$16)*((103&lt;=Projects!$W$2:$W$45-$B$106)*1+(103&gt;Projects!$W$2:$W$45-$B$106)*(103&lt;=Projects!$W$2:$W$45+$B$17)*$B$107)*((Projects!$B$2:$B$45&gt;=$B$12)*$B$9+(Projects!$B$2:$B$45&lt;$B$12)*(Projects!$B$2:$B$45&gt;=$B$13)*$B$10+(Projects!$B$2:$B$45&lt;$B$13)*$B$11))</f>
        <v>0</v>
      </c>
      <c r="DD40" s="386" t="n">
        <f aca="false">SUMPRODUCT((Projects!$G$2:$G$45="Yes")*(104&gt;=Projects!$C$2:$C$45-$B$16)*((104&lt;=Projects!$W$2:$W$45-$B$106)*1+(104&gt;Projects!$W$2:$W$45-$B$106)*(104&lt;=Projects!$W$2:$W$45+$B$17)*$B$107)*((Projects!$B$2:$B$45&gt;=$B$12)*$B$9+(Projects!$B$2:$B$45&lt;$B$12)*(Projects!$B$2:$B$45&gt;=$B$13)*$B$10+(Projects!$B$2:$B$45&lt;$B$13)*$B$11))</f>
        <v>0</v>
      </c>
      <c r="DE40" s="386"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11" t="s">
        <v>1381</v>
      </c>
      <c r="B42" s="212"/>
      <c r="C42" s="212"/>
      <c r="D42" s="212"/>
      <c r="E42" s="212"/>
      <c r="F42" s="212"/>
    </row>
    <row r="43" customFormat="false" ht="13.5" hidden="false" customHeight="true" outlineLevel="0" collapsed="false">
      <c r="A43" s="110" t="s">
        <v>1382</v>
      </c>
      <c r="E43" s="386" t="n">
        <f aca="false">SUMPRODUCT((Personnel!$P$9:$P$100="SUPER")*(Personnel!$G$9:$G$100="Yes")*(1&gt;=Personnel!$E$9:$E$100)*((Personnel!$K$9:$K$100="")+(1&lt;=Personnel!$K$9:$K$100)&gt;0))</f>
        <v>4</v>
      </c>
      <c r="F43" s="386" t="n">
        <f aca="false">SUMPRODUCT((Personnel!$P$9:$P$100="SUPER")*(Personnel!$G$9:$G$100="Yes")*(2&gt;=Personnel!$E$9:$E$100)*((Personnel!$K$9:$K$100="")+(2&lt;=Personnel!$K$9:$K$100)&gt;0))</f>
        <v>5</v>
      </c>
      <c r="G43" s="386" t="n">
        <f aca="false">SUMPRODUCT((Personnel!$P$9:$P$100="SUPER")*(Personnel!$G$9:$G$100="Yes")*(3&gt;=Personnel!$E$9:$E$100)*((Personnel!$K$9:$K$100="")+(3&lt;=Personnel!$K$9:$K$100)&gt;0))</f>
        <v>5</v>
      </c>
      <c r="H43" s="386" t="n">
        <f aca="false">SUMPRODUCT((Personnel!$P$9:$P$100="SUPER")*(Personnel!$G$9:$G$100="Yes")*(4&gt;=Personnel!$E$9:$E$100)*((Personnel!$K$9:$K$100="")+(4&lt;=Personnel!$K$9:$K$100)&gt;0))</f>
        <v>6</v>
      </c>
      <c r="I43" s="386" t="n">
        <f aca="false">SUMPRODUCT((Personnel!$P$9:$P$100="SUPER")*(Personnel!$G$9:$G$100="Yes")*(5&gt;=Personnel!$E$9:$E$100)*((Personnel!$K$9:$K$100="")+(5&lt;=Personnel!$K$9:$K$100)&gt;0))</f>
        <v>6</v>
      </c>
      <c r="J43" s="386" t="n">
        <f aca="false">SUMPRODUCT((Personnel!$P$9:$P$100="SUPER")*(Personnel!$G$9:$G$100="Yes")*(6&gt;=Personnel!$E$9:$E$100)*((Personnel!$K$9:$K$100="")+(6&lt;=Personnel!$K$9:$K$100)&gt;0))</f>
        <v>7</v>
      </c>
      <c r="K43" s="386" t="n">
        <f aca="false">SUMPRODUCT((Personnel!$P$9:$P$100="SUPER")*(Personnel!$G$9:$G$100="Yes")*(7&gt;=Personnel!$E$9:$E$100)*((Personnel!$K$9:$K$100="")+(7&lt;=Personnel!$K$9:$K$100)&gt;0))</f>
        <v>7</v>
      </c>
      <c r="L43" s="386" t="n">
        <f aca="false">SUMPRODUCT((Personnel!$P$9:$P$100="SUPER")*(Personnel!$G$9:$G$100="Yes")*(8&gt;=Personnel!$E$9:$E$100)*((Personnel!$K$9:$K$100="")+(8&lt;=Personnel!$K$9:$K$100)&gt;0))</f>
        <v>7</v>
      </c>
      <c r="M43" s="386" t="n">
        <f aca="false">SUMPRODUCT((Personnel!$P$9:$P$100="SUPER")*(Personnel!$G$9:$G$100="Yes")*(9&gt;=Personnel!$E$9:$E$100)*((Personnel!$K$9:$K$100="")+(9&lt;=Personnel!$K$9:$K$100)&gt;0))</f>
        <v>7</v>
      </c>
      <c r="N43" s="386" t="n">
        <f aca="false">SUMPRODUCT((Personnel!$P$9:$P$100="SUPER")*(Personnel!$G$9:$G$100="Yes")*(10&gt;=Personnel!$E$9:$E$100)*((Personnel!$K$9:$K$100="")+(10&lt;=Personnel!$K$9:$K$100)&gt;0))</f>
        <v>7</v>
      </c>
      <c r="O43" s="386" t="n">
        <f aca="false">SUMPRODUCT((Personnel!$P$9:$P$100="SUPER")*(Personnel!$G$9:$G$100="Yes")*(11&gt;=Personnel!$E$9:$E$100)*((Personnel!$K$9:$K$100="")+(11&lt;=Personnel!$K$9:$K$100)&gt;0))</f>
        <v>7</v>
      </c>
      <c r="P43" s="386" t="n">
        <f aca="false">SUMPRODUCT((Personnel!$P$9:$P$100="SUPER")*(Personnel!$G$9:$G$100="Yes")*(12&gt;=Personnel!$E$9:$E$100)*((Personnel!$K$9:$K$100="")+(12&lt;=Personnel!$K$9:$K$100)&gt;0))</f>
        <v>7</v>
      </c>
      <c r="Q43" s="386" t="n">
        <f aca="false">SUMPRODUCT((Personnel!$P$9:$P$100="SUPER")*(Personnel!$G$9:$G$100="Yes")*(13&gt;=Personnel!$E$9:$E$100)*((Personnel!$K$9:$K$100="")+(13&lt;=Personnel!$K$9:$K$100)&gt;0))</f>
        <v>7</v>
      </c>
      <c r="R43" s="386" t="n">
        <f aca="false">SUMPRODUCT((Personnel!$P$9:$P$100="SUPER")*(Personnel!$G$9:$G$100="Yes")*(14&gt;=Personnel!$E$9:$E$100)*((Personnel!$K$9:$K$100="")+(14&lt;=Personnel!$K$9:$K$100)&gt;0))</f>
        <v>7</v>
      </c>
      <c r="S43" s="386" t="n">
        <f aca="false">SUMPRODUCT((Personnel!$P$9:$P$100="SUPER")*(Personnel!$G$9:$G$100="Yes")*(15&gt;=Personnel!$E$9:$E$100)*((Personnel!$K$9:$K$100="")+(15&lt;=Personnel!$K$9:$K$100)&gt;0))</f>
        <v>7</v>
      </c>
      <c r="T43" s="386" t="n">
        <f aca="false">SUMPRODUCT((Personnel!$P$9:$P$100="SUPER")*(Personnel!$G$9:$G$100="Yes")*(16&gt;=Personnel!$E$9:$E$100)*((Personnel!$K$9:$K$100="")+(16&lt;=Personnel!$K$9:$K$100)&gt;0))</f>
        <v>7</v>
      </c>
      <c r="U43" s="386" t="n">
        <f aca="false">SUMPRODUCT((Personnel!$P$9:$P$100="SUPER")*(Personnel!$G$9:$G$100="Yes")*(17&gt;=Personnel!$E$9:$E$100)*((Personnel!$K$9:$K$100="")+(17&lt;=Personnel!$K$9:$K$100)&gt;0))</f>
        <v>7</v>
      </c>
      <c r="V43" s="386" t="n">
        <f aca="false">SUMPRODUCT((Personnel!$P$9:$P$100="SUPER")*(Personnel!$G$9:$G$100="Yes")*(18&gt;=Personnel!$E$9:$E$100)*((Personnel!$K$9:$K$100="")+(18&lt;=Personnel!$K$9:$K$100)&gt;0))</f>
        <v>7</v>
      </c>
      <c r="W43" s="386" t="n">
        <f aca="false">SUMPRODUCT((Personnel!$P$9:$P$100="SUPER")*(Personnel!$G$9:$G$100="Yes")*(19&gt;=Personnel!$E$9:$E$100)*((Personnel!$K$9:$K$100="")+(19&lt;=Personnel!$K$9:$K$100)&gt;0))</f>
        <v>7</v>
      </c>
      <c r="X43" s="386" t="n">
        <f aca="false">SUMPRODUCT((Personnel!$P$9:$P$100="SUPER")*(Personnel!$G$9:$G$100="Yes")*(20&gt;=Personnel!$E$9:$E$100)*((Personnel!$K$9:$K$100="")+(20&lt;=Personnel!$K$9:$K$100)&gt;0))</f>
        <v>7</v>
      </c>
      <c r="Y43" s="386" t="n">
        <f aca="false">SUMPRODUCT((Personnel!$P$9:$P$100="SUPER")*(Personnel!$G$9:$G$100="Yes")*(21&gt;=Personnel!$E$9:$E$100)*((Personnel!$K$9:$K$100="")+(21&lt;=Personnel!$K$9:$K$100)&gt;0))</f>
        <v>7</v>
      </c>
      <c r="Z43" s="386" t="n">
        <f aca="false">SUMPRODUCT((Personnel!$P$9:$P$100="SUPER")*(Personnel!$G$9:$G$100="Yes")*(22&gt;=Personnel!$E$9:$E$100)*((Personnel!$K$9:$K$100="")+(22&lt;=Personnel!$K$9:$K$100)&gt;0))</f>
        <v>7</v>
      </c>
      <c r="AA43" s="386" t="n">
        <f aca="false">SUMPRODUCT((Personnel!$P$9:$P$100="SUPER")*(Personnel!$G$9:$G$100="Yes")*(23&gt;=Personnel!$E$9:$E$100)*((Personnel!$K$9:$K$100="")+(23&lt;=Personnel!$K$9:$K$100)&gt;0))</f>
        <v>7</v>
      </c>
      <c r="AB43" s="386" t="n">
        <f aca="false">SUMPRODUCT((Personnel!$P$9:$P$100="SUPER")*(Personnel!$G$9:$G$100="Yes")*(24&gt;=Personnel!$E$9:$E$100)*((Personnel!$K$9:$K$100="")+(24&lt;=Personnel!$K$9:$K$100)&gt;0))</f>
        <v>7</v>
      </c>
      <c r="AC43" s="386" t="n">
        <f aca="false">SUMPRODUCT((Personnel!$P$9:$P$100="SUPER")*(Personnel!$G$9:$G$100="Yes")*(25&gt;=Personnel!$E$9:$E$100)*((Personnel!$K$9:$K$100="")+(25&lt;=Personnel!$K$9:$K$100)&gt;0))</f>
        <v>7</v>
      </c>
      <c r="AD43" s="386" t="n">
        <f aca="false">SUMPRODUCT((Personnel!$P$9:$P$100="SUPER")*(Personnel!$G$9:$G$100="Yes")*(26&gt;=Personnel!$E$9:$E$100)*((Personnel!$K$9:$K$100="")+(26&lt;=Personnel!$K$9:$K$100)&gt;0))</f>
        <v>7</v>
      </c>
      <c r="AE43" s="386" t="n">
        <f aca="false">SUMPRODUCT((Personnel!$P$9:$P$100="SUPER")*(Personnel!$G$9:$G$100="Yes")*(27&gt;=Personnel!$E$9:$E$100)*((Personnel!$K$9:$K$100="")+(27&lt;=Personnel!$K$9:$K$100)&gt;0))</f>
        <v>7</v>
      </c>
      <c r="AF43" s="386" t="n">
        <f aca="false">SUMPRODUCT((Personnel!$P$9:$P$100="SUPER")*(Personnel!$G$9:$G$100="Yes")*(28&gt;=Personnel!$E$9:$E$100)*((Personnel!$K$9:$K$100="")+(28&lt;=Personnel!$K$9:$K$100)&gt;0))</f>
        <v>7</v>
      </c>
      <c r="AG43" s="386" t="n">
        <f aca="false">SUMPRODUCT((Personnel!$P$9:$P$100="SUPER")*(Personnel!$G$9:$G$100="Yes")*(29&gt;=Personnel!$E$9:$E$100)*((Personnel!$K$9:$K$100="")+(29&lt;=Personnel!$K$9:$K$100)&gt;0))</f>
        <v>7</v>
      </c>
      <c r="AH43" s="386" t="n">
        <f aca="false">SUMPRODUCT((Personnel!$P$9:$P$100="SUPER")*(Personnel!$G$9:$G$100="Yes")*(30&gt;=Personnel!$E$9:$E$100)*((Personnel!$K$9:$K$100="")+(30&lt;=Personnel!$K$9:$K$100)&gt;0))</f>
        <v>7</v>
      </c>
      <c r="AI43" s="386" t="n">
        <f aca="false">SUMPRODUCT((Personnel!$P$9:$P$100="SUPER")*(Personnel!$G$9:$G$100="Yes")*(31&gt;=Personnel!$E$9:$E$100)*((Personnel!$K$9:$K$100="")+(31&lt;=Personnel!$K$9:$K$100)&gt;0))</f>
        <v>7</v>
      </c>
      <c r="AJ43" s="386" t="n">
        <f aca="false">SUMPRODUCT((Personnel!$P$9:$P$100="SUPER")*(Personnel!$G$9:$G$100="Yes")*(32&gt;=Personnel!$E$9:$E$100)*((Personnel!$K$9:$K$100="")+(32&lt;=Personnel!$K$9:$K$100)&gt;0))</f>
        <v>7</v>
      </c>
      <c r="AK43" s="386" t="n">
        <f aca="false">SUMPRODUCT((Personnel!$P$9:$P$100="SUPER")*(Personnel!$G$9:$G$100="Yes")*(33&gt;=Personnel!$E$9:$E$100)*((Personnel!$K$9:$K$100="")+(33&lt;=Personnel!$K$9:$K$100)&gt;0))</f>
        <v>7</v>
      </c>
      <c r="AL43" s="386" t="n">
        <f aca="false">SUMPRODUCT((Personnel!$P$9:$P$100="SUPER")*(Personnel!$G$9:$G$100="Yes")*(34&gt;=Personnel!$E$9:$E$100)*((Personnel!$K$9:$K$100="")+(34&lt;=Personnel!$K$9:$K$100)&gt;0))</f>
        <v>7</v>
      </c>
      <c r="AM43" s="386" t="n">
        <f aca="false">SUMPRODUCT((Personnel!$P$9:$P$100="SUPER")*(Personnel!$G$9:$G$100="Yes")*(35&gt;=Personnel!$E$9:$E$100)*((Personnel!$K$9:$K$100="")+(35&lt;=Personnel!$K$9:$K$100)&gt;0))</f>
        <v>7</v>
      </c>
      <c r="AN43" s="386" t="n">
        <f aca="false">SUMPRODUCT((Personnel!$P$9:$P$100="SUPER")*(Personnel!$G$9:$G$100="Yes")*(36&gt;=Personnel!$E$9:$E$100)*((Personnel!$K$9:$K$100="")+(36&lt;=Personnel!$K$9:$K$100)&gt;0))</f>
        <v>7</v>
      </c>
      <c r="AO43" s="386" t="n">
        <f aca="false">SUMPRODUCT((Personnel!$P$9:$P$100="SUPER")*(Personnel!$G$9:$G$100="Yes")*(37&gt;=Personnel!$E$9:$E$100)*((Personnel!$K$9:$K$100="")+(37&lt;=Personnel!$K$9:$K$100)&gt;0))</f>
        <v>7</v>
      </c>
      <c r="AP43" s="386" t="n">
        <f aca="false">SUMPRODUCT((Personnel!$P$9:$P$100="SUPER")*(Personnel!$G$9:$G$100="Yes")*(38&gt;=Personnel!$E$9:$E$100)*((Personnel!$K$9:$K$100="")+(38&lt;=Personnel!$K$9:$K$100)&gt;0))</f>
        <v>7</v>
      </c>
      <c r="AQ43" s="386" t="n">
        <f aca="false">SUMPRODUCT((Personnel!$P$9:$P$100="SUPER")*(Personnel!$G$9:$G$100="Yes")*(39&gt;=Personnel!$E$9:$E$100)*((Personnel!$K$9:$K$100="")+(39&lt;=Personnel!$K$9:$K$100)&gt;0))</f>
        <v>7</v>
      </c>
      <c r="AR43" s="386" t="n">
        <f aca="false">SUMPRODUCT((Personnel!$P$9:$P$100="SUPER")*(Personnel!$G$9:$G$100="Yes")*(40&gt;=Personnel!$E$9:$E$100)*((Personnel!$K$9:$K$100="")+(40&lt;=Personnel!$K$9:$K$100)&gt;0))</f>
        <v>7</v>
      </c>
      <c r="AS43" s="386" t="n">
        <f aca="false">SUMPRODUCT((Personnel!$P$9:$P$100="SUPER")*(Personnel!$G$9:$G$100="Yes")*(41&gt;=Personnel!$E$9:$E$100)*((Personnel!$K$9:$K$100="")+(41&lt;=Personnel!$K$9:$K$100)&gt;0))</f>
        <v>7</v>
      </c>
      <c r="AT43" s="386" t="n">
        <f aca="false">SUMPRODUCT((Personnel!$P$9:$P$100="SUPER")*(Personnel!$G$9:$G$100="Yes")*(42&gt;=Personnel!$E$9:$E$100)*((Personnel!$K$9:$K$100="")+(42&lt;=Personnel!$K$9:$K$100)&gt;0))</f>
        <v>7</v>
      </c>
      <c r="AU43" s="386" t="n">
        <f aca="false">SUMPRODUCT((Personnel!$P$9:$P$100="SUPER")*(Personnel!$G$9:$G$100="Yes")*(43&gt;=Personnel!$E$9:$E$100)*((Personnel!$K$9:$K$100="")+(43&lt;=Personnel!$K$9:$K$100)&gt;0))</f>
        <v>7</v>
      </c>
      <c r="AV43" s="386" t="n">
        <f aca="false">SUMPRODUCT((Personnel!$P$9:$P$100="SUPER")*(Personnel!$G$9:$G$100="Yes")*(44&gt;=Personnel!$E$9:$E$100)*((Personnel!$K$9:$K$100="")+(44&lt;=Personnel!$K$9:$K$100)&gt;0))</f>
        <v>7</v>
      </c>
      <c r="AW43" s="386" t="n">
        <f aca="false">SUMPRODUCT((Personnel!$P$9:$P$100="SUPER")*(Personnel!$G$9:$G$100="Yes")*(45&gt;=Personnel!$E$9:$E$100)*((Personnel!$K$9:$K$100="")+(45&lt;=Personnel!$K$9:$K$100)&gt;0))</f>
        <v>7</v>
      </c>
      <c r="AX43" s="386" t="n">
        <f aca="false">SUMPRODUCT((Personnel!$P$9:$P$100="SUPER")*(Personnel!$G$9:$G$100="Yes")*(46&gt;=Personnel!$E$9:$E$100)*((Personnel!$K$9:$K$100="")+(46&lt;=Personnel!$K$9:$K$100)&gt;0))</f>
        <v>7</v>
      </c>
      <c r="AY43" s="386" t="n">
        <f aca="false">SUMPRODUCT((Personnel!$P$9:$P$100="SUPER")*(Personnel!$G$9:$G$100="Yes")*(47&gt;=Personnel!$E$9:$E$100)*((Personnel!$K$9:$K$100="")+(47&lt;=Personnel!$K$9:$K$100)&gt;0))</f>
        <v>7</v>
      </c>
      <c r="AZ43" s="386" t="n">
        <f aca="false">SUMPRODUCT((Personnel!$P$9:$P$100="SUPER")*(Personnel!$G$9:$G$100="Yes")*(48&gt;=Personnel!$E$9:$E$100)*((Personnel!$K$9:$K$100="")+(48&lt;=Personnel!$K$9:$K$100)&gt;0))</f>
        <v>7</v>
      </c>
      <c r="BA43" s="386" t="n">
        <f aca="false">SUMPRODUCT((Personnel!$P$9:$P$100="SUPER")*(Personnel!$G$9:$G$100="Yes")*(49&gt;=Personnel!$E$9:$E$100)*((Personnel!$K$9:$K$100="")+(49&lt;=Personnel!$K$9:$K$100)&gt;0))</f>
        <v>7</v>
      </c>
      <c r="BB43" s="386" t="n">
        <f aca="false">SUMPRODUCT((Personnel!$P$9:$P$100="SUPER")*(Personnel!$G$9:$G$100="Yes")*(50&gt;=Personnel!$E$9:$E$100)*((Personnel!$K$9:$K$100="")+(50&lt;=Personnel!$K$9:$K$100)&gt;0))</f>
        <v>7</v>
      </c>
      <c r="BC43" s="386" t="n">
        <f aca="false">SUMPRODUCT((Personnel!$P$9:$P$100="SUPER")*(Personnel!$G$9:$G$100="Yes")*(51&gt;=Personnel!$E$9:$E$100)*((Personnel!$K$9:$K$100="")+(51&lt;=Personnel!$K$9:$K$100)&gt;0))</f>
        <v>7</v>
      </c>
      <c r="BD43" s="386" t="n">
        <f aca="false">SUMPRODUCT((Personnel!$P$9:$P$100="SUPER")*(Personnel!$G$9:$G$100="Yes")*(52&gt;=Personnel!$E$9:$E$100)*((Personnel!$K$9:$K$100="")+(52&lt;=Personnel!$K$9:$K$100)&gt;0))</f>
        <v>7</v>
      </c>
      <c r="BE43" s="386" t="n">
        <f aca="false">SUMPRODUCT((Personnel!$P$9:$P$100="SUPER")*(Personnel!$G$9:$G$100="Yes")*(53&gt;=Personnel!$E$9:$E$100)*((Personnel!$K$9:$K$100="")+(53&lt;=Personnel!$K$9:$K$100)&gt;0))</f>
        <v>7</v>
      </c>
      <c r="BF43" s="386" t="n">
        <f aca="false">SUMPRODUCT((Personnel!$P$9:$P$100="SUPER")*(Personnel!$G$9:$G$100="Yes")*(54&gt;=Personnel!$E$9:$E$100)*((Personnel!$K$9:$K$100="")+(54&lt;=Personnel!$K$9:$K$100)&gt;0))</f>
        <v>7</v>
      </c>
      <c r="BG43" s="386" t="n">
        <f aca="false">SUMPRODUCT((Personnel!$P$9:$P$100="SUPER")*(Personnel!$G$9:$G$100="Yes")*(55&gt;=Personnel!$E$9:$E$100)*((Personnel!$K$9:$K$100="")+(55&lt;=Personnel!$K$9:$K$100)&gt;0))</f>
        <v>7</v>
      </c>
      <c r="BH43" s="386" t="n">
        <f aca="false">SUMPRODUCT((Personnel!$P$9:$P$100="SUPER")*(Personnel!$G$9:$G$100="Yes")*(56&gt;=Personnel!$E$9:$E$100)*((Personnel!$K$9:$K$100="")+(56&lt;=Personnel!$K$9:$K$100)&gt;0))</f>
        <v>7</v>
      </c>
      <c r="BI43" s="386" t="n">
        <f aca="false">SUMPRODUCT((Personnel!$P$9:$P$100="SUPER")*(Personnel!$G$9:$G$100="Yes")*(57&gt;=Personnel!$E$9:$E$100)*((Personnel!$K$9:$K$100="")+(57&lt;=Personnel!$K$9:$K$100)&gt;0))</f>
        <v>7</v>
      </c>
      <c r="BJ43" s="386" t="n">
        <f aca="false">SUMPRODUCT((Personnel!$P$9:$P$100="SUPER")*(Personnel!$G$9:$G$100="Yes")*(58&gt;=Personnel!$E$9:$E$100)*((Personnel!$K$9:$K$100="")+(58&lt;=Personnel!$K$9:$K$100)&gt;0))</f>
        <v>7</v>
      </c>
      <c r="BK43" s="386" t="n">
        <f aca="false">SUMPRODUCT((Personnel!$P$9:$P$100="SUPER")*(Personnel!$G$9:$G$100="Yes")*(59&gt;=Personnel!$E$9:$E$100)*((Personnel!$K$9:$K$100="")+(59&lt;=Personnel!$K$9:$K$100)&gt;0))</f>
        <v>7</v>
      </c>
      <c r="BL43" s="386" t="n">
        <f aca="false">SUMPRODUCT((Personnel!$P$9:$P$100="SUPER")*(Personnel!$G$9:$G$100="Yes")*(60&gt;=Personnel!$E$9:$E$100)*((Personnel!$K$9:$K$100="")+(60&lt;=Personnel!$K$9:$K$100)&gt;0))</f>
        <v>7</v>
      </c>
      <c r="BM43" s="386" t="n">
        <f aca="false">SUMPRODUCT((Personnel!$P$9:$P$100="SUPER")*(Personnel!$G$9:$G$100="Yes")*(61&gt;=Personnel!$E$9:$E$100)*((Personnel!$K$9:$K$100="")+(61&lt;=Personnel!$K$9:$K$100)&gt;0))</f>
        <v>7</v>
      </c>
      <c r="BN43" s="386" t="n">
        <f aca="false">SUMPRODUCT((Personnel!$P$9:$P$100="SUPER")*(Personnel!$G$9:$G$100="Yes")*(62&gt;=Personnel!$E$9:$E$100)*((Personnel!$K$9:$K$100="")+(62&lt;=Personnel!$K$9:$K$100)&gt;0))</f>
        <v>7</v>
      </c>
      <c r="BO43" s="386" t="n">
        <f aca="false">SUMPRODUCT((Personnel!$P$9:$P$100="SUPER")*(Personnel!$G$9:$G$100="Yes")*(63&gt;=Personnel!$E$9:$E$100)*((Personnel!$K$9:$K$100="")+(63&lt;=Personnel!$K$9:$K$100)&gt;0))</f>
        <v>7</v>
      </c>
      <c r="BP43" s="386" t="n">
        <f aca="false">SUMPRODUCT((Personnel!$P$9:$P$100="SUPER")*(Personnel!$G$9:$G$100="Yes")*(64&gt;=Personnel!$E$9:$E$100)*((Personnel!$K$9:$K$100="")+(64&lt;=Personnel!$K$9:$K$100)&gt;0))</f>
        <v>7</v>
      </c>
      <c r="BQ43" s="386" t="n">
        <f aca="false">SUMPRODUCT((Personnel!$P$9:$P$100="SUPER")*(Personnel!$G$9:$G$100="Yes")*(65&gt;=Personnel!$E$9:$E$100)*((Personnel!$K$9:$K$100="")+(65&lt;=Personnel!$K$9:$K$100)&gt;0))</f>
        <v>7</v>
      </c>
      <c r="BR43" s="386" t="n">
        <f aca="false">SUMPRODUCT((Personnel!$P$9:$P$100="SUPER")*(Personnel!$G$9:$G$100="Yes")*(66&gt;=Personnel!$E$9:$E$100)*((Personnel!$K$9:$K$100="")+(66&lt;=Personnel!$K$9:$K$100)&gt;0))</f>
        <v>7</v>
      </c>
      <c r="BS43" s="386" t="n">
        <f aca="false">SUMPRODUCT((Personnel!$P$9:$P$100="SUPER")*(Personnel!$G$9:$G$100="Yes")*(67&gt;=Personnel!$E$9:$E$100)*((Personnel!$K$9:$K$100="")+(67&lt;=Personnel!$K$9:$K$100)&gt;0))</f>
        <v>7</v>
      </c>
      <c r="BT43" s="386" t="n">
        <f aca="false">SUMPRODUCT((Personnel!$P$9:$P$100="SUPER")*(Personnel!$G$9:$G$100="Yes")*(68&gt;=Personnel!$E$9:$E$100)*((Personnel!$K$9:$K$100="")+(68&lt;=Personnel!$K$9:$K$100)&gt;0))</f>
        <v>7</v>
      </c>
      <c r="BU43" s="386" t="n">
        <f aca="false">SUMPRODUCT((Personnel!$P$9:$P$100="SUPER")*(Personnel!$G$9:$G$100="Yes")*(69&gt;=Personnel!$E$9:$E$100)*((Personnel!$K$9:$K$100="")+(69&lt;=Personnel!$K$9:$K$100)&gt;0))</f>
        <v>7</v>
      </c>
      <c r="BV43" s="386" t="n">
        <f aca="false">SUMPRODUCT((Personnel!$P$9:$P$100="SUPER")*(Personnel!$G$9:$G$100="Yes")*(70&gt;=Personnel!$E$9:$E$100)*((Personnel!$K$9:$K$100="")+(70&lt;=Personnel!$K$9:$K$100)&gt;0))</f>
        <v>7</v>
      </c>
      <c r="BW43" s="386" t="n">
        <f aca="false">SUMPRODUCT((Personnel!$P$9:$P$100="SUPER")*(Personnel!$G$9:$G$100="Yes")*(71&gt;=Personnel!$E$9:$E$100)*((Personnel!$K$9:$K$100="")+(71&lt;=Personnel!$K$9:$K$100)&gt;0))</f>
        <v>7</v>
      </c>
      <c r="BX43" s="386" t="n">
        <f aca="false">SUMPRODUCT((Personnel!$P$9:$P$100="SUPER")*(Personnel!$G$9:$G$100="Yes")*(72&gt;=Personnel!$E$9:$E$100)*((Personnel!$K$9:$K$100="")+(72&lt;=Personnel!$K$9:$K$100)&gt;0))</f>
        <v>7</v>
      </c>
      <c r="BY43" s="386" t="n">
        <f aca="false">SUMPRODUCT((Personnel!$P$9:$P$100="SUPER")*(Personnel!$G$9:$G$100="Yes")*(73&gt;=Personnel!$E$9:$E$100)*((Personnel!$K$9:$K$100="")+(73&lt;=Personnel!$K$9:$K$100)&gt;0))</f>
        <v>7</v>
      </c>
      <c r="BZ43" s="386" t="n">
        <f aca="false">SUMPRODUCT((Personnel!$P$9:$P$100="SUPER")*(Personnel!$G$9:$G$100="Yes")*(74&gt;=Personnel!$E$9:$E$100)*((Personnel!$K$9:$K$100="")+(74&lt;=Personnel!$K$9:$K$100)&gt;0))</f>
        <v>7</v>
      </c>
      <c r="CA43" s="386" t="n">
        <f aca="false">SUMPRODUCT((Personnel!$P$9:$P$100="SUPER")*(Personnel!$G$9:$G$100="Yes")*(75&gt;=Personnel!$E$9:$E$100)*((Personnel!$K$9:$K$100="")+(75&lt;=Personnel!$K$9:$K$100)&gt;0))</f>
        <v>7</v>
      </c>
      <c r="CB43" s="386" t="n">
        <f aca="false">SUMPRODUCT((Personnel!$P$9:$P$100="SUPER")*(Personnel!$G$9:$G$100="Yes")*(76&gt;=Personnel!$E$9:$E$100)*((Personnel!$K$9:$K$100="")+(76&lt;=Personnel!$K$9:$K$100)&gt;0))</f>
        <v>7</v>
      </c>
      <c r="CC43" s="386" t="n">
        <f aca="false">SUMPRODUCT((Personnel!$P$9:$P$100="SUPER")*(Personnel!$G$9:$G$100="Yes")*(77&gt;=Personnel!$E$9:$E$100)*((Personnel!$K$9:$K$100="")+(77&lt;=Personnel!$K$9:$K$100)&gt;0))</f>
        <v>7</v>
      </c>
      <c r="CD43" s="386" t="n">
        <f aca="false">SUMPRODUCT((Personnel!$P$9:$P$100="SUPER")*(Personnel!$G$9:$G$100="Yes")*(78&gt;=Personnel!$E$9:$E$100)*((Personnel!$K$9:$K$100="")+(78&lt;=Personnel!$K$9:$K$100)&gt;0))</f>
        <v>7</v>
      </c>
      <c r="CE43" s="386" t="n">
        <f aca="false">SUMPRODUCT((Personnel!$P$9:$P$100="SUPER")*(Personnel!$G$9:$G$100="Yes")*(79&gt;=Personnel!$E$9:$E$100)*((Personnel!$K$9:$K$100="")+(79&lt;=Personnel!$K$9:$K$100)&gt;0))</f>
        <v>7</v>
      </c>
      <c r="CF43" s="386" t="n">
        <f aca="false">SUMPRODUCT((Personnel!$P$9:$P$100="SUPER")*(Personnel!$G$9:$G$100="Yes")*(80&gt;=Personnel!$E$9:$E$100)*((Personnel!$K$9:$K$100="")+(80&lt;=Personnel!$K$9:$K$100)&gt;0))</f>
        <v>7</v>
      </c>
      <c r="CG43" s="386" t="n">
        <f aca="false">SUMPRODUCT((Personnel!$P$9:$P$100="SUPER")*(Personnel!$G$9:$G$100="Yes")*(81&gt;=Personnel!$E$9:$E$100)*((Personnel!$K$9:$K$100="")+(81&lt;=Personnel!$K$9:$K$100)&gt;0))</f>
        <v>7</v>
      </c>
      <c r="CH43" s="386" t="n">
        <f aca="false">SUMPRODUCT((Personnel!$P$9:$P$100="SUPER")*(Personnel!$G$9:$G$100="Yes")*(82&gt;=Personnel!$E$9:$E$100)*((Personnel!$K$9:$K$100="")+(82&lt;=Personnel!$K$9:$K$100)&gt;0))</f>
        <v>7</v>
      </c>
      <c r="CI43" s="386" t="n">
        <f aca="false">SUMPRODUCT((Personnel!$P$9:$P$100="SUPER")*(Personnel!$G$9:$G$100="Yes")*(83&gt;=Personnel!$E$9:$E$100)*((Personnel!$K$9:$K$100="")+(83&lt;=Personnel!$K$9:$K$100)&gt;0))</f>
        <v>7</v>
      </c>
      <c r="CJ43" s="386" t="n">
        <f aca="false">SUMPRODUCT((Personnel!$P$9:$P$100="SUPER")*(Personnel!$G$9:$G$100="Yes")*(84&gt;=Personnel!$E$9:$E$100)*((Personnel!$K$9:$K$100="")+(84&lt;=Personnel!$K$9:$K$100)&gt;0))</f>
        <v>7</v>
      </c>
      <c r="CK43" s="386" t="n">
        <f aca="false">SUMPRODUCT((Personnel!$P$9:$P$100="SUPER")*(Personnel!$G$9:$G$100="Yes")*(85&gt;=Personnel!$E$9:$E$100)*((Personnel!$K$9:$K$100="")+(85&lt;=Personnel!$K$9:$K$100)&gt;0))</f>
        <v>7</v>
      </c>
      <c r="CL43" s="386" t="n">
        <f aca="false">SUMPRODUCT((Personnel!$P$9:$P$100="SUPER")*(Personnel!$G$9:$G$100="Yes")*(86&gt;=Personnel!$E$9:$E$100)*((Personnel!$K$9:$K$100="")+(86&lt;=Personnel!$K$9:$K$100)&gt;0))</f>
        <v>7</v>
      </c>
      <c r="CM43" s="386" t="n">
        <f aca="false">SUMPRODUCT((Personnel!$P$9:$P$100="SUPER")*(Personnel!$G$9:$G$100="Yes")*(87&gt;=Personnel!$E$9:$E$100)*((Personnel!$K$9:$K$100="")+(87&lt;=Personnel!$K$9:$K$100)&gt;0))</f>
        <v>7</v>
      </c>
      <c r="CN43" s="386" t="n">
        <f aca="false">SUMPRODUCT((Personnel!$P$9:$P$100="SUPER")*(Personnel!$G$9:$G$100="Yes")*(88&gt;=Personnel!$E$9:$E$100)*((Personnel!$K$9:$K$100="")+(88&lt;=Personnel!$K$9:$K$100)&gt;0))</f>
        <v>7</v>
      </c>
      <c r="CO43" s="386" t="n">
        <f aca="false">SUMPRODUCT((Personnel!$P$9:$P$100="SUPER")*(Personnel!$G$9:$G$100="Yes")*(89&gt;=Personnel!$E$9:$E$100)*((Personnel!$K$9:$K$100="")+(89&lt;=Personnel!$K$9:$K$100)&gt;0))</f>
        <v>7</v>
      </c>
      <c r="CP43" s="386" t="n">
        <f aca="false">SUMPRODUCT((Personnel!$P$9:$P$100="SUPER")*(Personnel!$G$9:$G$100="Yes")*(90&gt;=Personnel!$E$9:$E$100)*((Personnel!$K$9:$K$100="")+(90&lt;=Personnel!$K$9:$K$100)&gt;0))</f>
        <v>7</v>
      </c>
      <c r="CQ43" s="386" t="n">
        <f aca="false">SUMPRODUCT((Personnel!$P$9:$P$100="SUPER")*(Personnel!$G$9:$G$100="Yes")*(91&gt;=Personnel!$E$9:$E$100)*((Personnel!$K$9:$K$100="")+(91&lt;=Personnel!$K$9:$K$100)&gt;0))</f>
        <v>7</v>
      </c>
      <c r="CR43" s="386" t="n">
        <f aca="false">SUMPRODUCT((Personnel!$P$9:$P$100="SUPER")*(Personnel!$G$9:$G$100="Yes")*(92&gt;=Personnel!$E$9:$E$100)*((Personnel!$K$9:$K$100="")+(92&lt;=Personnel!$K$9:$K$100)&gt;0))</f>
        <v>7</v>
      </c>
      <c r="CS43" s="386" t="n">
        <f aca="false">SUMPRODUCT((Personnel!$P$9:$P$100="SUPER")*(Personnel!$G$9:$G$100="Yes")*(93&gt;=Personnel!$E$9:$E$100)*((Personnel!$K$9:$K$100="")+(93&lt;=Personnel!$K$9:$K$100)&gt;0))</f>
        <v>7</v>
      </c>
      <c r="CT43" s="386" t="n">
        <f aca="false">SUMPRODUCT((Personnel!$P$9:$P$100="SUPER")*(Personnel!$G$9:$G$100="Yes")*(94&gt;=Personnel!$E$9:$E$100)*((Personnel!$K$9:$K$100="")+(94&lt;=Personnel!$K$9:$K$100)&gt;0))</f>
        <v>7</v>
      </c>
      <c r="CU43" s="386" t="n">
        <f aca="false">SUMPRODUCT((Personnel!$P$9:$P$100="SUPER")*(Personnel!$G$9:$G$100="Yes")*(95&gt;=Personnel!$E$9:$E$100)*((Personnel!$K$9:$K$100="")+(95&lt;=Personnel!$K$9:$K$100)&gt;0))</f>
        <v>7</v>
      </c>
      <c r="CV43" s="386" t="n">
        <f aca="false">SUMPRODUCT((Personnel!$P$9:$P$100="SUPER")*(Personnel!$G$9:$G$100="Yes")*(96&gt;=Personnel!$E$9:$E$100)*((Personnel!$K$9:$K$100="")+(96&lt;=Personnel!$K$9:$K$100)&gt;0))</f>
        <v>7</v>
      </c>
      <c r="CW43" s="386" t="n">
        <f aca="false">SUMPRODUCT((Personnel!$P$9:$P$100="SUPER")*(Personnel!$G$9:$G$100="Yes")*(97&gt;=Personnel!$E$9:$E$100)*((Personnel!$K$9:$K$100="")+(97&lt;=Personnel!$K$9:$K$100)&gt;0))</f>
        <v>7</v>
      </c>
      <c r="CX43" s="386" t="n">
        <f aca="false">SUMPRODUCT((Personnel!$P$9:$P$100="SUPER")*(Personnel!$G$9:$G$100="Yes")*(98&gt;=Personnel!$E$9:$E$100)*((Personnel!$K$9:$K$100="")+(98&lt;=Personnel!$K$9:$K$100)&gt;0))</f>
        <v>7</v>
      </c>
      <c r="CY43" s="386" t="n">
        <f aca="false">SUMPRODUCT((Personnel!$P$9:$P$100="SUPER")*(Personnel!$G$9:$G$100="Yes")*(99&gt;=Personnel!$E$9:$E$100)*((Personnel!$K$9:$K$100="")+(99&lt;=Personnel!$K$9:$K$100)&gt;0))</f>
        <v>7</v>
      </c>
      <c r="CZ43" s="386" t="n">
        <f aca="false">SUMPRODUCT((Personnel!$P$9:$P$100="SUPER")*(Personnel!$G$9:$G$100="Yes")*(100&gt;=Personnel!$E$9:$E$100)*((Personnel!$K$9:$K$100="")+(100&lt;=Personnel!$K$9:$K$100)&gt;0))</f>
        <v>7</v>
      </c>
      <c r="DA43" s="386" t="n">
        <f aca="false">SUMPRODUCT((Personnel!$P$9:$P$100="SUPER")*(Personnel!$G$9:$G$100="Yes")*(101&gt;=Personnel!$E$9:$E$100)*((Personnel!$K$9:$K$100="")+(101&lt;=Personnel!$K$9:$K$100)&gt;0))</f>
        <v>7</v>
      </c>
      <c r="DB43" s="386" t="n">
        <f aca="false">SUMPRODUCT((Personnel!$P$9:$P$100="SUPER")*(Personnel!$G$9:$G$100="Yes")*(102&gt;=Personnel!$E$9:$E$100)*((Personnel!$K$9:$K$100="")+(102&lt;=Personnel!$K$9:$K$100)&gt;0))</f>
        <v>7</v>
      </c>
      <c r="DC43" s="386" t="n">
        <f aca="false">SUMPRODUCT((Personnel!$P$9:$P$100="SUPER")*(Personnel!$G$9:$G$100="Yes")*(103&gt;=Personnel!$E$9:$E$100)*((Personnel!$K$9:$K$100="")+(103&lt;=Personnel!$K$9:$K$100)&gt;0))</f>
        <v>7</v>
      </c>
      <c r="DD43" s="386" t="n">
        <f aca="false">SUMPRODUCT((Personnel!$P$9:$P$100="SUPER")*(Personnel!$G$9:$G$100="Yes")*(104&gt;=Personnel!$E$9:$E$100)*((Personnel!$K$9:$K$100="")+(104&lt;=Personnel!$K$9:$K$100)&gt;0))</f>
        <v>7</v>
      </c>
      <c r="DE43" s="386" t="n">
        <f aca="false">SUMPRODUCT((Personnel!$P$9:$P$100="SUPER")*(Personnel!$G$9:$G$100="Yes")*(105&gt;=Personnel!$E$9:$E$100)*((Personnel!$K$9:$K$100="")+(105&lt;=Personnel!$K$9:$K$100)&gt;0))</f>
        <v>7</v>
      </c>
    </row>
    <row r="44" customFormat="false" ht="13.5" hidden="false" customHeight="true" outlineLevel="0" collapsed="false">
      <c r="A44" s="110" t="s">
        <v>1383</v>
      </c>
      <c r="E44" s="386" t="n">
        <f aca="false">SUMPRODUCT((Personnel!$P$9:$P$100="APM")*(Personnel!$G$9:$G$100="Yes")*(1&gt;=Personnel!$E$9:$E$100)*((Personnel!$K$9:$K$100="")+(1&lt;=Personnel!$K$9:$K$100)&gt;0))</f>
        <v>1</v>
      </c>
      <c r="F44" s="386" t="n">
        <f aca="false">SUMPRODUCT((Personnel!$P$9:$P$100="APM")*(Personnel!$G$9:$G$100="Yes")*(2&gt;=Personnel!$E$9:$E$100)*((Personnel!$K$9:$K$100="")+(2&lt;=Personnel!$K$9:$K$100)&gt;0))</f>
        <v>2</v>
      </c>
      <c r="G44" s="386" t="n">
        <f aca="false">SUMPRODUCT((Personnel!$P$9:$P$100="APM")*(Personnel!$G$9:$G$100="Yes")*(3&gt;=Personnel!$E$9:$E$100)*((Personnel!$K$9:$K$100="")+(3&lt;=Personnel!$K$9:$K$100)&gt;0))</f>
        <v>2</v>
      </c>
      <c r="H44" s="386" t="n">
        <f aca="false">SUMPRODUCT((Personnel!$P$9:$P$100="APM")*(Personnel!$G$9:$G$100="Yes")*(4&gt;=Personnel!$E$9:$E$100)*((Personnel!$K$9:$K$100="")+(4&lt;=Personnel!$K$9:$K$100)&gt;0))</f>
        <v>2</v>
      </c>
      <c r="I44" s="386" t="n">
        <f aca="false">SUMPRODUCT((Personnel!$P$9:$P$100="APM")*(Personnel!$G$9:$G$100="Yes")*(5&gt;=Personnel!$E$9:$E$100)*((Personnel!$K$9:$K$100="")+(5&lt;=Personnel!$K$9:$K$100)&gt;0))</f>
        <v>1</v>
      </c>
      <c r="J44" s="386" t="n">
        <f aca="false">SUMPRODUCT((Personnel!$P$9:$P$100="APM")*(Personnel!$G$9:$G$100="Yes")*(6&gt;=Personnel!$E$9:$E$100)*((Personnel!$K$9:$K$100="")+(6&lt;=Personnel!$K$9:$K$100)&gt;0))</f>
        <v>2</v>
      </c>
      <c r="K44" s="386" t="n">
        <f aca="false">SUMPRODUCT((Personnel!$P$9:$P$100="APM")*(Personnel!$G$9:$G$100="Yes")*(7&gt;=Personnel!$E$9:$E$100)*((Personnel!$K$9:$K$100="")+(7&lt;=Personnel!$K$9:$K$100)&gt;0))</f>
        <v>2</v>
      </c>
      <c r="L44" s="386" t="n">
        <f aca="false">SUMPRODUCT((Personnel!$P$9:$P$100="APM")*(Personnel!$G$9:$G$100="Yes")*(8&gt;=Personnel!$E$9:$E$100)*((Personnel!$K$9:$K$100="")+(8&lt;=Personnel!$K$9:$K$100)&gt;0))</f>
        <v>2</v>
      </c>
      <c r="M44" s="386" t="n">
        <f aca="false">SUMPRODUCT((Personnel!$P$9:$P$100="APM")*(Personnel!$G$9:$G$100="Yes")*(9&gt;=Personnel!$E$9:$E$100)*((Personnel!$K$9:$K$100="")+(9&lt;=Personnel!$K$9:$K$100)&gt;0))</f>
        <v>2</v>
      </c>
      <c r="N44" s="386" t="n">
        <f aca="false">SUMPRODUCT((Personnel!$P$9:$P$100="APM")*(Personnel!$G$9:$G$100="Yes")*(10&gt;=Personnel!$E$9:$E$100)*((Personnel!$K$9:$K$100="")+(10&lt;=Personnel!$K$9:$K$100)&gt;0))</f>
        <v>2</v>
      </c>
      <c r="O44" s="386" t="n">
        <f aca="false">SUMPRODUCT((Personnel!$P$9:$P$100="APM")*(Personnel!$G$9:$G$100="Yes")*(11&gt;=Personnel!$E$9:$E$100)*((Personnel!$K$9:$K$100="")+(11&lt;=Personnel!$K$9:$K$100)&gt;0))</f>
        <v>2</v>
      </c>
      <c r="P44" s="386" t="n">
        <f aca="false">SUMPRODUCT((Personnel!$P$9:$P$100="APM")*(Personnel!$G$9:$G$100="Yes")*(12&gt;=Personnel!$E$9:$E$100)*((Personnel!$K$9:$K$100="")+(12&lt;=Personnel!$K$9:$K$100)&gt;0))</f>
        <v>2</v>
      </c>
      <c r="Q44" s="386" t="n">
        <f aca="false">SUMPRODUCT((Personnel!$P$9:$P$100="APM")*(Personnel!$G$9:$G$100="Yes")*(13&gt;=Personnel!$E$9:$E$100)*((Personnel!$K$9:$K$100="")+(13&lt;=Personnel!$K$9:$K$100)&gt;0))</f>
        <v>2</v>
      </c>
      <c r="R44" s="386" t="n">
        <f aca="false">SUMPRODUCT((Personnel!$P$9:$P$100="APM")*(Personnel!$G$9:$G$100="Yes")*(14&gt;=Personnel!$E$9:$E$100)*((Personnel!$K$9:$K$100="")+(14&lt;=Personnel!$K$9:$K$100)&gt;0))</f>
        <v>2</v>
      </c>
      <c r="S44" s="386" t="n">
        <f aca="false">SUMPRODUCT((Personnel!$P$9:$P$100="APM")*(Personnel!$G$9:$G$100="Yes")*(15&gt;=Personnel!$E$9:$E$100)*((Personnel!$K$9:$K$100="")+(15&lt;=Personnel!$K$9:$K$100)&gt;0))</f>
        <v>2</v>
      </c>
      <c r="T44" s="386" t="n">
        <f aca="false">SUMPRODUCT((Personnel!$P$9:$P$100="APM")*(Personnel!$G$9:$G$100="Yes")*(16&gt;=Personnel!$E$9:$E$100)*((Personnel!$K$9:$K$100="")+(16&lt;=Personnel!$K$9:$K$100)&gt;0))</f>
        <v>2</v>
      </c>
      <c r="U44" s="386" t="n">
        <f aca="false">SUMPRODUCT((Personnel!$P$9:$P$100="APM")*(Personnel!$G$9:$G$100="Yes")*(17&gt;=Personnel!$E$9:$E$100)*((Personnel!$K$9:$K$100="")+(17&lt;=Personnel!$K$9:$K$100)&gt;0))</f>
        <v>2</v>
      </c>
      <c r="V44" s="386" t="n">
        <f aca="false">SUMPRODUCT((Personnel!$P$9:$P$100="APM")*(Personnel!$G$9:$G$100="Yes")*(18&gt;=Personnel!$E$9:$E$100)*((Personnel!$K$9:$K$100="")+(18&lt;=Personnel!$K$9:$K$100)&gt;0))</f>
        <v>2</v>
      </c>
      <c r="W44" s="386" t="n">
        <f aca="false">SUMPRODUCT((Personnel!$P$9:$P$100="APM")*(Personnel!$G$9:$G$100="Yes")*(19&gt;=Personnel!$E$9:$E$100)*((Personnel!$K$9:$K$100="")+(19&lt;=Personnel!$K$9:$K$100)&gt;0))</f>
        <v>2</v>
      </c>
      <c r="X44" s="386" t="n">
        <f aca="false">SUMPRODUCT((Personnel!$P$9:$P$100="APM")*(Personnel!$G$9:$G$100="Yes")*(20&gt;=Personnel!$E$9:$E$100)*((Personnel!$K$9:$K$100="")+(20&lt;=Personnel!$K$9:$K$100)&gt;0))</f>
        <v>2</v>
      </c>
      <c r="Y44" s="386" t="n">
        <f aca="false">SUMPRODUCT((Personnel!$P$9:$P$100="APM")*(Personnel!$G$9:$G$100="Yes")*(21&gt;=Personnel!$E$9:$E$100)*((Personnel!$K$9:$K$100="")+(21&lt;=Personnel!$K$9:$K$100)&gt;0))</f>
        <v>2</v>
      </c>
      <c r="Z44" s="386" t="n">
        <f aca="false">SUMPRODUCT((Personnel!$P$9:$P$100="APM")*(Personnel!$G$9:$G$100="Yes")*(22&gt;=Personnel!$E$9:$E$100)*((Personnel!$K$9:$K$100="")+(22&lt;=Personnel!$K$9:$K$100)&gt;0))</f>
        <v>2</v>
      </c>
      <c r="AA44" s="386" t="n">
        <f aca="false">SUMPRODUCT((Personnel!$P$9:$P$100="APM")*(Personnel!$G$9:$G$100="Yes")*(23&gt;=Personnel!$E$9:$E$100)*((Personnel!$K$9:$K$100="")+(23&lt;=Personnel!$K$9:$K$100)&gt;0))</f>
        <v>2</v>
      </c>
      <c r="AB44" s="386" t="n">
        <f aca="false">SUMPRODUCT((Personnel!$P$9:$P$100="APM")*(Personnel!$G$9:$G$100="Yes")*(24&gt;=Personnel!$E$9:$E$100)*((Personnel!$K$9:$K$100="")+(24&lt;=Personnel!$K$9:$K$100)&gt;0))</f>
        <v>2</v>
      </c>
      <c r="AC44" s="386" t="n">
        <f aca="false">SUMPRODUCT((Personnel!$P$9:$P$100="APM")*(Personnel!$G$9:$G$100="Yes")*(25&gt;=Personnel!$E$9:$E$100)*((Personnel!$K$9:$K$100="")+(25&lt;=Personnel!$K$9:$K$100)&gt;0))</f>
        <v>2</v>
      </c>
      <c r="AD44" s="386" t="n">
        <f aca="false">SUMPRODUCT((Personnel!$P$9:$P$100="APM")*(Personnel!$G$9:$G$100="Yes")*(26&gt;=Personnel!$E$9:$E$100)*((Personnel!$K$9:$K$100="")+(26&lt;=Personnel!$K$9:$K$100)&gt;0))</f>
        <v>2</v>
      </c>
      <c r="AE44" s="386" t="n">
        <f aca="false">SUMPRODUCT((Personnel!$P$9:$P$100="APM")*(Personnel!$G$9:$G$100="Yes")*(27&gt;=Personnel!$E$9:$E$100)*((Personnel!$K$9:$K$100="")+(27&lt;=Personnel!$K$9:$K$100)&gt;0))</f>
        <v>2</v>
      </c>
      <c r="AF44" s="386" t="n">
        <f aca="false">SUMPRODUCT((Personnel!$P$9:$P$100="APM")*(Personnel!$G$9:$G$100="Yes")*(28&gt;=Personnel!$E$9:$E$100)*((Personnel!$K$9:$K$100="")+(28&lt;=Personnel!$K$9:$K$100)&gt;0))</f>
        <v>2</v>
      </c>
      <c r="AG44" s="386" t="n">
        <f aca="false">SUMPRODUCT((Personnel!$P$9:$P$100="APM")*(Personnel!$G$9:$G$100="Yes")*(29&gt;=Personnel!$E$9:$E$100)*((Personnel!$K$9:$K$100="")+(29&lt;=Personnel!$K$9:$K$100)&gt;0))</f>
        <v>2</v>
      </c>
      <c r="AH44" s="386" t="n">
        <f aca="false">SUMPRODUCT((Personnel!$P$9:$P$100="APM")*(Personnel!$G$9:$G$100="Yes")*(30&gt;=Personnel!$E$9:$E$100)*((Personnel!$K$9:$K$100="")+(30&lt;=Personnel!$K$9:$K$100)&gt;0))</f>
        <v>2</v>
      </c>
      <c r="AI44" s="386" t="n">
        <f aca="false">SUMPRODUCT((Personnel!$P$9:$P$100="APM")*(Personnel!$G$9:$G$100="Yes")*(31&gt;=Personnel!$E$9:$E$100)*((Personnel!$K$9:$K$100="")+(31&lt;=Personnel!$K$9:$K$100)&gt;0))</f>
        <v>2</v>
      </c>
      <c r="AJ44" s="386" t="n">
        <f aca="false">SUMPRODUCT((Personnel!$P$9:$P$100="APM")*(Personnel!$G$9:$G$100="Yes")*(32&gt;=Personnel!$E$9:$E$100)*((Personnel!$K$9:$K$100="")+(32&lt;=Personnel!$K$9:$K$100)&gt;0))</f>
        <v>2</v>
      </c>
      <c r="AK44" s="386" t="n">
        <f aca="false">SUMPRODUCT((Personnel!$P$9:$P$100="APM")*(Personnel!$G$9:$G$100="Yes")*(33&gt;=Personnel!$E$9:$E$100)*((Personnel!$K$9:$K$100="")+(33&lt;=Personnel!$K$9:$K$100)&gt;0))</f>
        <v>2</v>
      </c>
      <c r="AL44" s="386" t="n">
        <f aca="false">SUMPRODUCT((Personnel!$P$9:$P$100="APM")*(Personnel!$G$9:$G$100="Yes")*(34&gt;=Personnel!$E$9:$E$100)*((Personnel!$K$9:$K$100="")+(34&lt;=Personnel!$K$9:$K$100)&gt;0))</f>
        <v>2</v>
      </c>
      <c r="AM44" s="386" t="n">
        <f aca="false">SUMPRODUCT((Personnel!$P$9:$P$100="APM")*(Personnel!$G$9:$G$100="Yes")*(35&gt;=Personnel!$E$9:$E$100)*((Personnel!$K$9:$K$100="")+(35&lt;=Personnel!$K$9:$K$100)&gt;0))</f>
        <v>2</v>
      </c>
      <c r="AN44" s="386" t="n">
        <f aca="false">SUMPRODUCT((Personnel!$P$9:$P$100="APM")*(Personnel!$G$9:$G$100="Yes")*(36&gt;=Personnel!$E$9:$E$100)*((Personnel!$K$9:$K$100="")+(36&lt;=Personnel!$K$9:$K$100)&gt;0))</f>
        <v>2</v>
      </c>
      <c r="AO44" s="386" t="n">
        <f aca="false">SUMPRODUCT((Personnel!$P$9:$P$100="APM")*(Personnel!$G$9:$G$100="Yes")*(37&gt;=Personnel!$E$9:$E$100)*((Personnel!$K$9:$K$100="")+(37&lt;=Personnel!$K$9:$K$100)&gt;0))</f>
        <v>2</v>
      </c>
      <c r="AP44" s="386" t="n">
        <f aca="false">SUMPRODUCT((Personnel!$P$9:$P$100="APM")*(Personnel!$G$9:$G$100="Yes")*(38&gt;=Personnel!$E$9:$E$100)*((Personnel!$K$9:$K$100="")+(38&lt;=Personnel!$K$9:$K$100)&gt;0))</f>
        <v>2</v>
      </c>
      <c r="AQ44" s="386" t="n">
        <f aca="false">SUMPRODUCT((Personnel!$P$9:$P$100="APM")*(Personnel!$G$9:$G$100="Yes")*(39&gt;=Personnel!$E$9:$E$100)*((Personnel!$K$9:$K$100="")+(39&lt;=Personnel!$K$9:$K$100)&gt;0))</f>
        <v>2</v>
      </c>
      <c r="AR44" s="386" t="n">
        <f aca="false">SUMPRODUCT((Personnel!$P$9:$P$100="APM")*(Personnel!$G$9:$G$100="Yes")*(40&gt;=Personnel!$E$9:$E$100)*((Personnel!$K$9:$K$100="")+(40&lt;=Personnel!$K$9:$K$100)&gt;0))</f>
        <v>2</v>
      </c>
      <c r="AS44" s="386" t="n">
        <f aca="false">SUMPRODUCT((Personnel!$P$9:$P$100="APM")*(Personnel!$G$9:$G$100="Yes")*(41&gt;=Personnel!$E$9:$E$100)*((Personnel!$K$9:$K$100="")+(41&lt;=Personnel!$K$9:$K$100)&gt;0))</f>
        <v>2</v>
      </c>
      <c r="AT44" s="386" t="n">
        <f aca="false">SUMPRODUCT((Personnel!$P$9:$P$100="APM")*(Personnel!$G$9:$G$100="Yes")*(42&gt;=Personnel!$E$9:$E$100)*((Personnel!$K$9:$K$100="")+(42&lt;=Personnel!$K$9:$K$100)&gt;0))</f>
        <v>2</v>
      </c>
      <c r="AU44" s="386" t="n">
        <f aca="false">SUMPRODUCT((Personnel!$P$9:$P$100="APM")*(Personnel!$G$9:$G$100="Yes")*(43&gt;=Personnel!$E$9:$E$100)*((Personnel!$K$9:$K$100="")+(43&lt;=Personnel!$K$9:$K$100)&gt;0))</f>
        <v>2</v>
      </c>
      <c r="AV44" s="386" t="n">
        <f aca="false">SUMPRODUCT((Personnel!$P$9:$P$100="APM")*(Personnel!$G$9:$G$100="Yes")*(44&gt;=Personnel!$E$9:$E$100)*((Personnel!$K$9:$K$100="")+(44&lt;=Personnel!$K$9:$K$100)&gt;0))</f>
        <v>2</v>
      </c>
      <c r="AW44" s="386" t="n">
        <f aca="false">SUMPRODUCT((Personnel!$P$9:$P$100="APM")*(Personnel!$G$9:$G$100="Yes")*(45&gt;=Personnel!$E$9:$E$100)*((Personnel!$K$9:$K$100="")+(45&lt;=Personnel!$K$9:$K$100)&gt;0))</f>
        <v>2</v>
      </c>
      <c r="AX44" s="386" t="n">
        <f aca="false">SUMPRODUCT((Personnel!$P$9:$P$100="APM")*(Personnel!$G$9:$G$100="Yes")*(46&gt;=Personnel!$E$9:$E$100)*((Personnel!$K$9:$K$100="")+(46&lt;=Personnel!$K$9:$K$100)&gt;0))</f>
        <v>2</v>
      </c>
      <c r="AY44" s="386" t="n">
        <f aca="false">SUMPRODUCT((Personnel!$P$9:$P$100="APM")*(Personnel!$G$9:$G$100="Yes")*(47&gt;=Personnel!$E$9:$E$100)*((Personnel!$K$9:$K$100="")+(47&lt;=Personnel!$K$9:$K$100)&gt;0))</f>
        <v>2</v>
      </c>
      <c r="AZ44" s="386" t="n">
        <f aca="false">SUMPRODUCT((Personnel!$P$9:$P$100="APM")*(Personnel!$G$9:$G$100="Yes")*(48&gt;=Personnel!$E$9:$E$100)*((Personnel!$K$9:$K$100="")+(48&lt;=Personnel!$K$9:$K$100)&gt;0))</f>
        <v>2</v>
      </c>
      <c r="BA44" s="386" t="n">
        <f aca="false">SUMPRODUCT((Personnel!$P$9:$P$100="APM")*(Personnel!$G$9:$G$100="Yes")*(49&gt;=Personnel!$E$9:$E$100)*((Personnel!$K$9:$K$100="")+(49&lt;=Personnel!$K$9:$K$100)&gt;0))</f>
        <v>2</v>
      </c>
      <c r="BB44" s="386" t="n">
        <f aca="false">SUMPRODUCT((Personnel!$P$9:$P$100="APM")*(Personnel!$G$9:$G$100="Yes")*(50&gt;=Personnel!$E$9:$E$100)*((Personnel!$K$9:$K$100="")+(50&lt;=Personnel!$K$9:$K$100)&gt;0))</f>
        <v>2</v>
      </c>
      <c r="BC44" s="386" t="n">
        <f aca="false">SUMPRODUCT((Personnel!$P$9:$P$100="APM")*(Personnel!$G$9:$G$100="Yes")*(51&gt;=Personnel!$E$9:$E$100)*((Personnel!$K$9:$K$100="")+(51&lt;=Personnel!$K$9:$K$100)&gt;0))</f>
        <v>2</v>
      </c>
      <c r="BD44" s="386" t="n">
        <f aca="false">SUMPRODUCT((Personnel!$P$9:$P$100="APM")*(Personnel!$G$9:$G$100="Yes")*(52&gt;=Personnel!$E$9:$E$100)*((Personnel!$K$9:$K$100="")+(52&lt;=Personnel!$K$9:$K$100)&gt;0))</f>
        <v>2</v>
      </c>
      <c r="BE44" s="386" t="n">
        <f aca="false">SUMPRODUCT((Personnel!$P$9:$P$100="APM")*(Personnel!$G$9:$G$100="Yes")*(53&gt;=Personnel!$E$9:$E$100)*((Personnel!$K$9:$K$100="")+(53&lt;=Personnel!$K$9:$K$100)&gt;0))</f>
        <v>2</v>
      </c>
      <c r="BF44" s="386" t="n">
        <f aca="false">SUMPRODUCT((Personnel!$P$9:$P$100="APM")*(Personnel!$G$9:$G$100="Yes")*(54&gt;=Personnel!$E$9:$E$100)*((Personnel!$K$9:$K$100="")+(54&lt;=Personnel!$K$9:$K$100)&gt;0))</f>
        <v>2</v>
      </c>
      <c r="BG44" s="386" t="n">
        <f aca="false">SUMPRODUCT((Personnel!$P$9:$P$100="APM")*(Personnel!$G$9:$G$100="Yes")*(55&gt;=Personnel!$E$9:$E$100)*((Personnel!$K$9:$K$100="")+(55&lt;=Personnel!$K$9:$K$100)&gt;0))</f>
        <v>2</v>
      </c>
      <c r="BH44" s="386" t="n">
        <f aca="false">SUMPRODUCT((Personnel!$P$9:$P$100="APM")*(Personnel!$G$9:$G$100="Yes")*(56&gt;=Personnel!$E$9:$E$100)*((Personnel!$K$9:$K$100="")+(56&lt;=Personnel!$K$9:$K$100)&gt;0))</f>
        <v>2</v>
      </c>
      <c r="BI44" s="386" t="n">
        <f aca="false">SUMPRODUCT((Personnel!$P$9:$P$100="APM")*(Personnel!$G$9:$G$100="Yes")*(57&gt;=Personnel!$E$9:$E$100)*((Personnel!$K$9:$K$100="")+(57&lt;=Personnel!$K$9:$K$100)&gt;0))</f>
        <v>2</v>
      </c>
      <c r="BJ44" s="386" t="n">
        <f aca="false">SUMPRODUCT((Personnel!$P$9:$P$100="APM")*(Personnel!$G$9:$G$100="Yes")*(58&gt;=Personnel!$E$9:$E$100)*((Personnel!$K$9:$K$100="")+(58&lt;=Personnel!$K$9:$K$100)&gt;0))</f>
        <v>2</v>
      </c>
      <c r="BK44" s="386" t="n">
        <f aca="false">SUMPRODUCT((Personnel!$P$9:$P$100="APM")*(Personnel!$G$9:$G$100="Yes")*(59&gt;=Personnel!$E$9:$E$100)*((Personnel!$K$9:$K$100="")+(59&lt;=Personnel!$K$9:$K$100)&gt;0))</f>
        <v>2</v>
      </c>
      <c r="BL44" s="386" t="n">
        <f aca="false">SUMPRODUCT((Personnel!$P$9:$P$100="APM")*(Personnel!$G$9:$G$100="Yes")*(60&gt;=Personnel!$E$9:$E$100)*((Personnel!$K$9:$K$100="")+(60&lt;=Personnel!$K$9:$K$100)&gt;0))</f>
        <v>2</v>
      </c>
      <c r="BM44" s="386" t="n">
        <f aca="false">SUMPRODUCT((Personnel!$P$9:$P$100="APM")*(Personnel!$G$9:$G$100="Yes")*(61&gt;=Personnel!$E$9:$E$100)*((Personnel!$K$9:$K$100="")+(61&lt;=Personnel!$K$9:$K$100)&gt;0))</f>
        <v>2</v>
      </c>
      <c r="BN44" s="386" t="n">
        <f aca="false">SUMPRODUCT((Personnel!$P$9:$P$100="APM")*(Personnel!$G$9:$G$100="Yes")*(62&gt;=Personnel!$E$9:$E$100)*((Personnel!$K$9:$K$100="")+(62&lt;=Personnel!$K$9:$K$100)&gt;0))</f>
        <v>2</v>
      </c>
      <c r="BO44" s="386" t="n">
        <f aca="false">SUMPRODUCT((Personnel!$P$9:$P$100="APM")*(Personnel!$G$9:$G$100="Yes")*(63&gt;=Personnel!$E$9:$E$100)*((Personnel!$K$9:$K$100="")+(63&lt;=Personnel!$K$9:$K$100)&gt;0))</f>
        <v>2</v>
      </c>
      <c r="BP44" s="386" t="n">
        <f aca="false">SUMPRODUCT((Personnel!$P$9:$P$100="APM")*(Personnel!$G$9:$G$100="Yes")*(64&gt;=Personnel!$E$9:$E$100)*((Personnel!$K$9:$K$100="")+(64&lt;=Personnel!$K$9:$K$100)&gt;0))</f>
        <v>2</v>
      </c>
      <c r="BQ44" s="386" t="n">
        <f aca="false">SUMPRODUCT((Personnel!$P$9:$P$100="APM")*(Personnel!$G$9:$G$100="Yes")*(65&gt;=Personnel!$E$9:$E$100)*((Personnel!$K$9:$K$100="")+(65&lt;=Personnel!$K$9:$K$100)&gt;0))</f>
        <v>2</v>
      </c>
      <c r="BR44" s="386" t="n">
        <f aca="false">SUMPRODUCT((Personnel!$P$9:$P$100="APM")*(Personnel!$G$9:$G$100="Yes")*(66&gt;=Personnel!$E$9:$E$100)*((Personnel!$K$9:$K$100="")+(66&lt;=Personnel!$K$9:$K$100)&gt;0))</f>
        <v>2</v>
      </c>
      <c r="BS44" s="386" t="n">
        <f aca="false">SUMPRODUCT((Personnel!$P$9:$P$100="APM")*(Personnel!$G$9:$G$100="Yes")*(67&gt;=Personnel!$E$9:$E$100)*((Personnel!$K$9:$K$100="")+(67&lt;=Personnel!$K$9:$K$100)&gt;0))</f>
        <v>2</v>
      </c>
      <c r="BT44" s="386" t="n">
        <f aca="false">SUMPRODUCT((Personnel!$P$9:$P$100="APM")*(Personnel!$G$9:$G$100="Yes")*(68&gt;=Personnel!$E$9:$E$100)*((Personnel!$K$9:$K$100="")+(68&lt;=Personnel!$K$9:$K$100)&gt;0))</f>
        <v>2</v>
      </c>
      <c r="BU44" s="386" t="n">
        <f aca="false">SUMPRODUCT((Personnel!$P$9:$P$100="APM")*(Personnel!$G$9:$G$100="Yes")*(69&gt;=Personnel!$E$9:$E$100)*((Personnel!$K$9:$K$100="")+(69&lt;=Personnel!$K$9:$K$100)&gt;0))</f>
        <v>2</v>
      </c>
      <c r="BV44" s="386" t="n">
        <f aca="false">SUMPRODUCT((Personnel!$P$9:$P$100="APM")*(Personnel!$G$9:$G$100="Yes")*(70&gt;=Personnel!$E$9:$E$100)*((Personnel!$K$9:$K$100="")+(70&lt;=Personnel!$K$9:$K$100)&gt;0))</f>
        <v>2</v>
      </c>
      <c r="BW44" s="386" t="n">
        <f aca="false">SUMPRODUCT((Personnel!$P$9:$P$100="APM")*(Personnel!$G$9:$G$100="Yes")*(71&gt;=Personnel!$E$9:$E$100)*((Personnel!$K$9:$K$100="")+(71&lt;=Personnel!$K$9:$K$100)&gt;0))</f>
        <v>2</v>
      </c>
      <c r="BX44" s="386" t="n">
        <f aca="false">SUMPRODUCT((Personnel!$P$9:$P$100="APM")*(Personnel!$G$9:$G$100="Yes")*(72&gt;=Personnel!$E$9:$E$100)*((Personnel!$K$9:$K$100="")+(72&lt;=Personnel!$K$9:$K$100)&gt;0))</f>
        <v>2</v>
      </c>
      <c r="BY44" s="386" t="n">
        <f aca="false">SUMPRODUCT((Personnel!$P$9:$P$100="APM")*(Personnel!$G$9:$G$100="Yes")*(73&gt;=Personnel!$E$9:$E$100)*((Personnel!$K$9:$K$100="")+(73&lt;=Personnel!$K$9:$K$100)&gt;0))</f>
        <v>2</v>
      </c>
      <c r="BZ44" s="386" t="n">
        <f aca="false">SUMPRODUCT((Personnel!$P$9:$P$100="APM")*(Personnel!$G$9:$G$100="Yes")*(74&gt;=Personnel!$E$9:$E$100)*((Personnel!$K$9:$K$100="")+(74&lt;=Personnel!$K$9:$K$100)&gt;0))</f>
        <v>2</v>
      </c>
      <c r="CA44" s="386" t="n">
        <f aca="false">SUMPRODUCT((Personnel!$P$9:$P$100="APM")*(Personnel!$G$9:$G$100="Yes")*(75&gt;=Personnel!$E$9:$E$100)*((Personnel!$K$9:$K$100="")+(75&lt;=Personnel!$K$9:$K$100)&gt;0))</f>
        <v>2</v>
      </c>
      <c r="CB44" s="386" t="n">
        <f aca="false">SUMPRODUCT((Personnel!$P$9:$P$100="APM")*(Personnel!$G$9:$G$100="Yes")*(76&gt;=Personnel!$E$9:$E$100)*((Personnel!$K$9:$K$100="")+(76&lt;=Personnel!$K$9:$K$100)&gt;0))</f>
        <v>2</v>
      </c>
      <c r="CC44" s="386" t="n">
        <f aca="false">SUMPRODUCT((Personnel!$P$9:$P$100="APM")*(Personnel!$G$9:$G$100="Yes")*(77&gt;=Personnel!$E$9:$E$100)*((Personnel!$K$9:$K$100="")+(77&lt;=Personnel!$K$9:$K$100)&gt;0))</f>
        <v>2</v>
      </c>
      <c r="CD44" s="386" t="n">
        <f aca="false">SUMPRODUCT((Personnel!$P$9:$P$100="APM")*(Personnel!$G$9:$G$100="Yes")*(78&gt;=Personnel!$E$9:$E$100)*((Personnel!$K$9:$K$100="")+(78&lt;=Personnel!$K$9:$K$100)&gt;0))</f>
        <v>2</v>
      </c>
      <c r="CE44" s="386" t="n">
        <f aca="false">SUMPRODUCT((Personnel!$P$9:$P$100="APM")*(Personnel!$G$9:$G$100="Yes")*(79&gt;=Personnel!$E$9:$E$100)*((Personnel!$K$9:$K$100="")+(79&lt;=Personnel!$K$9:$K$100)&gt;0))</f>
        <v>2</v>
      </c>
      <c r="CF44" s="386" t="n">
        <f aca="false">SUMPRODUCT((Personnel!$P$9:$P$100="APM")*(Personnel!$G$9:$G$100="Yes")*(80&gt;=Personnel!$E$9:$E$100)*((Personnel!$K$9:$K$100="")+(80&lt;=Personnel!$K$9:$K$100)&gt;0))</f>
        <v>2</v>
      </c>
      <c r="CG44" s="386" t="n">
        <f aca="false">SUMPRODUCT((Personnel!$P$9:$P$100="APM")*(Personnel!$G$9:$G$100="Yes")*(81&gt;=Personnel!$E$9:$E$100)*((Personnel!$K$9:$K$100="")+(81&lt;=Personnel!$K$9:$K$100)&gt;0))</f>
        <v>2</v>
      </c>
      <c r="CH44" s="386" t="n">
        <f aca="false">SUMPRODUCT((Personnel!$P$9:$P$100="APM")*(Personnel!$G$9:$G$100="Yes")*(82&gt;=Personnel!$E$9:$E$100)*((Personnel!$K$9:$K$100="")+(82&lt;=Personnel!$K$9:$K$100)&gt;0))</f>
        <v>2</v>
      </c>
      <c r="CI44" s="386" t="n">
        <f aca="false">SUMPRODUCT((Personnel!$P$9:$P$100="APM")*(Personnel!$G$9:$G$100="Yes")*(83&gt;=Personnel!$E$9:$E$100)*((Personnel!$K$9:$K$100="")+(83&lt;=Personnel!$K$9:$K$100)&gt;0))</f>
        <v>2</v>
      </c>
      <c r="CJ44" s="386" t="n">
        <f aca="false">SUMPRODUCT((Personnel!$P$9:$P$100="APM")*(Personnel!$G$9:$G$100="Yes")*(84&gt;=Personnel!$E$9:$E$100)*((Personnel!$K$9:$K$100="")+(84&lt;=Personnel!$K$9:$K$100)&gt;0))</f>
        <v>2</v>
      </c>
      <c r="CK44" s="386" t="n">
        <f aca="false">SUMPRODUCT((Personnel!$P$9:$P$100="APM")*(Personnel!$G$9:$G$100="Yes")*(85&gt;=Personnel!$E$9:$E$100)*((Personnel!$K$9:$K$100="")+(85&lt;=Personnel!$K$9:$K$100)&gt;0))</f>
        <v>2</v>
      </c>
      <c r="CL44" s="386" t="n">
        <f aca="false">SUMPRODUCT((Personnel!$P$9:$P$100="APM")*(Personnel!$G$9:$G$100="Yes")*(86&gt;=Personnel!$E$9:$E$100)*((Personnel!$K$9:$K$100="")+(86&lt;=Personnel!$K$9:$K$100)&gt;0))</f>
        <v>2</v>
      </c>
      <c r="CM44" s="386" t="n">
        <f aca="false">SUMPRODUCT((Personnel!$P$9:$P$100="APM")*(Personnel!$G$9:$G$100="Yes")*(87&gt;=Personnel!$E$9:$E$100)*((Personnel!$K$9:$K$100="")+(87&lt;=Personnel!$K$9:$K$100)&gt;0))</f>
        <v>2</v>
      </c>
      <c r="CN44" s="386" t="n">
        <f aca="false">SUMPRODUCT((Personnel!$P$9:$P$100="APM")*(Personnel!$G$9:$G$100="Yes")*(88&gt;=Personnel!$E$9:$E$100)*((Personnel!$K$9:$K$100="")+(88&lt;=Personnel!$K$9:$K$100)&gt;0))</f>
        <v>2</v>
      </c>
      <c r="CO44" s="386" t="n">
        <f aca="false">SUMPRODUCT((Personnel!$P$9:$P$100="APM")*(Personnel!$G$9:$G$100="Yes")*(89&gt;=Personnel!$E$9:$E$100)*((Personnel!$K$9:$K$100="")+(89&lt;=Personnel!$K$9:$K$100)&gt;0))</f>
        <v>2</v>
      </c>
      <c r="CP44" s="386" t="n">
        <f aca="false">SUMPRODUCT((Personnel!$P$9:$P$100="APM")*(Personnel!$G$9:$G$100="Yes")*(90&gt;=Personnel!$E$9:$E$100)*((Personnel!$K$9:$K$100="")+(90&lt;=Personnel!$K$9:$K$100)&gt;0))</f>
        <v>2</v>
      </c>
      <c r="CQ44" s="386" t="n">
        <f aca="false">SUMPRODUCT((Personnel!$P$9:$P$100="APM")*(Personnel!$G$9:$G$100="Yes")*(91&gt;=Personnel!$E$9:$E$100)*((Personnel!$K$9:$K$100="")+(91&lt;=Personnel!$K$9:$K$100)&gt;0))</f>
        <v>2</v>
      </c>
      <c r="CR44" s="386" t="n">
        <f aca="false">SUMPRODUCT((Personnel!$P$9:$P$100="APM")*(Personnel!$G$9:$G$100="Yes")*(92&gt;=Personnel!$E$9:$E$100)*((Personnel!$K$9:$K$100="")+(92&lt;=Personnel!$K$9:$K$100)&gt;0))</f>
        <v>2</v>
      </c>
      <c r="CS44" s="386" t="n">
        <f aca="false">SUMPRODUCT((Personnel!$P$9:$P$100="APM")*(Personnel!$G$9:$G$100="Yes")*(93&gt;=Personnel!$E$9:$E$100)*((Personnel!$K$9:$K$100="")+(93&lt;=Personnel!$K$9:$K$100)&gt;0))</f>
        <v>2</v>
      </c>
      <c r="CT44" s="386" t="n">
        <f aca="false">SUMPRODUCT((Personnel!$P$9:$P$100="APM")*(Personnel!$G$9:$G$100="Yes")*(94&gt;=Personnel!$E$9:$E$100)*((Personnel!$K$9:$K$100="")+(94&lt;=Personnel!$K$9:$K$100)&gt;0))</f>
        <v>2</v>
      </c>
      <c r="CU44" s="386" t="n">
        <f aca="false">SUMPRODUCT((Personnel!$P$9:$P$100="APM")*(Personnel!$G$9:$G$100="Yes")*(95&gt;=Personnel!$E$9:$E$100)*((Personnel!$K$9:$K$100="")+(95&lt;=Personnel!$K$9:$K$100)&gt;0))</f>
        <v>2</v>
      </c>
      <c r="CV44" s="386" t="n">
        <f aca="false">SUMPRODUCT((Personnel!$P$9:$P$100="APM")*(Personnel!$G$9:$G$100="Yes")*(96&gt;=Personnel!$E$9:$E$100)*((Personnel!$K$9:$K$100="")+(96&lt;=Personnel!$K$9:$K$100)&gt;0))</f>
        <v>2</v>
      </c>
      <c r="CW44" s="386" t="n">
        <f aca="false">SUMPRODUCT((Personnel!$P$9:$P$100="APM")*(Personnel!$G$9:$G$100="Yes")*(97&gt;=Personnel!$E$9:$E$100)*((Personnel!$K$9:$K$100="")+(97&lt;=Personnel!$K$9:$K$100)&gt;0))</f>
        <v>2</v>
      </c>
      <c r="CX44" s="386" t="n">
        <f aca="false">SUMPRODUCT((Personnel!$P$9:$P$100="APM")*(Personnel!$G$9:$G$100="Yes")*(98&gt;=Personnel!$E$9:$E$100)*((Personnel!$K$9:$K$100="")+(98&lt;=Personnel!$K$9:$K$100)&gt;0))</f>
        <v>2</v>
      </c>
      <c r="CY44" s="386" t="n">
        <f aca="false">SUMPRODUCT((Personnel!$P$9:$P$100="APM")*(Personnel!$G$9:$G$100="Yes")*(99&gt;=Personnel!$E$9:$E$100)*((Personnel!$K$9:$K$100="")+(99&lt;=Personnel!$K$9:$K$100)&gt;0))</f>
        <v>2</v>
      </c>
      <c r="CZ44" s="386" t="n">
        <f aca="false">SUMPRODUCT((Personnel!$P$9:$P$100="APM")*(Personnel!$G$9:$G$100="Yes")*(100&gt;=Personnel!$E$9:$E$100)*((Personnel!$K$9:$K$100="")+(100&lt;=Personnel!$K$9:$K$100)&gt;0))</f>
        <v>2</v>
      </c>
      <c r="DA44" s="386" t="n">
        <f aca="false">SUMPRODUCT((Personnel!$P$9:$P$100="APM")*(Personnel!$G$9:$G$100="Yes")*(101&gt;=Personnel!$E$9:$E$100)*((Personnel!$K$9:$K$100="")+(101&lt;=Personnel!$K$9:$K$100)&gt;0))</f>
        <v>2</v>
      </c>
      <c r="DB44" s="386" t="n">
        <f aca="false">SUMPRODUCT((Personnel!$P$9:$P$100="APM")*(Personnel!$G$9:$G$100="Yes")*(102&gt;=Personnel!$E$9:$E$100)*((Personnel!$K$9:$K$100="")+(102&lt;=Personnel!$K$9:$K$100)&gt;0))</f>
        <v>2</v>
      </c>
      <c r="DC44" s="386" t="n">
        <f aca="false">SUMPRODUCT((Personnel!$P$9:$P$100="APM")*(Personnel!$G$9:$G$100="Yes")*(103&gt;=Personnel!$E$9:$E$100)*((Personnel!$K$9:$K$100="")+(103&lt;=Personnel!$K$9:$K$100)&gt;0))</f>
        <v>2</v>
      </c>
      <c r="DD44" s="386" t="n">
        <f aca="false">SUMPRODUCT((Personnel!$P$9:$P$100="APM")*(Personnel!$G$9:$G$100="Yes")*(104&gt;=Personnel!$E$9:$E$100)*((Personnel!$K$9:$K$100="")+(104&lt;=Personnel!$K$9:$K$100)&gt;0))</f>
        <v>2</v>
      </c>
      <c r="DE44" s="386" t="n">
        <f aca="false">SUMPRODUCT((Personnel!$P$9:$P$100="APM")*(Personnel!$G$9:$G$100="Yes")*(105&gt;=Personnel!$E$9:$E$100)*((Personnel!$K$9:$K$100="")+(105&lt;=Personnel!$K$9:$K$100)&gt;0))</f>
        <v>2</v>
      </c>
    </row>
    <row r="45" customFormat="false" ht="13.5" hidden="false" customHeight="true" outlineLevel="0" collapsed="false">
      <c r="A45" s="110" t="s">
        <v>1384</v>
      </c>
      <c r="E45" s="386" t="n">
        <f aca="false">SUMPRODUCT((Personnel!$P$9:$P$100="PM")*(Personnel!$G$9:$G$100="Yes")*(1&gt;=Personnel!$E$9:$E$100)*((Personnel!$K$9:$K$100="")+(1&lt;=Personnel!$K$9:$K$100)&gt;0))</f>
        <v>3</v>
      </c>
      <c r="F45" s="386" t="n">
        <f aca="false">SUMPRODUCT((Personnel!$P$9:$P$100="PM")*(Personnel!$G$9:$G$100="Yes")*(2&gt;=Personnel!$E$9:$E$100)*((Personnel!$K$9:$K$100="")+(2&lt;=Personnel!$K$9:$K$100)&gt;0))</f>
        <v>3</v>
      </c>
      <c r="G45" s="386" t="n">
        <f aca="false">SUMPRODUCT((Personnel!$P$9:$P$100="PM")*(Personnel!$G$9:$G$100="Yes")*(3&gt;=Personnel!$E$9:$E$100)*((Personnel!$K$9:$K$100="")+(3&lt;=Personnel!$K$9:$K$100)&gt;0))</f>
        <v>3</v>
      </c>
      <c r="H45" s="386" t="n">
        <f aca="false">SUMPRODUCT((Personnel!$P$9:$P$100="PM")*(Personnel!$G$9:$G$100="Yes")*(4&gt;=Personnel!$E$9:$E$100)*((Personnel!$K$9:$K$100="")+(4&lt;=Personnel!$K$9:$K$100)&gt;0))</f>
        <v>3</v>
      </c>
      <c r="I45" s="386" t="n">
        <f aca="false">SUMPRODUCT((Personnel!$P$9:$P$100="PM")*(Personnel!$G$9:$G$100="Yes")*(5&gt;=Personnel!$E$9:$E$100)*((Personnel!$K$9:$K$100="")+(5&lt;=Personnel!$K$9:$K$100)&gt;0))</f>
        <v>3</v>
      </c>
      <c r="J45" s="386" t="n">
        <f aca="false">SUMPRODUCT((Personnel!$P$9:$P$100="PM")*(Personnel!$G$9:$G$100="Yes")*(6&gt;=Personnel!$E$9:$E$100)*((Personnel!$K$9:$K$100="")+(6&lt;=Personnel!$K$9:$K$100)&gt;0))</f>
        <v>3</v>
      </c>
      <c r="K45" s="386" t="n">
        <f aca="false">SUMPRODUCT((Personnel!$P$9:$P$100="PM")*(Personnel!$G$9:$G$100="Yes")*(7&gt;=Personnel!$E$9:$E$100)*((Personnel!$K$9:$K$100="")+(7&lt;=Personnel!$K$9:$K$100)&gt;0))</f>
        <v>3</v>
      </c>
      <c r="L45" s="386" t="n">
        <f aca="false">SUMPRODUCT((Personnel!$P$9:$P$100="PM")*(Personnel!$G$9:$G$100="Yes")*(8&gt;=Personnel!$E$9:$E$100)*((Personnel!$K$9:$K$100="")+(8&lt;=Personnel!$K$9:$K$100)&gt;0))</f>
        <v>3</v>
      </c>
      <c r="M45" s="386" t="n">
        <f aca="false">SUMPRODUCT((Personnel!$P$9:$P$100="PM")*(Personnel!$G$9:$G$100="Yes")*(9&gt;=Personnel!$E$9:$E$100)*((Personnel!$K$9:$K$100="")+(9&lt;=Personnel!$K$9:$K$100)&gt;0))</f>
        <v>3</v>
      </c>
      <c r="N45" s="386" t="n">
        <f aca="false">SUMPRODUCT((Personnel!$P$9:$P$100="PM")*(Personnel!$G$9:$G$100="Yes")*(10&gt;=Personnel!$E$9:$E$100)*((Personnel!$K$9:$K$100="")+(10&lt;=Personnel!$K$9:$K$100)&gt;0))</f>
        <v>3</v>
      </c>
      <c r="O45" s="386" t="n">
        <f aca="false">SUMPRODUCT((Personnel!$P$9:$P$100="PM")*(Personnel!$G$9:$G$100="Yes")*(11&gt;=Personnel!$E$9:$E$100)*((Personnel!$K$9:$K$100="")+(11&lt;=Personnel!$K$9:$K$100)&gt;0))</f>
        <v>3</v>
      </c>
      <c r="P45" s="386" t="n">
        <f aca="false">SUMPRODUCT((Personnel!$P$9:$P$100="PM")*(Personnel!$G$9:$G$100="Yes")*(12&gt;=Personnel!$E$9:$E$100)*((Personnel!$K$9:$K$100="")+(12&lt;=Personnel!$K$9:$K$100)&gt;0))</f>
        <v>3</v>
      </c>
      <c r="Q45" s="386" t="n">
        <f aca="false">SUMPRODUCT((Personnel!$P$9:$P$100="PM")*(Personnel!$G$9:$G$100="Yes")*(13&gt;=Personnel!$E$9:$E$100)*((Personnel!$K$9:$K$100="")+(13&lt;=Personnel!$K$9:$K$100)&gt;0))</f>
        <v>3</v>
      </c>
      <c r="R45" s="386" t="n">
        <f aca="false">SUMPRODUCT((Personnel!$P$9:$P$100="PM")*(Personnel!$G$9:$G$100="Yes")*(14&gt;=Personnel!$E$9:$E$100)*((Personnel!$K$9:$K$100="")+(14&lt;=Personnel!$K$9:$K$100)&gt;0))</f>
        <v>3</v>
      </c>
      <c r="S45" s="386" t="n">
        <f aca="false">SUMPRODUCT((Personnel!$P$9:$P$100="PM")*(Personnel!$G$9:$G$100="Yes")*(15&gt;=Personnel!$E$9:$E$100)*((Personnel!$K$9:$K$100="")+(15&lt;=Personnel!$K$9:$K$100)&gt;0))</f>
        <v>3</v>
      </c>
      <c r="T45" s="386" t="n">
        <f aca="false">SUMPRODUCT((Personnel!$P$9:$P$100="PM")*(Personnel!$G$9:$G$100="Yes")*(16&gt;=Personnel!$E$9:$E$100)*((Personnel!$K$9:$K$100="")+(16&lt;=Personnel!$K$9:$K$100)&gt;0))</f>
        <v>3</v>
      </c>
      <c r="U45" s="386" t="n">
        <f aca="false">SUMPRODUCT((Personnel!$P$9:$P$100="PM")*(Personnel!$G$9:$G$100="Yes")*(17&gt;=Personnel!$E$9:$E$100)*((Personnel!$K$9:$K$100="")+(17&lt;=Personnel!$K$9:$K$100)&gt;0))</f>
        <v>3</v>
      </c>
      <c r="V45" s="386" t="n">
        <f aca="false">SUMPRODUCT((Personnel!$P$9:$P$100="PM")*(Personnel!$G$9:$G$100="Yes")*(18&gt;=Personnel!$E$9:$E$100)*((Personnel!$K$9:$K$100="")+(18&lt;=Personnel!$K$9:$K$100)&gt;0))</f>
        <v>3</v>
      </c>
      <c r="W45" s="386" t="n">
        <f aca="false">SUMPRODUCT((Personnel!$P$9:$P$100="PM")*(Personnel!$G$9:$G$100="Yes")*(19&gt;=Personnel!$E$9:$E$100)*((Personnel!$K$9:$K$100="")+(19&lt;=Personnel!$K$9:$K$100)&gt;0))</f>
        <v>3</v>
      </c>
      <c r="X45" s="386" t="n">
        <f aca="false">SUMPRODUCT((Personnel!$P$9:$P$100="PM")*(Personnel!$G$9:$G$100="Yes")*(20&gt;=Personnel!$E$9:$E$100)*((Personnel!$K$9:$K$100="")+(20&lt;=Personnel!$K$9:$K$100)&gt;0))</f>
        <v>3</v>
      </c>
      <c r="Y45" s="386" t="n">
        <f aca="false">SUMPRODUCT((Personnel!$P$9:$P$100="PM")*(Personnel!$G$9:$G$100="Yes")*(21&gt;=Personnel!$E$9:$E$100)*((Personnel!$K$9:$K$100="")+(21&lt;=Personnel!$K$9:$K$100)&gt;0))</f>
        <v>3</v>
      </c>
      <c r="Z45" s="386" t="n">
        <f aca="false">SUMPRODUCT((Personnel!$P$9:$P$100="PM")*(Personnel!$G$9:$G$100="Yes")*(22&gt;=Personnel!$E$9:$E$100)*((Personnel!$K$9:$K$100="")+(22&lt;=Personnel!$K$9:$K$100)&gt;0))</f>
        <v>3</v>
      </c>
      <c r="AA45" s="386" t="n">
        <f aca="false">SUMPRODUCT((Personnel!$P$9:$P$100="PM")*(Personnel!$G$9:$G$100="Yes")*(23&gt;=Personnel!$E$9:$E$100)*((Personnel!$K$9:$K$100="")+(23&lt;=Personnel!$K$9:$K$100)&gt;0))</f>
        <v>3</v>
      </c>
      <c r="AB45" s="386" t="n">
        <f aca="false">SUMPRODUCT((Personnel!$P$9:$P$100="PM")*(Personnel!$G$9:$G$100="Yes")*(24&gt;=Personnel!$E$9:$E$100)*((Personnel!$K$9:$K$100="")+(24&lt;=Personnel!$K$9:$K$100)&gt;0))</f>
        <v>3</v>
      </c>
      <c r="AC45" s="386" t="n">
        <f aca="false">SUMPRODUCT((Personnel!$P$9:$P$100="PM")*(Personnel!$G$9:$G$100="Yes")*(25&gt;=Personnel!$E$9:$E$100)*((Personnel!$K$9:$K$100="")+(25&lt;=Personnel!$K$9:$K$100)&gt;0))</f>
        <v>3</v>
      </c>
      <c r="AD45" s="386" t="n">
        <f aca="false">SUMPRODUCT((Personnel!$P$9:$P$100="PM")*(Personnel!$G$9:$G$100="Yes")*(26&gt;=Personnel!$E$9:$E$100)*((Personnel!$K$9:$K$100="")+(26&lt;=Personnel!$K$9:$K$100)&gt;0))</f>
        <v>3</v>
      </c>
      <c r="AE45" s="386" t="n">
        <f aca="false">SUMPRODUCT((Personnel!$P$9:$P$100="PM")*(Personnel!$G$9:$G$100="Yes")*(27&gt;=Personnel!$E$9:$E$100)*((Personnel!$K$9:$K$100="")+(27&lt;=Personnel!$K$9:$K$100)&gt;0))</f>
        <v>3</v>
      </c>
      <c r="AF45" s="386" t="n">
        <f aca="false">SUMPRODUCT((Personnel!$P$9:$P$100="PM")*(Personnel!$G$9:$G$100="Yes")*(28&gt;=Personnel!$E$9:$E$100)*((Personnel!$K$9:$K$100="")+(28&lt;=Personnel!$K$9:$K$100)&gt;0))</f>
        <v>3</v>
      </c>
      <c r="AG45" s="386" t="n">
        <f aca="false">SUMPRODUCT((Personnel!$P$9:$P$100="PM")*(Personnel!$G$9:$G$100="Yes")*(29&gt;=Personnel!$E$9:$E$100)*((Personnel!$K$9:$K$100="")+(29&lt;=Personnel!$K$9:$K$100)&gt;0))</f>
        <v>3</v>
      </c>
      <c r="AH45" s="386" t="n">
        <f aca="false">SUMPRODUCT((Personnel!$P$9:$P$100="PM")*(Personnel!$G$9:$G$100="Yes")*(30&gt;=Personnel!$E$9:$E$100)*((Personnel!$K$9:$K$100="")+(30&lt;=Personnel!$K$9:$K$100)&gt;0))</f>
        <v>3</v>
      </c>
      <c r="AI45" s="386" t="n">
        <f aca="false">SUMPRODUCT((Personnel!$P$9:$P$100="PM")*(Personnel!$G$9:$G$100="Yes")*(31&gt;=Personnel!$E$9:$E$100)*((Personnel!$K$9:$K$100="")+(31&lt;=Personnel!$K$9:$K$100)&gt;0))</f>
        <v>3</v>
      </c>
      <c r="AJ45" s="386" t="n">
        <f aca="false">SUMPRODUCT((Personnel!$P$9:$P$100="PM")*(Personnel!$G$9:$G$100="Yes")*(32&gt;=Personnel!$E$9:$E$100)*((Personnel!$K$9:$K$100="")+(32&lt;=Personnel!$K$9:$K$100)&gt;0))</f>
        <v>3</v>
      </c>
      <c r="AK45" s="386" t="n">
        <f aca="false">SUMPRODUCT((Personnel!$P$9:$P$100="PM")*(Personnel!$G$9:$G$100="Yes")*(33&gt;=Personnel!$E$9:$E$100)*((Personnel!$K$9:$K$100="")+(33&lt;=Personnel!$K$9:$K$100)&gt;0))</f>
        <v>3</v>
      </c>
      <c r="AL45" s="386" t="n">
        <f aca="false">SUMPRODUCT((Personnel!$P$9:$P$100="PM")*(Personnel!$G$9:$G$100="Yes")*(34&gt;=Personnel!$E$9:$E$100)*((Personnel!$K$9:$K$100="")+(34&lt;=Personnel!$K$9:$K$100)&gt;0))</f>
        <v>3</v>
      </c>
      <c r="AM45" s="386" t="n">
        <f aca="false">SUMPRODUCT((Personnel!$P$9:$P$100="PM")*(Personnel!$G$9:$G$100="Yes")*(35&gt;=Personnel!$E$9:$E$100)*((Personnel!$K$9:$K$100="")+(35&lt;=Personnel!$K$9:$K$100)&gt;0))</f>
        <v>3</v>
      </c>
      <c r="AN45" s="386" t="n">
        <f aca="false">SUMPRODUCT((Personnel!$P$9:$P$100="PM")*(Personnel!$G$9:$G$100="Yes")*(36&gt;=Personnel!$E$9:$E$100)*((Personnel!$K$9:$K$100="")+(36&lt;=Personnel!$K$9:$K$100)&gt;0))</f>
        <v>3</v>
      </c>
      <c r="AO45" s="386" t="n">
        <f aca="false">SUMPRODUCT((Personnel!$P$9:$P$100="PM")*(Personnel!$G$9:$G$100="Yes")*(37&gt;=Personnel!$E$9:$E$100)*((Personnel!$K$9:$K$100="")+(37&lt;=Personnel!$K$9:$K$100)&gt;0))</f>
        <v>3</v>
      </c>
      <c r="AP45" s="386" t="n">
        <f aca="false">SUMPRODUCT((Personnel!$P$9:$P$100="PM")*(Personnel!$G$9:$G$100="Yes")*(38&gt;=Personnel!$E$9:$E$100)*((Personnel!$K$9:$K$100="")+(38&lt;=Personnel!$K$9:$K$100)&gt;0))</f>
        <v>3</v>
      </c>
      <c r="AQ45" s="386" t="n">
        <f aca="false">SUMPRODUCT((Personnel!$P$9:$P$100="PM")*(Personnel!$G$9:$G$100="Yes")*(39&gt;=Personnel!$E$9:$E$100)*((Personnel!$K$9:$K$100="")+(39&lt;=Personnel!$K$9:$K$100)&gt;0))</f>
        <v>3</v>
      </c>
      <c r="AR45" s="386" t="n">
        <f aca="false">SUMPRODUCT((Personnel!$P$9:$P$100="PM")*(Personnel!$G$9:$G$100="Yes")*(40&gt;=Personnel!$E$9:$E$100)*((Personnel!$K$9:$K$100="")+(40&lt;=Personnel!$K$9:$K$100)&gt;0))</f>
        <v>3</v>
      </c>
      <c r="AS45" s="386" t="n">
        <f aca="false">SUMPRODUCT((Personnel!$P$9:$P$100="PM")*(Personnel!$G$9:$G$100="Yes")*(41&gt;=Personnel!$E$9:$E$100)*((Personnel!$K$9:$K$100="")+(41&lt;=Personnel!$K$9:$K$100)&gt;0))</f>
        <v>3</v>
      </c>
      <c r="AT45" s="386" t="n">
        <f aca="false">SUMPRODUCT((Personnel!$P$9:$P$100="PM")*(Personnel!$G$9:$G$100="Yes")*(42&gt;=Personnel!$E$9:$E$100)*((Personnel!$K$9:$K$100="")+(42&lt;=Personnel!$K$9:$K$100)&gt;0))</f>
        <v>3</v>
      </c>
      <c r="AU45" s="386" t="n">
        <f aca="false">SUMPRODUCT((Personnel!$P$9:$P$100="PM")*(Personnel!$G$9:$G$100="Yes")*(43&gt;=Personnel!$E$9:$E$100)*((Personnel!$K$9:$K$100="")+(43&lt;=Personnel!$K$9:$K$100)&gt;0))</f>
        <v>3</v>
      </c>
      <c r="AV45" s="386" t="n">
        <f aca="false">SUMPRODUCT((Personnel!$P$9:$P$100="PM")*(Personnel!$G$9:$G$100="Yes")*(44&gt;=Personnel!$E$9:$E$100)*((Personnel!$K$9:$K$100="")+(44&lt;=Personnel!$K$9:$K$100)&gt;0))</f>
        <v>3</v>
      </c>
      <c r="AW45" s="386" t="n">
        <f aca="false">SUMPRODUCT((Personnel!$P$9:$P$100="PM")*(Personnel!$G$9:$G$100="Yes")*(45&gt;=Personnel!$E$9:$E$100)*((Personnel!$K$9:$K$100="")+(45&lt;=Personnel!$K$9:$K$100)&gt;0))</f>
        <v>3</v>
      </c>
      <c r="AX45" s="386" t="n">
        <f aca="false">SUMPRODUCT((Personnel!$P$9:$P$100="PM")*(Personnel!$G$9:$G$100="Yes")*(46&gt;=Personnel!$E$9:$E$100)*((Personnel!$K$9:$K$100="")+(46&lt;=Personnel!$K$9:$K$100)&gt;0))</f>
        <v>3</v>
      </c>
      <c r="AY45" s="386" t="n">
        <f aca="false">SUMPRODUCT((Personnel!$P$9:$P$100="PM")*(Personnel!$G$9:$G$100="Yes")*(47&gt;=Personnel!$E$9:$E$100)*((Personnel!$K$9:$K$100="")+(47&lt;=Personnel!$K$9:$K$100)&gt;0))</f>
        <v>3</v>
      </c>
      <c r="AZ45" s="386" t="n">
        <f aca="false">SUMPRODUCT((Personnel!$P$9:$P$100="PM")*(Personnel!$G$9:$G$100="Yes")*(48&gt;=Personnel!$E$9:$E$100)*((Personnel!$K$9:$K$100="")+(48&lt;=Personnel!$K$9:$K$100)&gt;0))</f>
        <v>3</v>
      </c>
      <c r="BA45" s="386" t="n">
        <f aca="false">SUMPRODUCT((Personnel!$P$9:$P$100="PM")*(Personnel!$G$9:$G$100="Yes")*(49&gt;=Personnel!$E$9:$E$100)*((Personnel!$K$9:$K$100="")+(49&lt;=Personnel!$K$9:$K$100)&gt;0))</f>
        <v>3</v>
      </c>
      <c r="BB45" s="386" t="n">
        <f aca="false">SUMPRODUCT((Personnel!$P$9:$P$100="PM")*(Personnel!$G$9:$G$100="Yes")*(50&gt;=Personnel!$E$9:$E$100)*((Personnel!$K$9:$K$100="")+(50&lt;=Personnel!$K$9:$K$100)&gt;0))</f>
        <v>3</v>
      </c>
      <c r="BC45" s="386" t="n">
        <f aca="false">SUMPRODUCT((Personnel!$P$9:$P$100="PM")*(Personnel!$G$9:$G$100="Yes")*(51&gt;=Personnel!$E$9:$E$100)*((Personnel!$K$9:$K$100="")+(51&lt;=Personnel!$K$9:$K$100)&gt;0))</f>
        <v>3</v>
      </c>
      <c r="BD45" s="386" t="n">
        <f aca="false">SUMPRODUCT((Personnel!$P$9:$P$100="PM")*(Personnel!$G$9:$G$100="Yes")*(52&gt;=Personnel!$E$9:$E$100)*((Personnel!$K$9:$K$100="")+(52&lt;=Personnel!$K$9:$K$100)&gt;0))</f>
        <v>3</v>
      </c>
      <c r="BE45" s="386" t="n">
        <f aca="false">SUMPRODUCT((Personnel!$P$9:$P$100="PM")*(Personnel!$G$9:$G$100="Yes")*(53&gt;=Personnel!$E$9:$E$100)*((Personnel!$K$9:$K$100="")+(53&lt;=Personnel!$K$9:$K$100)&gt;0))</f>
        <v>3</v>
      </c>
      <c r="BF45" s="386" t="n">
        <f aca="false">SUMPRODUCT((Personnel!$P$9:$P$100="PM")*(Personnel!$G$9:$G$100="Yes")*(54&gt;=Personnel!$E$9:$E$100)*((Personnel!$K$9:$K$100="")+(54&lt;=Personnel!$K$9:$K$100)&gt;0))</f>
        <v>3</v>
      </c>
      <c r="BG45" s="386" t="n">
        <f aca="false">SUMPRODUCT((Personnel!$P$9:$P$100="PM")*(Personnel!$G$9:$G$100="Yes")*(55&gt;=Personnel!$E$9:$E$100)*((Personnel!$K$9:$K$100="")+(55&lt;=Personnel!$K$9:$K$100)&gt;0))</f>
        <v>3</v>
      </c>
      <c r="BH45" s="386" t="n">
        <f aca="false">SUMPRODUCT((Personnel!$P$9:$P$100="PM")*(Personnel!$G$9:$G$100="Yes")*(56&gt;=Personnel!$E$9:$E$100)*((Personnel!$K$9:$K$100="")+(56&lt;=Personnel!$K$9:$K$100)&gt;0))</f>
        <v>3</v>
      </c>
      <c r="BI45" s="386" t="n">
        <f aca="false">SUMPRODUCT((Personnel!$P$9:$P$100="PM")*(Personnel!$G$9:$G$100="Yes")*(57&gt;=Personnel!$E$9:$E$100)*((Personnel!$K$9:$K$100="")+(57&lt;=Personnel!$K$9:$K$100)&gt;0))</f>
        <v>3</v>
      </c>
      <c r="BJ45" s="386" t="n">
        <f aca="false">SUMPRODUCT((Personnel!$P$9:$P$100="PM")*(Personnel!$G$9:$G$100="Yes")*(58&gt;=Personnel!$E$9:$E$100)*((Personnel!$K$9:$K$100="")+(58&lt;=Personnel!$K$9:$K$100)&gt;0))</f>
        <v>3</v>
      </c>
      <c r="BK45" s="386" t="n">
        <f aca="false">SUMPRODUCT((Personnel!$P$9:$P$100="PM")*(Personnel!$G$9:$G$100="Yes")*(59&gt;=Personnel!$E$9:$E$100)*((Personnel!$K$9:$K$100="")+(59&lt;=Personnel!$K$9:$K$100)&gt;0))</f>
        <v>3</v>
      </c>
      <c r="BL45" s="386" t="n">
        <f aca="false">SUMPRODUCT((Personnel!$P$9:$P$100="PM")*(Personnel!$G$9:$G$100="Yes")*(60&gt;=Personnel!$E$9:$E$100)*((Personnel!$K$9:$K$100="")+(60&lt;=Personnel!$K$9:$K$100)&gt;0))</f>
        <v>3</v>
      </c>
      <c r="BM45" s="386" t="n">
        <f aca="false">SUMPRODUCT((Personnel!$P$9:$P$100="PM")*(Personnel!$G$9:$G$100="Yes")*(61&gt;=Personnel!$E$9:$E$100)*((Personnel!$K$9:$K$100="")+(61&lt;=Personnel!$K$9:$K$100)&gt;0))</f>
        <v>3</v>
      </c>
      <c r="BN45" s="386" t="n">
        <f aca="false">SUMPRODUCT((Personnel!$P$9:$P$100="PM")*(Personnel!$G$9:$G$100="Yes")*(62&gt;=Personnel!$E$9:$E$100)*((Personnel!$K$9:$K$100="")+(62&lt;=Personnel!$K$9:$K$100)&gt;0))</f>
        <v>3</v>
      </c>
      <c r="BO45" s="386" t="n">
        <f aca="false">SUMPRODUCT((Personnel!$P$9:$P$100="PM")*(Personnel!$G$9:$G$100="Yes")*(63&gt;=Personnel!$E$9:$E$100)*((Personnel!$K$9:$K$100="")+(63&lt;=Personnel!$K$9:$K$100)&gt;0))</f>
        <v>3</v>
      </c>
      <c r="BP45" s="386" t="n">
        <f aca="false">SUMPRODUCT((Personnel!$P$9:$P$100="PM")*(Personnel!$G$9:$G$100="Yes")*(64&gt;=Personnel!$E$9:$E$100)*((Personnel!$K$9:$K$100="")+(64&lt;=Personnel!$K$9:$K$100)&gt;0))</f>
        <v>3</v>
      </c>
      <c r="BQ45" s="386" t="n">
        <f aca="false">SUMPRODUCT((Personnel!$P$9:$P$100="PM")*(Personnel!$G$9:$G$100="Yes")*(65&gt;=Personnel!$E$9:$E$100)*((Personnel!$K$9:$K$100="")+(65&lt;=Personnel!$K$9:$K$100)&gt;0))</f>
        <v>3</v>
      </c>
      <c r="BR45" s="386" t="n">
        <f aca="false">SUMPRODUCT((Personnel!$P$9:$P$100="PM")*(Personnel!$G$9:$G$100="Yes")*(66&gt;=Personnel!$E$9:$E$100)*((Personnel!$K$9:$K$100="")+(66&lt;=Personnel!$K$9:$K$100)&gt;0))</f>
        <v>3</v>
      </c>
      <c r="BS45" s="386" t="n">
        <f aca="false">SUMPRODUCT((Personnel!$P$9:$P$100="PM")*(Personnel!$G$9:$G$100="Yes")*(67&gt;=Personnel!$E$9:$E$100)*((Personnel!$K$9:$K$100="")+(67&lt;=Personnel!$K$9:$K$100)&gt;0))</f>
        <v>3</v>
      </c>
      <c r="BT45" s="386" t="n">
        <f aca="false">SUMPRODUCT((Personnel!$P$9:$P$100="PM")*(Personnel!$G$9:$G$100="Yes")*(68&gt;=Personnel!$E$9:$E$100)*((Personnel!$K$9:$K$100="")+(68&lt;=Personnel!$K$9:$K$100)&gt;0))</f>
        <v>3</v>
      </c>
      <c r="BU45" s="386" t="n">
        <f aca="false">SUMPRODUCT((Personnel!$P$9:$P$100="PM")*(Personnel!$G$9:$G$100="Yes")*(69&gt;=Personnel!$E$9:$E$100)*((Personnel!$K$9:$K$100="")+(69&lt;=Personnel!$K$9:$K$100)&gt;0))</f>
        <v>3</v>
      </c>
      <c r="BV45" s="386" t="n">
        <f aca="false">SUMPRODUCT((Personnel!$P$9:$P$100="PM")*(Personnel!$G$9:$G$100="Yes")*(70&gt;=Personnel!$E$9:$E$100)*((Personnel!$K$9:$K$100="")+(70&lt;=Personnel!$K$9:$K$100)&gt;0))</f>
        <v>3</v>
      </c>
      <c r="BW45" s="386" t="n">
        <f aca="false">SUMPRODUCT((Personnel!$P$9:$P$100="PM")*(Personnel!$G$9:$G$100="Yes")*(71&gt;=Personnel!$E$9:$E$100)*((Personnel!$K$9:$K$100="")+(71&lt;=Personnel!$K$9:$K$100)&gt;0))</f>
        <v>3</v>
      </c>
      <c r="BX45" s="386" t="n">
        <f aca="false">SUMPRODUCT((Personnel!$P$9:$P$100="PM")*(Personnel!$G$9:$G$100="Yes")*(72&gt;=Personnel!$E$9:$E$100)*((Personnel!$K$9:$K$100="")+(72&lt;=Personnel!$K$9:$K$100)&gt;0))</f>
        <v>3</v>
      </c>
      <c r="BY45" s="386" t="n">
        <f aca="false">SUMPRODUCT((Personnel!$P$9:$P$100="PM")*(Personnel!$G$9:$G$100="Yes")*(73&gt;=Personnel!$E$9:$E$100)*((Personnel!$K$9:$K$100="")+(73&lt;=Personnel!$K$9:$K$100)&gt;0))</f>
        <v>3</v>
      </c>
      <c r="BZ45" s="386" t="n">
        <f aca="false">SUMPRODUCT((Personnel!$P$9:$P$100="PM")*(Personnel!$G$9:$G$100="Yes")*(74&gt;=Personnel!$E$9:$E$100)*((Personnel!$K$9:$K$100="")+(74&lt;=Personnel!$K$9:$K$100)&gt;0))</f>
        <v>3</v>
      </c>
      <c r="CA45" s="386" t="n">
        <f aca="false">SUMPRODUCT((Personnel!$P$9:$P$100="PM")*(Personnel!$G$9:$G$100="Yes")*(75&gt;=Personnel!$E$9:$E$100)*((Personnel!$K$9:$K$100="")+(75&lt;=Personnel!$K$9:$K$100)&gt;0))</f>
        <v>3</v>
      </c>
      <c r="CB45" s="386" t="n">
        <f aca="false">SUMPRODUCT((Personnel!$P$9:$P$100="PM")*(Personnel!$G$9:$G$100="Yes")*(76&gt;=Personnel!$E$9:$E$100)*((Personnel!$K$9:$K$100="")+(76&lt;=Personnel!$K$9:$K$100)&gt;0))</f>
        <v>3</v>
      </c>
      <c r="CC45" s="386" t="n">
        <f aca="false">SUMPRODUCT((Personnel!$P$9:$P$100="PM")*(Personnel!$G$9:$G$100="Yes")*(77&gt;=Personnel!$E$9:$E$100)*((Personnel!$K$9:$K$100="")+(77&lt;=Personnel!$K$9:$K$100)&gt;0))</f>
        <v>3</v>
      </c>
      <c r="CD45" s="386" t="n">
        <f aca="false">SUMPRODUCT((Personnel!$P$9:$P$100="PM")*(Personnel!$G$9:$G$100="Yes")*(78&gt;=Personnel!$E$9:$E$100)*((Personnel!$K$9:$K$100="")+(78&lt;=Personnel!$K$9:$K$100)&gt;0))</f>
        <v>3</v>
      </c>
      <c r="CE45" s="386" t="n">
        <f aca="false">SUMPRODUCT((Personnel!$P$9:$P$100="PM")*(Personnel!$G$9:$G$100="Yes")*(79&gt;=Personnel!$E$9:$E$100)*((Personnel!$K$9:$K$100="")+(79&lt;=Personnel!$K$9:$K$100)&gt;0))</f>
        <v>3</v>
      </c>
      <c r="CF45" s="386" t="n">
        <f aca="false">SUMPRODUCT((Personnel!$P$9:$P$100="PM")*(Personnel!$G$9:$G$100="Yes")*(80&gt;=Personnel!$E$9:$E$100)*((Personnel!$K$9:$K$100="")+(80&lt;=Personnel!$K$9:$K$100)&gt;0))</f>
        <v>3</v>
      </c>
      <c r="CG45" s="386" t="n">
        <f aca="false">SUMPRODUCT((Personnel!$P$9:$P$100="PM")*(Personnel!$G$9:$G$100="Yes")*(81&gt;=Personnel!$E$9:$E$100)*((Personnel!$K$9:$K$100="")+(81&lt;=Personnel!$K$9:$K$100)&gt;0))</f>
        <v>3</v>
      </c>
      <c r="CH45" s="386" t="n">
        <f aca="false">SUMPRODUCT((Personnel!$P$9:$P$100="PM")*(Personnel!$G$9:$G$100="Yes")*(82&gt;=Personnel!$E$9:$E$100)*((Personnel!$K$9:$K$100="")+(82&lt;=Personnel!$K$9:$K$100)&gt;0))</f>
        <v>3</v>
      </c>
      <c r="CI45" s="386" t="n">
        <f aca="false">SUMPRODUCT((Personnel!$P$9:$P$100="PM")*(Personnel!$G$9:$G$100="Yes")*(83&gt;=Personnel!$E$9:$E$100)*((Personnel!$K$9:$K$100="")+(83&lt;=Personnel!$K$9:$K$100)&gt;0))</f>
        <v>3</v>
      </c>
      <c r="CJ45" s="386" t="n">
        <f aca="false">SUMPRODUCT((Personnel!$P$9:$P$100="PM")*(Personnel!$G$9:$G$100="Yes")*(84&gt;=Personnel!$E$9:$E$100)*((Personnel!$K$9:$K$100="")+(84&lt;=Personnel!$K$9:$K$100)&gt;0))</f>
        <v>3</v>
      </c>
      <c r="CK45" s="386" t="n">
        <f aca="false">SUMPRODUCT((Personnel!$P$9:$P$100="PM")*(Personnel!$G$9:$G$100="Yes")*(85&gt;=Personnel!$E$9:$E$100)*((Personnel!$K$9:$K$100="")+(85&lt;=Personnel!$K$9:$K$100)&gt;0))</f>
        <v>3</v>
      </c>
      <c r="CL45" s="386" t="n">
        <f aca="false">SUMPRODUCT((Personnel!$P$9:$P$100="PM")*(Personnel!$G$9:$G$100="Yes")*(86&gt;=Personnel!$E$9:$E$100)*((Personnel!$K$9:$K$100="")+(86&lt;=Personnel!$K$9:$K$100)&gt;0))</f>
        <v>3</v>
      </c>
      <c r="CM45" s="386" t="n">
        <f aca="false">SUMPRODUCT((Personnel!$P$9:$P$100="PM")*(Personnel!$G$9:$G$100="Yes")*(87&gt;=Personnel!$E$9:$E$100)*((Personnel!$K$9:$K$100="")+(87&lt;=Personnel!$K$9:$K$100)&gt;0))</f>
        <v>3</v>
      </c>
      <c r="CN45" s="386" t="n">
        <f aca="false">SUMPRODUCT((Personnel!$P$9:$P$100="PM")*(Personnel!$G$9:$G$100="Yes")*(88&gt;=Personnel!$E$9:$E$100)*((Personnel!$K$9:$K$100="")+(88&lt;=Personnel!$K$9:$K$100)&gt;0))</f>
        <v>3</v>
      </c>
      <c r="CO45" s="386" t="n">
        <f aca="false">SUMPRODUCT((Personnel!$P$9:$P$100="PM")*(Personnel!$G$9:$G$100="Yes")*(89&gt;=Personnel!$E$9:$E$100)*((Personnel!$K$9:$K$100="")+(89&lt;=Personnel!$K$9:$K$100)&gt;0))</f>
        <v>3</v>
      </c>
      <c r="CP45" s="386" t="n">
        <f aca="false">SUMPRODUCT((Personnel!$P$9:$P$100="PM")*(Personnel!$G$9:$G$100="Yes")*(90&gt;=Personnel!$E$9:$E$100)*((Personnel!$K$9:$K$100="")+(90&lt;=Personnel!$K$9:$K$100)&gt;0))</f>
        <v>3</v>
      </c>
      <c r="CQ45" s="386" t="n">
        <f aca="false">SUMPRODUCT((Personnel!$P$9:$P$100="PM")*(Personnel!$G$9:$G$100="Yes")*(91&gt;=Personnel!$E$9:$E$100)*((Personnel!$K$9:$K$100="")+(91&lt;=Personnel!$K$9:$K$100)&gt;0))</f>
        <v>3</v>
      </c>
      <c r="CR45" s="386" t="n">
        <f aca="false">SUMPRODUCT((Personnel!$P$9:$P$100="PM")*(Personnel!$G$9:$G$100="Yes")*(92&gt;=Personnel!$E$9:$E$100)*((Personnel!$K$9:$K$100="")+(92&lt;=Personnel!$K$9:$K$100)&gt;0))</f>
        <v>3</v>
      </c>
      <c r="CS45" s="386" t="n">
        <f aca="false">SUMPRODUCT((Personnel!$P$9:$P$100="PM")*(Personnel!$G$9:$G$100="Yes")*(93&gt;=Personnel!$E$9:$E$100)*((Personnel!$K$9:$K$100="")+(93&lt;=Personnel!$K$9:$K$100)&gt;0))</f>
        <v>3</v>
      </c>
      <c r="CT45" s="386" t="n">
        <f aca="false">SUMPRODUCT((Personnel!$P$9:$P$100="PM")*(Personnel!$G$9:$G$100="Yes")*(94&gt;=Personnel!$E$9:$E$100)*((Personnel!$K$9:$K$100="")+(94&lt;=Personnel!$K$9:$K$100)&gt;0))</f>
        <v>3</v>
      </c>
      <c r="CU45" s="386" t="n">
        <f aca="false">SUMPRODUCT((Personnel!$P$9:$P$100="PM")*(Personnel!$G$9:$G$100="Yes")*(95&gt;=Personnel!$E$9:$E$100)*((Personnel!$K$9:$K$100="")+(95&lt;=Personnel!$K$9:$K$100)&gt;0))</f>
        <v>3</v>
      </c>
      <c r="CV45" s="386" t="n">
        <f aca="false">SUMPRODUCT((Personnel!$P$9:$P$100="PM")*(Personnel!$G$9:$G$100="Yes")*(96&gt;=Personnel!$E$9:$E$100)*((Personnel!$K$9:$K$100="")+(96&lt;=Personnel!$K$9:$K$100)&gt;0))</f>
        <v>3</v>
      </c>
      <c r="CW45" s="386" t="n">
        <f aca="false">SUMPRODUCT((Personnel!$P$9:$P$100="PM")*(Personnel!$G$9:$G$100="Yes")*(97&gt;=Personnel!$E$9:$E$100)*((Personnel!$K$9:$K$100="")+(97&lt;=Personnel!$K$9:$K$100)&gt;0))</f>
        <v>3</v>
      </c>
      <c r="CX45" s="386" t="n">
        <f aca="false">SUMPRODUCT((Personnel!$P$9:$P$100="PM")*(Personnel!$G$9:$G$100="Yes")*(98&gt;=Personnel!$E$9:$E$100)*((Personnel!$K$9:$K$100="")+(98&lt;=Personnel!$K$9:$K$100)&gt;0))</f>
        <v>3</v>
      </c>
      <c r="CY45" s="386" t="n">
        <f aca="false">SUMPRODUCT((Personnel!$P$9:$P$100="PM")*(Personnel!$G$9:$G$100="Yes")*(99&gt;=Personnel!$E$9:$E$100)*((Personnel!$K$9:$K$100="")+(99&lt;=Personnel!$K$9:$K$100)&gt;0))</f>
        <v>3</v>
      </c>
      <c r="CZ45" s="386" t="n">
        <f aca="false">SUMPRODUCT((Personnel!$P$9:$P$100="PM")*(Personnel!$G$9:$G$100="Yes")*(100&gt;=Personnel!$E$9:$E$100)*((Personnel!$K$9:$K$100="")+(100&lt;=Personnel!$K$9:$K$100)&gt;0))</f>
        <v>3</v>
      </c>
      <c r="DA45" s="386" t="n">
        <f aca="false">SUMPRODUCT((Personnel!$P$9:$P$100="PM")*(Personnel!$G$9:$G$100="Yes")*(101&gt;=Personnel!$E$9:$E$100)*((Personnel!$K$9:$K$100="")+(101&lt;=Personnel!$K$9:$K$100)&gt;0))</f>
        <v>3</v>
      </c>
      <c r="DB45" s="386" t="n">
        <f aca="false">SUMPRODUCT((Personnel!$P$9:$P$100="PM")*(Personnel!$G$9:$G$100="Yes")*(102&gt;=Personnel!$E$9:$E$100)*((Personnel!$K$9:$K$100="")+(102&lt;=Personnel!$K$9:$K$100)&gt;0))</f>
        <v>3</v>
      </c>
      <c r="DC45" s="386" t="n">
        <f aca="false">SUMPRODUCT((Personnel!$P$9:$P$100="PM")*(Personnel!$G$9:$G$100="Yes")*(103&gt;=Personnel!$E$9:$E$100)*((Personnel!$K$9:$K$100="")+(103&lt;=Personnel!$K$9:$K$100)&gt;0))</f>
        <v>3</v>
      </c>
      <c r="DD45" s="386" t="n">
        <f aca="false">SUMPRODUCT((Personnel!$P$9:$P$100="PM")*(Personnel!$G$9:$G$100="Yes")*(104&gt;=Personnel!$E$9:$E$100)*((Personnel!$K$9:$K$100="")+(104&lt;=Personnel!$K$9:$K$100)&gt;0))</f>
        <v>3</v>
      </c>
      <c r="DE45" s="386" t="n">
        <f aca="false">SUMPRODUCT((Personnel!$P$9:$P$100="PM")*(Personnel!$G$9:$G$100="Yes")*(105&gt;=Personnel!$E$9:$E$100)*((Personnel!$K$9:$K$100="")+(105&lt;=Personnel!$K$9:$K$100)&gt;0))</f>
        <v>3</v>
      </c>
    </row>
    <row r="46" customFormat="false" ht="13.5" hidden="false" customHeight="true" outlineLevel="0" collapsed="false">
      <c r="A46" s="110" t="s">
        <v>1385</v>
      </c>
      <c r="E46" s="386" t="n">
        <f aca="false">SUMPRODUCT((Personnel!$P$9:$P$100="FE")*(Personnel!$G$9:$G$100="Yes")*(1&gt;=Personnel!$E$9:$E$100)*((Personnel!$K$9:$K$100="")+(1&lt;=Personnel!$K$9:$K$100)&gt;0))</f>
        <v>0</v>
      </c>
      <c r="F46" s="386" t="n">
        <f aca="false">SUMPRODUCT((Personnel!$P$9:$P$100="FE")*(Personnel!$G$9:$G$100="Yes")*(2&gt;=Personnel!$E$9:$E$100)*((Personnel!$K$9:$K$100="")+(2&lt;=Personnel!$K$9:$K$100)&gt;0))</f>
        <v>0</v>
      </c>
      <c r="G46" s="386" t="n">
        <f aca="false">SUMPRODUCT((Personnel!$P$9:$P$100="FE")*(Personnel!$G$9:$G$100="Yes")*(3&gt;=Personnel!$E$9:$E$100)*((Personnel!$K$9:$K$100="")+(3&lt;=Personnel!$K$9:$K$100)&gt;0))</f>
        <v>0</v>
      </c>
      <c r="H46" s="386" t="n">
        <f aca="false">SUMPRODUCT((Personnel!$P$9:$P$100="FE")*(Personnel!$G$9:$G$100="Yes")*(4&gt;=Personnel!$E$9:$E$100)*((Personnel!$K$9:$K$100="")+(4&lt;=Personnel!$K$9:$K$100)&gt;0))</f>
        <v>0</v>
      </c>
      <c r="I46" s="386" t="n">
        <f aca="false">SUMPRODUCT((Personnel!$P$9:$P$100="FE")*(Personnel!$G$9:$G$100="Yes")*(5&gt;=Personnel!$E$9:$E$100)*((Personnel!$K$9:$K$100="")+(5&lt;=Personnel!$K$9:$K$100)&gt;0))</f>
        <v>0</v>
      </c>
      <c r="J46" s="386" t="n">
        <f aca="false">SUMPRODUCT((Personnel!$P$9:$P$100="FE")*(Personnel!$G$9:$G$100="Yes")*(6&gt;=Personnel!$E$9:$E$100)*((Personnel!$K$9:$K$100="")+(6&lt;=Personnel!$K$9:$K$100)&gt;0))</f>
        <v>0</v>
      </c>
      <c r="K46" s="386" t="n">
        <f aca="false">SUMPRODUCT((Personnel!$P$9:$P$100="FE")*(Personnel!$G$9:$G$100="Yes")*(7&gt;=Personnel!$E$9:$E$100)*((Personnel!$K$9:$K$100="")+(7&lt;=Personnel!$K$9:$K$100)&gt;0))</f>
        <v>0</v>
      </c>
      <c r="L46" s="386" t="n">
        <f aca="false">SUMPRODUCT((Personnel!$P$9:$P$100="FE")*(Personnel!$G$9:$G$100="Yes")*(8&gt;=Personnel!$E$9:$E$100)*((Personnel!$K$9:$K$100="")+(8&lt;=Personnel!$K$9:$K$100)&gt;0))</f>
        <v>0</v>
      </c>
      <c r="M46" s="386" t="n">
        <f aca="false">SUMPRODUCT((Personnel!$P$9:$P$100="FE")*(Personnel!$G$9:$G$100="Yes")*(9&gt;=Personnel!$E$9:$E$100)*((Personnel!$K$9:$K$100="")+(9&lt;=Personnel!$K$9:$K$100)&gt;0))</f>
        <v>0</v>
      </c>
      <c r="N46" s="386" t="n">
        <f aca="false">SUMPRODUCT((Personnel!$P$9:$P$100="FE")*(Personnel!$G$9:$G$100="Yes")*(10&gt;=Personnel!$E$9:$E$100)*((Personnel!$K$9:$K$100="")+(10&lt;=Personnel!$K$9:$K$100)&gt;0))</f>
        <v>0</v>
      </c>
      <c r="O46" s="386" t="n">
        <f aca="false">SUMPRODUCT((Personnel!$P$9:$P$100="FE")*(Personnel!$G$9:$G$100="Yes")*(11&gt;=Personnel!$E$9:$E$100)*((Personnel!$K$9:$K$100="")+(11&lt;=Personnel!$K$9:$K$100)&gt;0))</f>
        <v>0</v>
      </c>
      <c r="P46" s="386" t="n">
        <f aca="false">SUMPRODUCT((Personnel!$P$9:$P$100="FE")*(Personnel!$G$9:$G$100="Yes")*(12&gt;=Personnel!$E$9:$E$100)*((Personnel!$K$9:$K$100="")+(12&lt;=Personnel!$K$9:$K$100)&gt;0))</f>
        <v>0</v>
      </c>
      <c r="Q46" s="386" t="n">
        <f aca="false">SUMPRODUCT((Personnel!$P$9:$P$100="FE")*(Personnel!$G$9:$G$100="Yes")*(13&gt;=Personnel!$E$9:$E$100)*((Personnel!$K$9:$K$100="")+(13&lt;=Personnel!$K$9:$K$100)&gt;0))</f>
        <v>0</v>
      </c>
      <c r="R46" s="386" t="n">
        <f aca="false">SUMPRODUCT((Personnel!$P$9:$P$100="FE")*(Personnel!$G$9:$G$100="Yes")*(14&gt;=Personnel!$E$9:$E$100)*((Personnel!$K$9:$K$100="")+(14&lt;=Personnel!$K$9:$K$100)&gt;0))</f>
        <v>0</v>
      </c>
      <c r="S46" s="386" t="n">
        <f aca="false">SUMPRODUCT((Personnel!$P$9:$P$100="FE")*(Personnel!$G$9:$G$100="Yes")*(15&gt;=Personnel!$E$9:$E$100)*((Personnel!$K$9:$K$100="")+(15&lt;=Personnel!$K$9:$K$100)&gt;0))</f>
        <v>0</v>
      </c>
      <c r="T46" s="386" t="n">
        <f aca="false">SUMPRODUCT((Personnel!$P$9:$P$100="FE")*(Personnel!$G$9:$G$100="Yes")*(16&gt;=Personnel!$E$9:$E$100)*((Personnel!$K$9:$K$100="")+(16&lt;=Personnel!$K$9:$K$100)&gt;0))</f>
        <v>0</v>
      </c>
      <c r="U46" s="386" t="n">
        <f aca="false">SUMPRODUCT((Personnel!$P$9:$P$100="FE")*(Personnel!$G$9:$G$100="Yes")*(17&gt;=Personnel!$E$9:$E$100)*((Personnel!$K$9:$K$100="")+(17&lt;=Personnel!$K$9:$K$100)&gt;0))</f>
        <v>0</v>
      </c>
      <c r="V46" s="386" t="n">
        <f aca="false">SUMPRODUCT((Personnel!$P$9:$P$100="FE")*(Personnel!$G$9:$G$100="Yes")*(18&gt;=Personnel!$E$9:$E$100)*((Personnel!$K$9:$K$100="")+(18&lt;=Personnel!$K$9:$K$100)&gt;0))</f>
        <v>0</v>
      </c>
      <c r="W46" s="386" t="n">
        <f aca="false">SUMPRODUCT((Personnel!$P$9:$P$100="FE")*(Personnel!$G$9:$G$100="Yes")*(19&gt;=Personnel!$E$9:$E$100)*((Personnel!$K$9:$K$100="")+(19&lt;=Personnel!$K$9:$K$100)&gt;0))</f>
        <v>0</v>
      </c>
      <c r="X46" s="386" t="n">
        <f aca="false">SUMPRODUCT((Personnel!$P$9:$P$100="FE")*(Personnel!$G$9:$G$100="Yes")*(20&gt;=Personnel!$E$9:$E$100)*((Personnel!$K$9:$K$100="")+(20&lt;=Personnel!$K$9:$K$100)&gt;0))</f>
        <v>0</v>
      </c>
      <c r="Y46" s="386" t="n">
        <f aca="false">SUMPRODUCT((Personnel!$P$9:$P$100="FE")*(Personnel!$G$9:$G$100="Yes")*(21&gt;=Personnel!$E$9:$E$100)*((Personnel!$K$9:$K$100="")+(21&lt;=Personnel!$K$9:$K$100)&gt;0))</f>
        <v>0</v>
      </c>
      <c r="Z46" s="386" t="n">
        <f aca="false">SUMPRODUCT((Personnel!$P$9:$P$100="FE")*(Personnel!$G$9:$G$100="Yes")*(22&gt;=Personnel!$E$9:$E$100)*((Personnel!$K$9:$K$100="")+(22&lt;=Personnel!$K$9:$K$100)&gt;0))</f>
        <v>0</v>
      </c>
      <c r="AA46" s="386" t="n">
        <f aca="false">SUMPRODUCT((Personnel!$P$9:$P$100="FE")*(Personnel!$G$9:$G$100="Yes")*(23&gt;=Personnel!$E$9:$E$100)*((Personnel!$K$9:$K$100="")+(23&lt;=Personnel!$K$9:$K$100)&gt;0))</f>
        <v>0</v>
      </c>
      <c r="AB46" s="386" t="n">
        <f aca="false">SUMPRODUCT((Personnel!$P$9:$P$100="FE")*(Personnel!$G$9:$G$100="Yes")*(24&gt;=Personnel!$E$9:$E$100)*((Personnel!$K$9:$K$100="")+(24&lt;=Personnel!$K$9:$K$100)&gt;0))</f>
        <v>0</v>
      </c>
      <c r="AC46" s="386" t="n">
        <f aca="false">SUMPRODUCT((Personnel!$P$9:$P$100="FE")*(Personnel!$G$9:$G$100="Yes")*(25&gt;=Personnel!$E$9:$E$100)*((Personnel!$K$9:$K$100="")+(25&lt;=Personnel!$K$9:$K$100)&gt;0))</f>
        <v>0</v>
      </c>
      <c r="AD46" s="386" t="n">
        <f aca="false">SUMPRODUCT((Personnel!$P$9:$P$100="FE")*(Personnel!$G$9:$G$100="Yes")*(26&gt;=Personnel!$E$9:$E$100)*((Personnel!$K$9:$K$100="")+(26&lt;=Personnel!$K$9:$K$100)&gt;0))</f>
        <v>0</v>
      </c>
      <c r="AE46" s="386" t="n">
        <f aca="false">SUMPRODUCT((Personnel!$P$9:$P$100="FE")*(Personnel!$G$9:$G$100="Yes")*(27&gt;=Personnel!$E$9:$E$100)*((Personnel!$K$9:$K$100="")+(27&lt;=Personnel!$K$9:$K$100)&gt;0))</f>
        <v>0</v>
      </c>
      <c r="AF46" s="386" t="n">
        <f aca="false">SUMPRODUCT((Personnel!$P$9:$P$100="FE")*(Personnel!$G$9:$G$100="Yes")*(28&gt;=Personnel!$E$9:$E$100)*((Personnel!$K$9:$K$100="")+(28&lt;=Personnel!$K$9:$K$100)&gt;0))</f>
        <v>0</v>
      </c>
      <c r="AG46" s="386" t="n">
        <f aca="false">SUMPRODUCT((Personnel!$P$9:$P$100="FE")*(Personnel!$G$9:$G$100="Yes")*(29&gt;=Personnel!$E$9:$E$100)*((Personnel!$K$9:$K$100="")+(29&lt;=Personnel!$K$9:$K$100)&gt;0))</f>
        <v>0</v>
      </c>
      <c r="AH46" s="386" t="n">
        <f aca="false">SUMPRODUCT((Personnel!$P$9:$P$100="FE")*(Personnel!$G$9:$G$100="Yes")*(30&gt;=Personnel!$E$9:$E$100)*((Personnel!$K$9:$K$100="")+(30&lt;=Personnel!$K$9:$K$100)&gt;0))</f>
        <v>0</v>
      </c>
      <c r="AI46" s="386" t="n">
        <f aca="false">SUMPRODUCT((Personnel!$P$9:$P$100="FE")*(Personnel!$G$9:$G$100="Yes")*(31&gt;=Personnel!$E$9:$E$100)*((Personnel!$K$9:$K$100="")+(31&lt;=Personnel!$K$9:$K$100)&gt;0))</f>
        <v>0</v>
      </c>
      <c r="AJ46" s="386" t="n">
        <f aca="false">SUMPRODUCT((Personnel!$P$9:$P$100="FE")*(Personnel!$G$9:$G$100="Yes")*(32&gt;=Personnel!$E$9:$E$100)*((Personnel!$K$9:$K$100="")+(32&lt;=Personnel!$K$9:$K$100)&gt;0))</f>
        <v>0</v>
      </c>
      <c r="AK46" s="386" t="n">
        <f aca="false">SUMPRODUCT((Personnel!$P$9:$P$100="FE")*(Personnel!$G$9:$G$100="Yes")*(33&gt;=Personnel!$E$9:$E$100)*((Personnel!$K$9:$K$100="")+(33&lt;=Personnel!$K$9:$K$100)&gt;0))</f>
        <v>0</v>
      </c>
      <c r="AL46" s="386" t="n">
        <f aca="false">SUMPRODUCT((Personnel!$P$9:$P$100="FE")*(Personnel!$G$9:$G$100="Yes")*(34&gt;=Personnel!$E$9:$E$100)*((Personnel!$K$9:$K$100="")+(34&lt;=Personnel!$K$9:$K$100)&gt;0))</f>
        <v>0</v>
      </c>
      <c r="AM46" s="386" t="n">
        <f aca="false">SUMPRODUCT((Personnel!$P$9:$P$100="FE")*(Personnel!$G$9:$G$100="Yes")*(35&gt;=Personnel!$E$9:$E$100)*((Personnel!$K$9:$K$100="")+(35&lt;=Personnel!$K$9:$K$100)&gt;0))</f>
        <v>0</v>
      </c>
      <c r="AN46" s="386" t="n">
        <f aca="false">SUMPRODUCT((Personnel!$P$9:$P$100="FE")*(Personnel!$G$9:$G$100="Yes")*(36&gt;=Personnel!$E$9:$E$100)*((Personnel!$K$9:$K$100="")+(36&lt;=Personnel!$K$9:$K$100)&gt;0))</f>
        <v>0</v>
      </c>
      <c r="AO46" s="386" t="n">
        <f aca="false">SUMPRODUCT((Personnel!$P$9:$P$100="FE")*(Personnel!$G$9:$G$100="Yes")*(37&gt;=Personnel!$E$9:$E$100)*((Personnel!$K$9:$K$100="")+(37&lt;=Personnel!$K$9:$K$100)&gt;0))</f>
        <v>0</v>
      </c>
      <c r="AP46" s="386" t="n">
        <f aca="false">SUMPRODUCT((Personnel!$P$9:$P$100="FE")*(Personnel!$G$9:$G$100="Yes")*(38&gt;=Personnel!$E$9:$E$100)*((Personnel!$K$9:$K$100="")+(38&lt;=Personnel!$K$9:$K$100)&gt;0))</f>
        <v>0</v>
      </c>
      <c r="AQ46" s="386" t="n">
        <f aca="false">SUMPRODUCT((Personnel!$P$9:$P$100="FE")*(Personnel!$G$9:$G$100="Yes")*(39&gt;=Personnel!$E$9:$E$100)*((Personnel!$K$9:$K$100="")+(39&lt;=Personnel!$K$9:$K$100)&gt;0))</f>
        <v>0</v>
      </c>
      <c r="AR46" s="386" t="n">
        <f aca="false">SUMPRODUCT((Personnel!$P$9:$P$100="FE")*(Personnel!$G$9:$G$100="Yes")*(40&gt;=Personnel!$E$9:$E$100)*((Personnel!$K$9:$K$100="")+(40&lt;=Personnel!$K$9:$K$100)&gt;0))</f>
        <v>0</v>
      </c>
      <c r="AS46" s="386" t="n">
        <f aca="false">SUMPRODUCT((Personnel!$P$9:$P$100="FE")*(Personnel!$G$9:$G$100="Yes")*(41&gt;=Personnel!$E$9:$E$100)*((Personnel!$K$9:$K$100="")+(41&lt;=Personnel!$K$9:$K$100)&gt;0))</f>
        <v>0</v>
      </c>
      <c r="AT46" s="386" t="n">
        <f aca="false">SUMPRODUCT((Personnel!$P$9:$P$100="FE")*(Personnel!$G$9:$G$100="Yes")*(42&gt;=Personnel!$E$9:$E$100)*((Personnel!$K$9:$K$100="")+(42&lt;=Personnel!$K$9:$K$100)&gt;0))</f>
        <v>0</v>
      </c>
      <c r="AU46" s="386" t="n">
        <f aca="false">SUMPRODUCT((Personnel!$P$9:$P$100="FE")*(Personnel!$G$9:$G$100="Yes")*(43&gt;=Personnel!$E$9:$E$100)*((Personnel!$K$9:$K$100="")+(43&lt;=Personnel!$K$9:$K$100)&gt;0))</f>
        <v>0</v>
      </c>
      <c r="AV46" s="386" t="n">
        <f aca="false">SUMPRODUCT((Personnel!$P$9:$P$100="FE")*(Personnel!$G$9:$G$100="Yes")*(44&gt;=Personnel!$E$9:$E$100)*((Personnel!$K$9:$K$100="")+(44&lt;=Personnel!$K$9:$K$100)&gt;0))</f>
        <v>0</v>
      </c>
      <c r="AW46" s="386" t="n">
        <f aca="false">SUMPRODUCT((Personnel!$P$9:$P$100="FE")*(Personnel!$G$9:$G$100="Yes")*(45&gt;=Personnel!$E$9:$E$100)*((Personnel!$K$9:$K$100="")+(45&lt;=Personnel!$K$9:$K$100)&gt;0))</f>
        <v>0</v>
      </c>
      <c r="AX46" s="386" t="n">
        <f aca="false">SUMPRODUCT((Personnel!$P$9:$P$100="FE")*(Personnel!$G$9:$G$100="Yes")*(46&gt;=Personnel!$E$9:$E$100)*((Personnel!$K$9:$K$100="")+(46&lt;=Personnel!$K$9:$K$100)&gt;0))</f>
        <v>0</v>
      </c>
      <c r="AY46" s="386" t="n">
        <f aca="false">SUMPRODUCT((Personnel!$P$9:$P$100="FE")*(Personnel!$G$9:$G$100="Yes")*(47&gt;=Personnel!$E$9:$E$100)*((Personnel!$K$9:$K$100="")+(47&lt;=Personnel!$K$9:$K$100)&gt;0))</f>
        <v>0</v>
      </c>
      <c r="AZ46" s="386" t="n">
        <f aca="false">SUMPRODUCT((Personnel!$P$9:$P$100="FE")*(Personnel!$G$9:$G$100="Yes")*(48&gt;=Personnel!$E$9:$E$100)*((Personnel!$K$9:$K$100="")+(48&lt;=Personnel!$K$9:$K$100)&gt;0))</f>
        <v>0</v>
      </c>
      <c r="BA46" s="386" t="n">
        <f aca="false">SUMPRODUCT((Personnel!$P$9:$P$100="FE")*(Personnel!$G$9:$G$100="Yes")*(49&gt;=Personnel!$E$9:$E$100)*((Personnel!$K$9:$K$100="")+(49&lt;=Personnel!$K$9:$K$100)&gt;0))</f>
        <v>0</v>
      </c>
      <c r="BB46" s="386" t="n">
        <f aca="false">SUMPRODUCT((Personnel!$P$9:$P$100="FE")*(Personnel!$G$9:$G$100="Yes")*(50&gt;=Personnel!$E$9:$E$100)*((Personnel!$K$9:$K$100="")+(50&lt;=Personnel!$K$9:$K$100)&gt;0))</f>
        <v>0</v>
      </c>
      <c r="BC46" s="386" t="n">
        <f aca="false">SUMPRODUCT((Personnel!$P$9:$P$100="FE")*(Personnel!$G$9:$G$100="Yes")*(51&gt;=Personnel!$E$9:$E$100)*((Personnel!$K$9:$K$100="")+(51&lt;=Personnel!$K$9:$K$100)&gt;0))</f>
        <v>0</v>
      </c>
      <c r="BD46" s="386" t="n">
        <f aca="false">SUMPRODUCT((Personnel!$P$9:$P$100="FE")*(Personnel!$G$9:$G$100="Yes")*(52&gt;=Personnel!$E$9:$E$100)*((Personnel!$K$9:$K$100="")+(52&lt;=Personnel!$K$9:$K$100)&gt;0))</f>
        <v>0</v>
      </c>
      <c r="BE46" s="386" t="n">
        <f aca="false">SUMPRODUCT((Personnel!$P$9:$P$100="FE")*(Personnel!$G$9:$G$100="Yes")*(53&gt;=Personnel!$E$9:$E$100)*((Personnel!$K$9:$K$100="")+(53&lt;=Personnel!$K$9:$K$100)&gt;0))</f>
        <v>0</v>
      </c>
      <c r="BF46" s="386" t="n">
        <f aca="false">SUMPRODUCT((Personnel!$P$9:$P$100="FE")*(Personnel!$G$9:$G$100="Yes")*(54&gt;=Personnel!$E$9:$E$100)*((Personnel!$K$9:$K$100="")+(54&lt;=Personnel!$K$9:$K$100)&gt;0))</f>
        <v>0</v>
      </c>
      <c r="BG46" s="386" t="n">
        <f aca="false">SUMPRODUCT((Personnel!$P$9:$P$100="FE")*(Personnel!$G$9:$G$100="Yes")*(55&gt;=Personnel!$E$9:$E$100)*((Personnel!$K$9:$K$100="")+(55&lt;=Personnel!$K$9:$K$100)&gt;0))</f>
        <v>0</v>
      </c>
      <c r="BH46" s="386" t="n">
        <f aca="false">SUMPRODUCT((Personnel!$P$9:$P$100="FE")*(Personnel!$G$9:$G$100="Yes")*(56&gt;=Personnel!$E$9:$E$100)*((Personnel!$K$9:$K$100="")+(56&lt;=Personnel!$K$9:$K$100)&gt;0))</f>
        <v>0</v>
      </c>
      <c r="BI46" s="386" t="n">
        <f aca="false">SUMPRODUCT((Personnel!$P$9:$P$100="FE")*(Personnel!$G$9:$G$100="Yes")*(57&gt;=Personnel!$E$9:$E$100)*((Personnel!$K$9:$K$100="")+(57&lt;=Personnel!$K$9:$K$100)&gt;0))</f>
        <v>0</v>
      </c>
      <c r="BJ46" s="386" t="n">
        <f aca="false">SUMPRODUCT((Personnel!$P$9:$P$100="FE")*(Personnel!$G$9:$G$100="Yes")*(58&gt;=Personnel!$E$9:$E$100)*((Personnel!$K$9:$K$100="")+(58&lt;=Personnel!$K$9:$K$100)&gt;0))</f>
        <v>0</v>
      </c>
      <c r="BK46" s="386" t="n">
        <f aca="false">SUMPRODUCT((Personnel!$P$9:$P$100="FE")*(Personnel!$G$9:$G$100="Yes")*(59&gt;=Personnel!$E$9:$E$100)*((Personnel!$K$9:$K$100="")+(59&lt;=Personnel!$K$9:$K$100)&gt;0))</f>
        <v>0</v>
      </c>
      <c r="BL46" s="386" t="n">
        <f aca="false">SUMPRODUCT((Personnel!$P$9:$P$100="FE")*(Personnel!$G$9:$G$100="Yes")*(60&gt;=Personnel!$E$9:$E$100)*((Personnel!$K$9:$K$100="")+(60&lt;=Personnel!$K$9:$K$100)&gt;0))</f>
        <v>0</v>
      </c>
      <c r="BM46" s="386" t="n">
        <f aca="false">SUMPRODUCT((Personnel!$P$9:$P$100="FE")*(Personnel!$G$9:$G$100="Yes")*(61&gt;=Personnel!$E$9:$E$100)*((Personnel!$K$9:$K$100="")+(61&lt;=Personnel!$K$9:$K$100)&gt;0))</f>
        <v>0</v>
      </c>
      <c r="BN46" s="386" t="n">
        <f aca="false">SUMPRODUCT((Personnel!$P$9:$P$100="FE")*(Personnel!$G$9:$G$100="Yes")*(62&gt;=Personnel!$E$9:$E$100)*((Personnel!$K$9:$K$100="")+(62&lt;=Personnel!$K$9:$K$100)&gt;0))</f>
        <v>0</v>
      </c>
      <c r="BO46" s="386" t="n">
        <f aca="false">SUMPRODUCT((Personnel!$P$9:$P$100="FE")*(Personnel!$G$9:$G$100="Yes")*(63&gt;=Personnel!$E$9:$E$100)*((Personnel!$K$9:$K$100="")+(63&lt;=Personnel!$K$9:$K$100)&gt;0))</f>
        <v>0</v>
      </c>
      <c r="BP46" s="386" t="n">
        <f aca="false">SUMPRODUCT((Personnel!$P$9:$P$100="FE")*(Personnel!$G$9:$G$100="Yes")*(64&gt;=Personnel!$E$9:$E$100)*((Personnel!$K$9:$K$100="")+(64&lt;=Personnel!$K$9:$K$100)&gt;0))</f>
        <v>0</v>
      </c>
      <c r="BQ46" s="386" t="n">
        <f aca="false">SUMPRODUCT((Personnel!$P$9:$P$100="FE")*(Personnel!$G$9:$G$100="Yes")*(65&gt;=Personnel!$E$9:$E$100)*((Personnel!$K$9:$K$100="")+(65&lt;=Personnel!$K$9:$K$100)&gt;0))</f>
        <v>0</v>
      </c>
      <c r="BR46" s="386" t="n">
        <f aca="false">SUMPRODUCT((Personnel!$P$9:$P$100="FE")*(Personnel!$G$9:$G$100="Yes")*(66&gt;=Personnel!$E$9:$E$100)*((Personnel!$K$9:$K$100="")+(66&lt;=Personnel!$K$9:$K$100)&gt;0))</f>
        <v>0</v>
      </c>
      <c r="BS46" s="386" t="n">
        <f aca="false">SUMPRODUCT((Personnel!$P$9:$P$100="FE")*(Personnel!$G$9:$G$100="Yes")*(67&gt;=Personnel!$E$9:$E$100)*((Personnel!$K$9:$K$100="")+(67&lt;=Personnel!$K$9:$K$100)&gt;0))</f>
        <v>0</v>
      </c>
      <c r="BT46" s="386" t="n">
        <f aca="false">SUMPRODUCT((Personnel!$P$9:$P$100="FE")*(Personnel!$G$9:$G$100="Yes")*(68&gt;=Personnel!$E$9:$E$100)*((Personnel!$K$9:$K$100="")+(68&lt;=Personnel!$K$9:$K$100)&gt;0))</f>
        <v>0</v>
      </c>
      <c r="BU46" s="386" t="n">
        <f aca="false">SUMPRODUCT((Personnel!$P$9:$P$100="FE")*(Personnel!$G$9:$G$100="Yes")*(69&gt;=Personnel!$E$9:$E$100)*((Personnel!$K$9:$K$100="")+(69&lt;=Personnel!$K$9:$K$100)&gt;0))</f>
        <v>0</v>
      </c>
      <c r="BV46" s="386" t="n">
        <f aca="false">SUMPRODUCT((Personnel!$P$9:$P$100="FE")*(Personnel!$G$9:$G$100="Yes")*(70&gt;=Personnel!$E$9:$E$100)*((Personnel!$K$9:$K$100="")+(70&lt;=Personnel!$K$9:$K$100)&gt;0))</f>
        <v>0</v>
      </c>
      <c r="BW46" s="386" t="n">
        <f aca="false">SUMPRODUCT((Personnel!$P$9:$P$100="FE")*(Personnel!$G$9:$G$100="Yes")*(71&gt;=Personnel!$E$9:$E$100)*((Personnel!$K$9:$K$100="")+(71&lt;=Personnel!$K$9:$K$100)&gt;0))</f>
        <v>0</v>
      </c>
      <c r="BX46" s="386" t="n">
        <f aca="false">SUMPRODUCT((Personnel!$P$9:$P$100="FE")*(Personnel!$G$9:$G$100="Yes")*(72&gt;=Personnel!$E$9:$E$100)*((Personnel!$K$9:$K$100="")+(72&lt;=Personnel!$K$9:$K$100)&gt;0))</f>
        <v>0</v>
      </c>
      <c r="BY46" s="386" t="n">
        <f aca="false">SUMPRODUCT((Personnel!$P$9:$P$100="FE")*(Personnel!$G$9:$G$100="Yes")*(73&gt;=Personnel!$E$9:$E$100)*((Personnel!$K$9:$K$100="")+(73&lt;=Personnel!$K$9:$K$100)&gt;0))</f>
        <v>0</v>
      </c>
      <c r="BZ46" s="386" t="n">
        <f aca="false">SUMPRODUCT((Personnel!$P$9:$P$100="FE")*(Personnel!$G$9:$G$100="Yes")*(74&gt;=Personnel!$E$9:$E$100)*((Personnel!$K$9:$K$100="")+(74&lt;=Personnel!$K$9:$K$100)&gt;0))</f>
        <v>0</v>
      </c>
      <c r="CA46" s="386" t="n">
        <f aca="false">SUMPRODUCT((Personnel!$P$9:$P$100="FE")*(Personnel!$G$9:$G$100="Yes")*(75&gt;=Personnel!$E$9:$E$100)*((Personnel!$K$9:$K$100="")+(75&lt;=Personnel!$K$9:$K$100)&gt;0))</f>
        <v>0</v>
      </c>
      <c r="CB46" s="386" t="n">
        <f aca="false">SUMPRODUCT((Personnel!$P$9:$P$100="FE")*(Personnel!$G$9:$G$100="Yes")*(76&gt;=Personnel!$E$9:$E$100)*((Personnel!$K$9:$K$100="")+(76&lt;=Personnel!$K$9:$K$100)&gt;0))</f>
        <v>0</v>
      </c>
      <c r="CC46" s="386" t="n">
        <f aca="false">SUMPRODUCT((Personnel!$P$9:$P$100="FE")*(Personnel!$G$9:$G$100="Yes")*(77&gt;=Personnel!$E$9:$E$100)*((Personnel!$K$9:$K$100="")+(77&lt;=Personnel!$K$9:$K$100)&gt;0))</f>
        <v>0</v>
      </c>
      <c r="CD46" s="386" t="n">
        <f aca="false">SUMPRODUCT((Personnel!$P$9:$P$100="FE")*(Personnel!$G$9:$G$100="Yes")*(78&gt;=Personnel!$E$9:$E$100)*((Personnel!$K$9:$K$100="")+(78&lt;=Personnel!$K$9:$K$100)&gt;0))</f>
        <v>0</v>
      </c>
      <c r="CE46" s="386" t="n">
        <f aca="false">SUMPRODUCT((Personnel!$P$9:$P$100="FE")*(Personnel!$G$9:$G$100="Yes")*(79&gt;=Personnel!$E$9:$E$100)*((Personnel!$K$9:$K$100="")+(79&lt;=Personnel!$K$9:$K$100)&gt;0))</f>
        <v>0</v>
      </c>
      <c r="CF46" s="386" t="n">
        <f aca="false">SUMPRODUCT((Personnel!$P$9:$P$100="FE")*(Personnel!$G$9:$G$100="Yes")*(80&gt;=Personnel!$E$9:$E$100)*((Personnel!$K$9:$K$100="")+(80&lt;=Personnel!$K$9:$K$100)&gt;0))</f>
        <v>0</v>
      </c>
      <c r="CG46" s="386" t="n">
        <f aca="false">SUMPRODUCT((Personnel!$P$9:$P$100="FE")*(Personnel!$G$9:$G$100="Yes")*(81&gt;=Personnel!$E$9:$E$100)*((Personnel!$K$9:$K$100="")+(81&lt;=Personnel!$K$9:$K$100)&gt;0))</f>
        <v>0</v>
      </c>
      <c r="CH46" s="386" t="n">
        <f aca="false">SUMPRODUCT((Personnel!$P$9:$P$100="FE")*(Personnel!$G$9:$G$100="Yes")*(82&gt;=Personnel!$E$9:$E$100)*((Personnel!$K$9:$K$100="")+(82&lt;=Personnel!$K$9:$K$100)&gt;0))</f>
        <v>0</v>
      </c>
      <c r="CI46" s="386" t="n">
        <f aca="false">SUMPRODUCT((Personnel!$P$9:$P$100="FE")*(Personnel!$G$9:$G$100="Yes")*(83&gt;=Personnel!$E$9:$E$100)*((Personnel!$K$9:$K$100="")+(83&lt;=Personnel!$K$9:$K$100)&gt;0))</f>
        <v>0</v>
      </c>
      <c r="CJ46" s="386" t="n">
        <f aca="false">SUMPRODUCT((Personnel!$P$9:$P$100="FE")*(Personnel!$G$9:$G$100="Yes")*(84&gt;=Personnel!$E$9:$E$100)*((Personnel!$K$9:$K$100="")+(84&lt;=Personnel!$K$9:$K$100)&gt;0))</f>
        <v>0</v>
      </c>
      <c r="CK46" s="386" t="n">
        <f aca="false">SUMPRODUCT((Personnel!$P$9:$P$100="FE")*(Personnel!$G$9:$G$100="Yes")*(85&gt;=Personnel!$E$9:$E$100)*((Personnel!$K$9:$K$100="")+(85&lt;=Personnel!$K$9:$K$100)&gt;0))</f>
        <v>0</v>
      </c>
      <c r="CL46" s="386" t="n">
        <f aca="false">SUMPRODUCT((Personnel!$P$9:$P$100="FE")*(Personnel!$G$9:$G$100="Yes")*(86&gt;=Personnel!$E$9:$E$100)*((Personnel!$K$9:$K$100="")+(86&lt;=Personnel!$K$9:$K$100)&gt;0))</f>
        <v>0</v>
      </c>
      <c r="CM46" s="386" t="n">
        <f aca="false">SUMPRODUCT((Personnel!$P$9:$P$100="FE")*(Personnel!$G$9:$G$100="Yes")*(87&gt;=Personnel!$E$9:$E$100)*((Personnel!$K$9:$K$100="")+(87&lt;=Personnel!$K$9:$K$100)&gt;0))</f>
        <v>0</v>
      </c>
      <c r="CN46" s="386" t="n">
        <f aca="false">SUMPRODUCT((Personnel!$P$9:$P$100="FE")*(Personnel!$G$9:$G$100="Yes")*(88&gt;=Personnel!$E$9:$E$100)*((Personnel!$K$9:$K$100="")+(88&lt;=Personnel!$K$9:$K$100)&gt;0))</f>
        <v>0</v>
      </c>
      <c r="CO46" s="386" t="n">
        <f aca="false">SUMPRODUCT((Personnel!$P$9:$P$100="FE")*(Personnel!$G$9:$G$100="Yes")*(89&gt;=Personnel!$E$9:$E$100)*((Personnel!$K$9:$K$100="")+(89&lt;=Personnel!$K$9:$K$100)&gt;0))</f>
        <v>0</v>
      </c>
      <c r="CP46" s="386" t="n">
        <f aca="false">SUMPRODUCT((Personnel!$P$9:$P$100="FE")*(Personnel!$G$9:$G$100="Yes")*(90&gt;=Personnel!$E$9:$E$100)*((Personnel!$K$9:$K$100="")+(90&lt;=Personnel!$K$9:$K$100)&gt;0))</f>
        <v>0</v>
      </c>
      <c r="CQ46" s="386" t="n">
        <f aca="false">SUMPRODUCT((Personnel!$P$9:$P$100="FE")*(Personnel!$G$9:$G$100="Yes")*(91&gt;=Personnel!$E$9:$E$100)*((Personnel!$K$9:$K$100="")+(91&lt;=Personnel!$K$9:$K$100)&gt;0))</f>
        <v>0</v>
      </c>
      <c r="CR46" s="386" t="n">
        <f aca="false">SUMPRODUCT((Personnel!$P$9:$P$100="FE")*(Personnel!$G$9:$G$100="Yes")*(92&gt;=Personnel!$E$9:$E$100)*((Personnel!$K$9:$K$100="")+(92&lt;=Personnel!$K$9:$K$100)&gt;0))</f>
        <v>0</v>
      </c>
      <c r="CS46" s="386" t="n">
        <f aca="false">SUMPRODUCT((Personnel!$P$9:$P$100="FE")*(Personnel!$G$9:$G$100="Yes")*(93&gt;=Personnel!$E$9:$E$100)*((Personnel!$K$9:$K$100="")+(93&lt;=Personnel!$K$9:$K$100)&gt;0))</f>
        <v>0</v>
      </c>
      <c r="CT46" s="386" t="n">
        <f aca="false">SUMPRODUCT((Personnel!$P$9:$P$100="FE")*(Personnel!$G$9:$G$100="Yes")*(94&gt;=Personnel!$E$9:$E$100)*((Personnel!$K$9:$K$100="")+(94&lt;=Personnel!$K$9:$K$100)&gt;0))</f>
        <v>0</v>
      </c>
      <c r="CU46" s="386" t="n">
        <f aca="false">SUMPRODUCT((Personnel!$P$9:$P$100="FE")*(Personnel!$G$9:$G$100="Yes")*(95&gt;=Personnel!$E$9:$E$100)*((Personnel!$K$9:$K$100="")+(95&lt;=Personnel!$K$9:$K$100)&gt;0))</f>
        <v>0</v>
      </c>
      <c r="CV46" s="386" t="n">
        <f aca="false">SUMPRODUCT((Personnel!$P$9:$P$100="FE")*(Personnel!$G$9:$G$100="Yes")*(96&gt;=Personnel!$E$9:$E$100)*((Personnel!$K$9:$K$100="")+(96&lt;=Personnel!$K$9:$K$100)&gt;0))</f>
        <v>0</v>
      </c>
      <c r="CW46" s="386" t="n">
        <f aca="false">SUMPRODUCT((Personnel!$P$9:$P$100="FE")*(Personnel!$G$9:$G$100="Yes")*(97&gt;=Personnel!$E$9:$E$100)*((Personnel!$K$9:$K$100="")+(97&lt;=Personnel!$K$9:$K$100)&gt;0))</f>
        <v>0</v>
      </c>
      <c r="CX46" s="386" t="n">
        <f aca="false">SUMPRODUCT((Personnel!$P$9:$P$100="FE")*(Personnel!$G$9:$G$100="Yes")*(98&gt;=Personnel!$E$9:$E$100)*((Personnel!$K$9:$K$100="")+(98&lt;=Personnel!$K$9:$K$100)&gt;0))</f>
        <v>0</v>
      </c>
      <c r="CY46" s="386" t="n">
        <f aca="false">SUMPRODUCT((Personnel!$P$9:$P$100="FE")*(Personnel!$G$9:$G$100="Yes")*(99&gt;=Personnel!$E$9:$E$100)*((Personnel!$K$9:$K$100="")+(99&lt;=Personnel!$K$9:$K$100)&gt;0))</f>
        <v>0</v>
      </c>
      <c r="CZ46" s="386" t="n">
        <f aca="false">SUMPRODUCT((Personnel!$P$9:$P$100="FE")*(Personnel!$G$9:$G$100="Yes")*(100&gt;=Personnel!$E$9:$E$100)*((Personnel!$K$9:$K$100="")+(100&lt;=Personnel!$K$9:$K$100)&gt;0))</f>
        <v>0</v>
      </c>
      <c r="DA46" s="386" t="n">
        <f aca="false">SUMPRODUCT((Personnel!$P$9:$P$100="FE")*(Personnel!$G$9:$G$100="Yes")*(101&gt;=Personnel!$E$9:$E$100)*((Personnel!$K$9:$K$100="")+(101&lt;=Personnel!$K$9:$K$100)&gt;0))</f>
        <v>0</v>
      </c>
      <c r="DB46" s="386" t="n">
        <f aca="false">SUMPRODUCT((Personnel!$P$9:$P$100="FE")*(Personnel!$G$9:$G$100="Yes")*(102&gt;=Personnel!$E$9:$E$100)*((Personnel!$K$9:$K$100="")+(102&lt;=Personnel!$K$9:$K$100)&gt;0))</f>
        <v>0</v>
      </c>
      <c r="DC46" s="386" t="n">
        <f aca="false">SUMPRODUCT((Personnel!$P$9:$P$100="FE")*(Personnel!$G$9:$G$100="Yes")*(103&gt;=Personnel!$E$9:$E$100)*((Personnel!$K$9:$K$100="")+(103&lt;=Personnel!$K$9:$K$100)&gt;0))</f>
        <v>0</v>
      </c>
      <c r="DD46" s="386" t="n">
        <f aca="false">SUMPRODUCT((Personnel!$P$9:$P$100="FE")*(Personnel!$G$9:$G$100="Yes")*(104&gt;=Personnel!$E$9:$E$100)*((Personnel!$K$9:$K$100="")+(104&lt;=Personnel!$K$9:$K$100)&gt;0))</f>
        <v>0</v>
      </c>
      <c r="DE46" s="386" t="n">
        <f aca="false">SUMPRODUCT((Personnel!$P$9:$P$100="FE")*(Personnel!$G$9:$G$100="Yes")*(105&gt;=Personnel!$E$9:$E$100)*((Personnel!$K$9:$K$100="")+(105&lt;=Personnel!$K$9:$K$100)&gt;0))</f>
        <v>0</v>
      </c>
    </row>
    <row r="48" customFormat="false" ht="13.5" hidden="false" customHeight="true" outlineLevel="0" collapsed="false">
      <c r="A48" s="211" t="s">
        <v>1386</v>
      </c>
      <c r="B48" s="212"/>
      <c r="C48" s="212"/>
      <c r="D48" s="212"/>
      <c r="E48" s="212"/>
      <c r="F48" s="212"/>
    </row>
    <row r="49" customFormat="false" ht="13.5" hidden="false" customHeight="true" outlineLevel="0" collapsed="false">
      <c r="A49" s="110" t="s">
        <v>1387</v>
      </c>
      <c r="B49" s="213" t="n">
        <f aca="false">$B$26</f>
        <v>160000</v>
      </c>
      <c r="E49" s="387" t="n">
        <f aca="false">IF(1&lt;5,0,IF(MAX(E38:E38)&gt;E43+0+$B$18,1,0))</f>
        <v>0</v>
      </c>
      <c r="F49" s="387" t="n">
        <f aca="false">IF(2&lt;5,0,IF(MAX(E38:F38)&gt;F43+0+$B$18,1,0))</f>
        <v>0</v>
      </c>
      <c r="G49" s="387" t="n">
        <f aca="false">IF(3&lt;5,0,IF(MAX(E38:G38)&gt;G43+0+$B$18,1,0))</f>
        <v>0</v>
      </c>
      <c r="H49" s="387" t="n">
        <f aca="false">IF(4&lt;5,0,IF(MAX(E38:H38)&gt;H43+0+$B$18,1,0))</f>
        <v>0</v>
      </c>
      <c r="I49" s="387" t="n">
        <f aca="false">IF(5&lt;5,0,IF(MAX(E38:I38)&gt;I43+0+$B$18,1,0))</f>
        <v>0</v>
      </c>
      <c r="J49" s="387" t="n">
        <f aca="false">IF(6&lt;5,0,IF(MAX(E38:J38)&gt;J43+0+$B$18,1,0))</f>
        <v>0</v>
      </c>
      <c r="K49" s="387" t="n">
        <f aca="false">IF(7&lt;5,0,IF(MAX(F38:K38)&gt;K43+0+$B$18,1,0))</f>
        <v>0</v>
      </c>
      <c r="L49" s="387" t="n">
        <f aca="false">IF(8&lt;5,0,IF(MAX(G38:L38)&gt;L43+0+$B$18,1,0))</f>
        <v>0</v>
      </c>
      <c r="M49" s="387" t="n">
        <f aca="false">IF(9&lt;5,0,IF(MAX(H38:M38)&gt;M43+0+$B$18,1,0))</f>
        <v>1</v>
      </c>
      <c r="N49" s="387" t="n">
        <f aca="false">IF(10&lt;5,0,IF(MAX(I38:N38)&gt;N43+0+$B$18,1,0))</f>
        <v>1</v>
      </c>
      <c r="O49" s="387" t="n">
        <f aca="false">IF(11&lt;5,0,IF(MAX(J38:O38)&gt;O43+0+$B$18,1,0))</f>
        <v>1</v>
      </c>
      <c r="P49" s="387" t="n">
        <f aca="false">IF(12&lt;5,0,IF(MAX(K38:P38)&gt;P43+0+$B$18,1,0))</f>
        <v>1</v>
      </c>
      <c r="Q49" s="387" t="n">
        <f aca="false">IF(13&lt;5,0,IF(MAX(L38:Q38)&gt;Q43+0+$B$18,1,0))</f>
        <v>1</v>
      </c>
      <c r="R49" s="387" t="n">
        <f aca="false">IF(14&lt;5,0,IF(MAX(M38:R38)&gt;R43+0+$B$18,1,0))</f>
        <v>1</v>
      </c>
      <c r="S49" s="387" t="n">
        <f aca="false">IF(15&lt;5,0,IF(MAX(N38:S38)&gt;S43+0+$B$18,1,0))</f>
        <v>1</v>
      </c>
      <c r="T49" s="387" t="n">
        <f aca="false">IF(16&lt;5,0,IF(MAX(O38:T38)&gt;T43+0+$B$18,1,0))</f>
        <v>1</v>
      </c>
      <c r="U49" s="387" t="n">
        <f aca="false">IF(17&lt;5,0,IF(MAX(P38:U38)&gt;U43+0+$B$18,1,0))</f>
        <v>1</v>
      </c>
      <c r="V49" s="387" t="n">
        <f aca="false">IF(18&lt;5,0,IF(MAX(Q38:V38)&gt;V43+0+$B$18,1,0))</f>
        <v>1</v>
      </c>
      <c r="W49" s="387" t="n">
        <f aca="false">IF(19&lt;5,0,IF(MAX(R38:W38)&gt;W43+0+$B$18,1,0))</f>
        <v>1</v>
      </c>
      <c r="X49" s="387" t="n">
        <f aca="false">IF(20&lt;5,0,IF(MAX(S38:X38)&gt;X43+0+$B$18,1,0))</f>
        <v>1</v>
      </c>
      <c r="Y49" s="387" t="n">
        <f aca="false">IF(21&lt;5,0,IF(MAX(T38:Y38)&gt;Y43+0+$B$18,1,0))</f>
        <v>1</v>
      </c>
      <c r="Z49" s="387" t="n">
        <f aca="false">IF(22&lt;5,0,IF(MAX(U38:Z38)&gt;Z43+0+$B$18,1,0))</f>
        <v>1</v>
      </c>
      <c r="AA49" s="387" t="n">
        <f aca="false">IF(23&lt;5,0,IF(MAX(V38:AA38)&gt;AA43+0+$B$18,1,0))</f>
        <v>1</v>
      </c>
      <c r="AB49" s="387" t="n">
        <f aca="false">IF(24&lt;5,0,IF(MAX(W38:AB38)&gt;AB43+0+$B$18,1,0))</f>
        <v>1</v>
      </c>
      <c r="AC49" s="387" t="n">
        <f aca="false">IF(25&lt;5,0,IF(MAX(X38:AC38)&gt;AC43+0+$B$18,1,0))</f>
        <v>1</v>
      </c>
      <c r="AD49" s="387" t="n">
        <f aca="false">IF(26&lt;5,0,IF(MAX(Y38:AD38)&gt;AD43+0+$B$18,1,0))</f>
        <v>1</v>
      </c>
      <c r="AE49" s="387" t="n">
        <f aca="false">IF(27&lt;5,0,IF(MAX(Z38:AE38)&gt;AE43+0+$B$18,1,0))</f>
        <v>1</v>
      </c>
      <c r="AF49" s="387" t="n">
        <f aca="false">IF(28&lt;5,0,IF(MAX(AA38:AF38)&gt;AF43+0+$B$18,1,0))</f>
        <v>1</v>
      </c>
      <c r="AG49" s="387" t="n">
        <f aca="false">IF(29&lt;5,0,IF(MAX(AB38:AG38)&gt;AG43+0+$B$18,1,0))</f>
        <v>1</v>
      </c>
      <c r="AH49" s="387" t="n">
        <f aca="false">IF(30&lt;5,0,IF(MAX(AC38:AH38)&gt;AH43+0+$B$18,1,0))</f>
        <v>1</v>
      </c>
      <c r="AI49" s="387" t="n">
        <f aca="false">IF(31&lt;5,0,IF(MAX(AD38:AI38)&gt;AI43+0+$B$18,1,0))</f>
        <v>1</v>
      </c>
      <c r="AJ49" s="387" t="n">
        <f aca="false">IF(32&lt;5,0,IF(MAX(AE38:AJ38)&gt;AJ43+0+$B$18,1,0))</f>
        <v>1</v>
      </c>
      <c r="AK49" s="387" t="n">
        <f aca="false">IF(33&lt;5,0,IF(MAX(AF38:AK38)&gt;AK43+0+$B$18,1,0))</f>
        <v>1</v>
      </c>
      <c r="AL49" s="387" t="n">
        <f aca="false">IF(34&lt;5,0,IF(MAX(AG38:AL38)&gt;AL43+0+$B$18,1,0))</f>
        <v>1</v>
      </c>
      <c r="AM49" s="387" t="n">
        <f aca="false">IF(35&lt;5,0,IF(MAX(AH38:AM38)&gt;AM43+0+$B$18,1,0))</f>
        <v>1</v>
      </c>
      <c r="AN49" s="387" t="n">
        <f aca="false">IF(36&lt;5,0,IF(MAX(AI38:AN38)&gt;AN43+0+$B$18,1,0))</f>
        <v>0</v>
      </c>
      <c r="AO49" s="387" t="n">
        <f aca="false">IF(37&lt;5,0,IF(MAX(AJ38:AO38)&gt;AO43+0+$B$18,1,0))</f>
        <v>0</v>
      </c>
      <c r="AP49" s="387" t="n">
        <f aca="false">IF(38&lt;5,0,IF(MAX(AK38:AP38)&gt;AP43+0+$B$18,1,0))</f>
        <v>0</v>
      </c>
      <c r="AQ49" s="387" t="n">
        <f aca="false">IF(39&lt;5,0,IF(MAX(AL38:AQ38)&gt;AQ43+0+$B$18,1,0))</f>
        <v>0</v>
      </c>
      <c r="AR49" s="387" t="n">
        <f aca="false">IF(40&lt;5,0,IF(MAX(AM38:AR38)&gt;AR43+0+$B$18,1,0))</f>
        <v>0</v>
      </c>
      <c r="AS49" s="387" t="n">
        <f aca="false">IF(41&lt;5,0,IF(MAX(AN38:AS38)&gt;AS43+0+$B$18,1,0))</f>
        <v>0</v>
      </c>
      <c r="AT49" s="387" t="n">
        <f aca="false">IF(42&lt;5,0,IF(MAX(AO38:AT38)&gt;AT43+0+$B$18,1,0))</f>
        <v>0</v>
      </c>
      <c r="AU49" s="387" t="n">
        <f aca="false">IF(43&lt;5,0,IF(MAX(AP38:AU38)&gt;AU43+0+$B$18,1,0))</f>
        <v>0</v>
      </c>
      <c r="AV49" s="387" t="n">
        <f aca="false">IF(44&lt;5,0,IF(MAX(AQ38:AV38)&gt;AV43+0+$B$18,1,0))</f>
        <v>0</v>
      </c>
      <c r="AW49" s="387" t="n">
        <f aca="false">IF(45&lt;5,0,IF(MAX(AR38:AW38)&gt;AW43+0+$B$18,1,0))</f>
        <v>0</v>
      </c>
      <c r="AX49" s="387" t="n">
        <f aca="false">IF(46&lt;5,0,IF(MAX(AS38:AX38)&gt;AX43+0+$B$18,1,0))</f>
        <v>0</v>
      </c>
      <c r="AY49" s="387" t="n">
        <f aca="false">IF(47&lt;5,0,IF(MAX(AT38:AY38)&gt;AY43+0+$B$18,1,0))</f>
        <v>0</v>
      </c>
      <c r="AZ49" s="387" t="n">
        <f aca="false">IF(48&lt;5,0,IF(MAX(AU38:AZ38)&gt;AZ43+0+$B$18,1,0))</f>
        <v>0</v>
      </c>
      <c r="BA49" s="387" t="n">
        <f aca="false">IF(49&lt;5,0,IF(MAX(AV38:BA38)&gt;BA43+0+$B$18,1,0))</f>
        <v>0</v>
      </c>
      <c r="BB49" s="387" t="n">
        <f aca="false">IF(50&lt;5,0,IF(MAX(AW38:BB38)&gt;BB43+0+$B$18,1,0))</f>
        <v>0</v>
      </c>
      <c r="BC49" s="387" t="n">
        <f aca="false">IF(51&lt;5,0,IF(MAX(AX38:BC38)&gt;BC43+0+$B$18,1,0))</f>
        <v>0</v>
      </c>
      <c r="BD49" s="387" t="n">
        <f aca="false">IF(52&lt;5,0,IF(MAX(AY38:BD38)&gt;BD43+0+$B$18,1,0))</f>
        <v>0</v>
      </c>
      <c r="BE49" s="387" t="n">
        <f aca="false">IF(53&lt;5,0,IF(MAX(AZ38:BE38)&gt;BE43+0+$B$18,1,0))</f>
        <v>0</v>
      </c>
      <c r="BF49" s="387" t="n">
        <f aca="false">IF(54&lt;5,0,IF(MAX(BA38:BF38)&gt;BF43+0+$B$18,1,0))</f>
        <v>0</v>
      </c>
      <c r="BG49" s="387" t="n">
        <f aca="false">IF(55&lt;5,0,IF(MAX(BB38:BG38)&gt;BG43+0+$B$18,1,0))</f>
        <v>0</v>
      </c>
      <c r="BH49" s="387" t="n">
        <f aca="false">IF(56&lt;5,0,IF(MAX(BC38:BH38)&gt;BH43+0+$B$18,1,0))</f>
        <v>0</v>
      </c>
      <c r="BI49" s="387" t="n">
        <f aca="false">IF(57&lt;5,0,IF(MAX(BD38:BI38)&gt;BI43+0+$B$18,1,0))</f>
        <v>0</v>
      </c>
      <c r="BJ49" s="387" t="n">
        <f aca="false">IF(58&lt;5,0,IF(MAX(BE38:BJ38)&gt;BJ43+0+$B$18,1,0))</f>
        <v>0</v>
      </c>
      <c r="BK49" s="387" t="n">
        <f aca="false">IF(59&lt;5,0,IF(MAX(BF38:BK38)&gt;BK43+0+$B$18,1,0))</f>
        <v>0</v>
      </c>
      <c r="BL49" s="387" t="n">
        <f aca="false">IF(60&lt;5,0,IF(MAX(BG38:BL38)&gt;BL43+0+$B$18,1,0))</f>
        <v>0</v>
      </c>
      <c r="BM49" s="387" t="n">
        <f aca="false">IF(61&lt;5,0,IF(MAX(BH38:BM38)&gt;BM43+0+$B$18,1,0))</f>
        <v>0</v>
      </c>
      <c r="BN49" s="387" t="n">
        <f aca="false">IF(62&lt;5,0,IF(MAX(BI38:BN38)&gt;BN43+0+$B$18,1,0))</f>
        <v>0</v>
      </c>
      <c r="BO49" s="387" t="n">
        <f aca="false">IF(63&lt;5,0,IF(MAX(BJ38:BO38)&gt;BO43+0+$B$18,1,0))</f>
        <v>0</v>
      </c>
      <c r="BP49" s="387" t="n">
        <f aca="false">IF(64&lt;5,0,IF(MAX(BK38:BP38)&gt;BP43+0+$B$18,1,0))</f>
        <v>0</v>
      </c>
      <c r="BQ49" s="387" t="n">
        <f aca="false">IF(65&lt;5,0,IF(MAX(BL38:BQ38)&gt;BQ43+0+$B$18,1,0))</f>
        <v>0</v>
      </c>
      <c r="BR49" s="387" t="n">
        <f aca="false">IF(66&lt;5,0,IF(MAX(BM38:BR38)&gt;BR43+0+$B$18,1,0))</f>
        <v>0</v>
      </c>
      <c r="BS49" s="387" t="n">
        <f aca="false">IF(67&lt;5,0,IF(MAX(BN38:BS38)&gt;BS43+0+$B$18,1,0))</f>
        <v>0</v>
      </c>
      <c r="BT49" s="387" t="n">
        <f aca="false">IF(68&lt;5,0,IF(MAX(BO38:BT38)&gt;BT43+0+$B$18,1,0))</f>
        <v>0</v>
      </c>
      <c r="BU49" s="387" t="n">
        <f aca="false">IF(69&lt;5,0,IF(MAX(BP38:BU38)&gt;BU43+0+$B$18,1,0))</f>
        <v>0</v>
      </c>
      <c r="BV49" s="387" t="n">
        <f aca="false">IF(70&lt;5,0,IF(MAX(BQ38:BV38)&gt;BV43+0+$B$18,1,0))</f>
        <v>0</v>
      </c>
      <c r="BW49" s="387" t="n">
        <f aca="false">IF(71&lt;5,0,IF(MAX(BR38:BW38)&gt;BW43+0+$B$18,1,0))</f>
        <v>0</v>
      </c>
      <c r="BX49" s="387" t="n">
        <f aca="false">IF(72&lt;5,0,IF(MAX(BS38:BX38)&gt;BX43+0+$B$18,1,0))</f>
        <v>0</v>
      </c>
      <c r="BY49" s="387" t="n">
        <f aca="false">IF(73&lt;5,0,IF(MAX(BT38:BY38)&gt;BY43+0+$B$18,1,0))</f>
        <v>0</v>
      </c>
      <c r="BZ49" s="387" t="n">
        <f aca="false">IF(74&lt;5,0,IF(MAX(BU38:BZ38)&gt;BZ43+0+$B$18,1,0))</f>
        <v>0</v>
      </c>
      <c r="CA49" s="387" t="n">
        <f aca="false">IF(75&lt;5,0,IF(MAX(BV38:CA38)&gt;CA43+0+$B$18,1,0))</f>
        <v>0</v>
      </c>
      <c r="CB49" s="387" t="n">
        <f aca="false">IF(76&lt;5,0,IF(MAX(BW38:CB38)&gt;CB43+0+$B$18,1,0))</f>
        <v>0</v>
      </c>
      <c r="CC49" s="387" t="n">
        <f aca="false">IF(77&lt;5,0,IF(MAX(BX38:CC38)&gt;CC43+0+$B$18,1,0))</f>
        <v>0</v>
      </c>
      <c r="CD49" s="387" t="n">
        <f aca="false">IF(78&lt;5,0,IF(MAX(BY38:CD38)&gt;CD43+0+$B$18,1,0))</f>
        <v>0</v>
      </c>
      <c r="CE49" s="387" t="n">
        <f aca="false">IF(79&lt;5,0,IF(MAX(BZ38:CE38)&gt;CE43+0+$B$18,1,0))</f>
        <v>0</v>
      </c>
      <c r="CF49" s="387" t="n">
        <f aca="false">IF(80&lt;5,0,IF(MAX(CA38:CF38)&gt;CF43+0+$B$18,1,0))</f>
        <v>0</v>
      </c>
      <c r="CG49" s="387" t="n">
        <f aca="false">IF(81&lt;5,0,IF(MAX(CB38:CG38)&gt;CG43+0+$B$18,1,0))</f>
        <v>0</v>
      </c>
      <c r="CH49" s="387" t="n">
        <f aca="false">IF(82&lt;5,0,IF(MAX(CC38:CH38)&gt;CH43+0+$B$18,1,0))</f>
        <v>0</v>
      </c>
      <c r="CI49" s="387" t="n">
        <f aca="false">IF(83&lt;5,0,IF(MAX(CD38:CI38)&gt;CI43+0+$B$18,1,0))</f>
        <v>0</v>
      </c>
      <c r="CJ49" s="387" t="n">
        <f aca="false">IF(84&lt;5,0,IF(MAX(CE38:CJ38)&gt;CJ43+0+$B$18,1,0))</f>
        <v>0</v>
      </c>
      <c r="CK49" s="387" t="n">
        <f aca="false">IF(85&lt;5,0,IF(MAX(CF38:CK38)&gt;CK43+0+$B$18,1,0))</f>
        <v>0</v>
      </c>
      <c r="CL49" s="387" t="n">
        <f aca="false">IF(86&lt;5,0,IF(MAX(CG38:CL38)&gt;CL43+0+$B$18,1,0))</f>
        <v>0</v>
      </c>
      <c r="CM49" s="387" t="n">
        <f aca="false">IF(87&lt;5,0,IF(MAX(CH38:CM38)&gt;CM43+0+$B$18,1,0))</f>
        <v>0</v>
      </c>
      <c r="CN49" s="387" t="n">
        <f aca="false">IF(88&lt;5,0,IF(MAX(CI38:CN38)&gt;CN43+0+$B$18,1,0))</f>
        <v>0</v>
      </c>
      <c r="CO49" s="387" t="n">
        <f aca="false">IF(89&lt;5,0,IF(MAX(CJ38:CO38)&gt;CO43+0+$B$18,1,0))</f>
        <v>0</v>
      </c>
      <c r="CP49" s="387" t="n">
        <f aca="false">IF(90&lt;5,0,IF(MAX(CK38:CP38)&gt;CP43+0+$B$18,1,0))</f>
        <v>0</v>
      </c>
      <c r="CQ49" s="387" t="n">
        <f aca="false">IF(91&lt;5,0,IF(MAX(CL38:CQ38)&gt;CQ43+0+$B$18,1,0))</f>
        <v>0</v>
      </c>
      <c r="CR49" s="387" t="n">
        <f aca="false">IF(92&lt;5,0,IF(MAX(CM38:CR38)&gt;CR43+0+$B$18,1,0))</f>
        <v>0</v>
      </c>
      <c r="CS49" s="387" t="n">
        <f aca="false">IF(93&lt;5,0,IF(MAX(CN38:CS38)&gt;CS43+0+$B$18,1,0))</f>
        <v>0</v>
      </c>
      <c r="CT49" s="387" t="n">
        <f aca="false">IF(94&lt;5,0,IF(MAX(CO38:CT38)&gt;CT43+0+$B$18,1,0))</f>
        <v>0</v>
      </c>
      <c r="CU49" s="387" t="n">
        <f aca="false">IF(95&lt;5,0,IF(MAX(CP38:CU38)&gt;CU43+0+$B$18,1,0))</f>
        <v>0</v>
      </c>
      <c r="CV49" s="387" t="n">
        <f aca="false">IF(96&lt;5,0,IF(MAX(CQ38:CV38)&gt;CV43+0+$B$18,1,0))</f>
        <v>0</v>
      </c>
      <c r="CW49" s="387" t="n">
        <f aca="false">IF(97&lt;5,0,IF(MAX(CR38:CW38)&gt;CW43+0+$B$18,1,0))</f>
        <v>0</v>
      </c>
      <c r="CX49" s="387" t="n">
        <f aca="false">IF(98&lt;5,0,IF(MAX(CS38:CX38)&gt;CX43+0+$B$18,1,0))</f>
        <v>0</v>
      </c>
      <c r="CY49" s="387" t="n">
        <f aca="false">IF(99&lt;5,0,IF(MAX(CT38:CY38)&gt;CY43+0+$B$18,1,0))</f>
        <v>0</v>
      </c>
      <c r="CZ49" s="387" t="n">
        <f aca="false">IF(100&lt;5,0,IF(MAX(CU38:CZ38)&gt;CZ43+0+$B$18,1,0))</f>
        <v>0</v>
      </c>
      <c r="DA49" s="387" t="n">
        <f aca="false">IF(101&lt;5,0,IF(MAX(CV38:DA38)&gt;DA43+0+$B$18,1,0))</f>
        <v>0</v>
      </c>
      <c r="DB49" s="387" t="n">
        <f aca="false">IF(102&lt;5,0,IF(MAX(CW38:DB38)&gt;DB43+0+$B$18,1,0))</f>
        <v>0</v>
      </c>
      <c r="DC49" s="387" t="n">
        <f aca="false">IF(103&lt;5,0,IF(MAX(CX38:DC38)&gt;DC43+0+$B$18,1,0))</f>
        <v>0</v>
      </c>
      <c r="DD49" s="387" t="n">
        <f aca="false">IF(104&lt;5,0,IF(MAX(CY38:DD38)&gt;DD43+0+$B$18,1,0))</f>
        <v>0</v>
      </c>
      <c r="DE49" s="387" t="n">
        <f aca="false">IF(105&lt;5,0,IF(MAX(CZ38:DE38)&gt;DE43+0+$B$18,1,0))</f>
        <v>0</v>
      </c>
    </row>
    <row r="50" customFormat="false" ht="13.5" hidden="false" customHeight="true" outlineLevel="0" collapsed="false">
      <c r="A50" s="110" t="s">
        <v>1388</v>
      </c>
      <c r="B50" s="213" t="n">
        <f aca="false">$B$26</f>
        <v>160000</v>
      </c>
      <c r="E50" s="387" t="n">
        <f aca="false">IF(1&lt;5,0,IF(MAX(E38:E38)&gt;E43+1+$B$18,1,0))</f>
        <v>0</v>
      </c>
      <c r="F50" s="387" t="n">
        <f aca="false">IF(2&lt;5,0,IF(MAX(E38:F38)&gt;F43+1+$B$18,1,0))</f>
        <v>0</v>
      </c>
      <c r="G50" s="387" t="n">
        <f aca="false">IF(3&lt;5,0,IF(MAX(E38:G38)&gt;G43+1+$B$18,1,0))</f>
        <v>0</v>
      </c>
      <c r="H50" s="387" t="n">
        <f aca="false">IF(4&lt;5,0,IF(MAX(E38:H38)&gt;H43+1+$B$18,1,0))</f>
        <v>0</v>
      </c>
      <c r="I50" s="387" t="n">
        <f aca="false">IF(5&lt;5,0,IF(MAX(E38:I38)&gt;I43+1+$B$18,1,0))</f>
        <v>0</v>
      </c>
      <c r="J50" s="387" t="n">
        <f aca="false">IF(6&lt;5,0,IF(MAX(E38:J38)&gt;J43+1+$B$18,1,0))</f>
        <v>0</v>
      </c>
      <c r="K50" s="387" t="n">
        <f aca="false">IF(7&lt;5,0,IF(MAX(F38:K38)&gt;K43+1+$B$18,1,0))</f>
        <v>0</v>
      </c>
      <c r="L50" s="387" t="n">
        <f aca="false">IF(8&lt;5,0,IF(MAX(G38:L38)&gt;L43+1+$B$18,1,0))</f>
        <v>0</v>
      </c>
      <c r="M50" s="387" t="n">
        <f aca="false">IF(9&lt;5,0,IF(MAX(H38:M38)&gt;M43+1+$B$18,1,0))</f>
        <v>0</v>
      </c>
      <c r="N50" s="387" t="n">
        <f aca="false">IF(10&lt;5,0,IF(MAX(I38:N38)&gt;N43+1+$B$18,1,0))</f>
        <v>1</v>
      </c>
      <c r="O50" s="387" t="n">
        <f aca="false">IF(11&lt;5,0,IF(MAX(J38:O38)&gt;O43+1+$B$18,1,0))</f>
        <v>1</v>
      </c>
      <c r="P50" s="387" t="n">
        <f aca="false">IF(12&lt;5,0,IF(MAX(K38:P38)&gt;P43+1+$B$18,1,0))</f>
        <v>1</v>
      </c>
      <c r="Q50" s="387" t="n">
        <f aca="false">IF(13&lt;5,0,IF(MAX(L38:Q38)&gt;Q43+1+$B$18,1,0))</f>
        <v>1</v>
      </c>
      <c r="R50" s="387" t="n">
        <f aca="false">IF(14&lt;5,0,IF(MAX(M38:R38)&gt;R43+1+$B$18,1,0))</f>
        <v>1</v>
      </c>
      <c r="S50" s="387" t="n">
        <f aca="false">IF(15&lt;5,0,IF(MAX(N38:S38)&gt;S43+1+$B$18,1,0))</f>
        <v>1</v>
      </c>
      <c r="T50" s="387" t="n">
        <f aca="false">IF(16&lt;5,0,IF(MAX(O38:T38)&gt;T43+1+$B$18,1,0))</f>
        <v>1</v>
      </c>
      <c r="U50" s="387" t="n">
        <f aca="false">IF(17&lt;5,0,IF(MAX(P38:U38)&gt;U43+1+$B$18,1,0))</f>
        <v>1</v>
      </c>
      <c r="V50" s="387" t="n">
        <f aca="false">IF(18&lt;5,0,IF(MAX(Q38:V38)&gt;V43+1+$B$18,1,0))</f>
        <v>1</v>
      </c>
      <c r="W50" s="387" t="n">
        <f aca="false">IF(19&lt;5,0,IF(MAX(R38:W38)&gt;W43+1+$B$18,1,0))</f>
        <v>1</v>
      </c>
      <c r="X50" s="387" t="n">
        <f aca="false">IF(20&lt;5,0,IF(MAX(S38:X38)&gt;X43+1+$B$18,1,0))</f>
        <v>1</v>
      </c>
      <c r="Y50" s="387" t="n">
        <f aca="false">IF(21&lt;5,0,IF(MAX(T38:Y38)&gt;Y43+1+$B$18,1,0))</f>
        <v>1</v>
      </c>
      <c r="Z50" s="387" t="n">
        <f aca="false">IF(22&lt;5,0,IF(MAX(U38:Z38)&gt;Z43+1+$B$18,1,0))</f>
        <v>1</v>
      </c>
      <c r="AA50" s="387" t="n">
        <f aca="false">IF(23&lt;5,0,IF(MAX(V38:AA38)&gt;AA43+1+$B$18,1,0))</f>
        <v>1</v>
      </c>
      <c r="AB50" s="387" t="n">
        <f aca="false">IF(24&lt;5,0,IF(MAX(W38:AB38)&gt;AB43+1+$B$18,1,0))</f>
        <v>1</v>
      </c>
      <c r="AC50" s="387" t="n">
        <f aca="false">IF(25&lt;5,0,IF(MAX(X38:AC38)&gt;AC43+1+$B$18,1,0))</f>
        <v>1</v>
      </c>
      <c r="AD50" s="387" t="n">
        <f aca="false">IF(26&lt;5,0,IF(MAX(Y38:AD38)&gt;AD43+1+$B$18,1,0))</f>
        <v>1</v>
      </c>
      <c r="AE50" s="387" t="n">
        <f aca="false">IF(27&lt;5,0,IF(MAX(Z38:AE38)&gt;AE43+1+$B$18,1,0))</f>
        <v>1</v>
      </c>
      <c r="AF50" s="387" t="n">
        <f aca="false">IF(28&lt;5,0,IF(MAX(AA38:AF38)&gt;AF43+1+$B$18,1,0))</f>
        <v>1</v>
      </c>
      <c r="AG50" s="387" t="n">
        <f aca="false">IF(29&lt;5,0,IF(MAX(AB38:AG38)&gt;AG43+1+$B$18,1,0))</f>
        <v>1</v>
      </c>
      <c r="AH50" s="387" t="n">
        <f aca="false">IF(30&lt;5,0,IF(MAX(AC38:AH38)&gt;AH43+1+$B$18,1,0))</f>
        <v>1</v>
      </c>
      <c r="AI50" s="387" t="n">
        <f aca="false">IF(31&lt;5,0,IF(MAX(AD38:AI38)&gt;AI43+1+$B$18,1,0))</f>
        <v>1</v>
      </c>
      <c r="AJ50" s="387" t="n">
        <f aca="false">IF(32&lt;5,0,IF(MAX(AE38:AJ38)&gt;AJ43+1+$B$18,1,0))</f>
        <v>1</v>
      </c>
      <c r="AK50" s="387" t="n">
        <f aca="false">IF(33&lt;5,0,IF(MAX(AF38:AK38)&gt;AK43+1+$B$18,1,0))</f>
        <v>1</v>
      </c>
      <c r="AL50" s="387" t="n">
        <f aca="false">IF(34&lt;5,0,IF(MAX(AG38:AL38)&gt;AL43+1+$B$18,1,0))</f>
        <v>1</v>
      </c>
      <c r="AM50" s="387" t="n">
        <f aca="false">IF(35&lt;5,0,IF(MAX(AH38:AM38)&gt;AM43+1+$B$18,1,0))</f>
        <v>0</v>
      </c>
      <c r="AN50" s="387" t="n">
        <f aca="false">IF(36&lt;5,0,IF(MAX(AI38:AN38)&gt;AN43+1+$B$18,1,0))</f>
        <v>0</v>
      </c>
      <c r="AO50" s="387" t="n">
        <f aca="false">IF(37&lt;5,0,IF(MAX(AJ38:AO38)&gt;AO43+1+$B$18,1,0))</f>
        <v>0</v>
      </c>
      <c r="AP50" s="387" t="n">
        <f aca="false">IF(38&lt;5,0,IF(MAX(AK38:AP38)&gt;AP43+1+$B$18,1,0))</f>
        <v>0</v>
      </c>
      <c r="AQ50" s="387" t="n">
        <f aca="false">IF(39&lt;5,0,IF(MAX(AL38:AQ38)&gt;AQ43+1+$B$18,1,0))</f>
        <v>0</v>
      </c>
      <c r="AR50" s="387" t="n">
        <f aca="false">IF(40&lt;5,0,IF(MAX(AM38:AR38)&gt;AR43+1+$B$18,1,0))</f>
        <v>0</v>
      </c>
      <c r="AS50" s="387" t="n">
        <f aca="false">IF(41&lt;5,0,IF(MAX(AN38:AS38)&gt;AS43+1+$B$18,1,0))</f>
        <v>0</v>
      </c>
      <c r="AT50" s="387" t="n">
        <f aca="false">IF(42&lt;5,0,IF(MAX(AO38:AT38)&gt;AT43+1+$B$18,1,0))</f>
        <v>0</v>
      </c>
      <c r="AU50" s="387" t="n">
        <f aca="false">IF(43&lt;5,0,IF(MAX(AP38:AU38)&gt;AU43+1+$B$18,1,0))</f>
        <v>0</v>
      </c>
      <c r="AV50" s="387" t="n">
        <f aca="false">IF(44&lt;5,0,IF(MAX(AQ38:AV38)&gt;AV43+1+$B$18,1,0))</f>
        <v>0</v>
      </c>
      <c r="AW50" s="387" t="n">
        <f aca="false">IF(45&lt;5,0,IF(MAX(AR38:AW38)&gt;AW43+1+$B$18,1,0))</f>
        <v>0</v>
      </c>
      <c r="AX50" s="387" t="n">
        <f aca="false">IF(46&lt;5,0,IF(MAX(AS38:AX38)&gt;AX43+1+$B$18,1,0))</f>
        <v>0</v>
      </c>
      <c r="AY50" s="387" t="n">
        <f aca="false">IF(47&lt;5,0,IF(MAX(AT38:AY38)&gt;AY43+1+$B$18,1,0))</f>
        <v>0</v>
      </c>
      <c r="AZ50" s="387" t="n">
        <f aca="false">IF(48&lt;5,0,IF(MAX(AU38:AZ38)&gt;AZ43+1+$B$18,1,0))</f>
        <v>0</v>
      </c>
      <c r="BA50" s="387" t="n">
        <f aca="false">IF(49&lt;5,0,IF(MAX(AV38:BA38)&gt;BA43+1+$B$18,1,0))</f>
        <v>0</v>
      </c>
      <c r="BB50" s="387" t="n">
        <f aca="false">IF(50&lt;5,0,IF(MAX(AW38:BB38)&gt;BB43+1+$B$18,1,0))</f>
        <v>0</v>
      </c>
      <c r="BC50" s="387" t="n">
        <f aca="false">IF(51&lt;5,0,IF(MAX(AX38:BC38)&gt;BC43+1+$B$18,1,0))</f>
        <v>0</v>
      </c>
      <c r="BD50" s="387" t="n">
        <f aca="false">IF(52&lt;5,0,IF(MAX(AY38:BD38)&gt;BD43+1+$B$18,1,0))</f>
        <v>0</v>
      </c>
      <c r="BE50" s="387" t="n">
        <f aca="false">IF(53&lt;5,0,IF(MAX(AZ38:BE38)&gt;BE43+1+$B$18,1,0))</f>
        <v>0</v>
      </c>
      <c r="BF50" s="387" t="n">
        <f aca="false">IF(54&lt;5,0,IF(MAX(BA38:BF38)&gt;BF43+1+$B$18,1,0))</f>
        <v>0</v>
      </c>
      <c r="BG50" s="387" t="n">
        <f aca="false">IF(55&lt;5,0,IF(MAX(BB38:BG38)&gt;BG43+1+$B$18,1,0))</f>
        <v>0</v>
      </c>
      <c r="BH50" s="387" t="n">
        <f aca="false">IF(56&lt;5,0,IF(MAX(BC38:BH38)&gt;BH43+1+$B$18,1,0))</f>
        <v>0</v>
      </c>
      <c r="BI50" s="387" t="n">
        <f aca="false">IF(57&lt;5,0,IF(MAX(BD38:BI38)&gt;BI43+1+$B$18,1,0))</f>
        <v>0</v>
      </c>
      <c r="BJ50" s="387" t="n">
        <f aca="false">IF(58&lt;5,0,IF(MAX(BE38:BJ38)&gt;BJ43+1+$B$18,1,0))</f>
        <v>0</v>
      </c>
      <c r="BK50" s="387" t="n">
        <f aca="false">IF(59&lt;5,0,IF(MAX(BF38:BK38)&gt;BK43+1+$B$18,1,0))</f>
        <v>0</v>
      </c>
      <c r="BL50" s="387" t="n">
        <f aca="false">IF(60&lt;5,0,IF(MAX(BG38:BL38)&gt;BL43+1+$B$18,1,0))</f>
        <v>0</v>
      </c>
      <c r="BM50" s="387" t="n">
        <f aca="false">IF(61&lt;5,0,IF(MAX(BH38:BM38)&gt;BM43+1+$B$18,1,0))</f>
        <v>0</v>
      </c>
      <c r="BN50" s="387" t="n">
        <f aca="false">IF(62&lt;5,0,IF(MAX(BI38:BN38)&gt;BN43+1+$B$18,1,0))</f>
        <v>0</v>
      </c>
      <c r="BO50" s="387" t="n">
        <f aca="false">IF(63&lt;5,0,IF(MAX(BJ38:BO38)&gt;BO43+1+$B$18,1,0))</f>
        <v>0</v>
      </c>
      <c r="BP50" s="387" t="n">
        <f aca="false">IF(64&lt;5,0,IF(MAX(BK38:BP38)&gt;BP43+1+$B$18,1,0))</f>
        <v>0</v>
      </c>
      <c r="BQ50" s="387" t="n">
        <f aca="false">IF(65&lt;5,0,IF(MAX(BL38:BQ38)&gt;BQ43+1+$B$18,1,0))</f>
        <v>0</v>
      </c>
      <c r="BR50" s="387" t="n">
        <f aca="false">IF(66&lt;5,0,IF(MAX(BM38:BR38)&gt;BR43+1+$B$18,1,0))</f>
        <v>0</v>
      </c>
      <c r="BS50" s="387" t="n">
        <f aca="false">IF(67&lt;5,0,IF(MAX(BN38:BS38)&gt;BS43+1+$B$18,1,0))</f>
        <v>0</v>
      </c>
      <c r="BT50" s="387" t="n">
        <f aca="false">IF(68&lt;5,0,IF(MAX(BO38:BT38)&gt;BT43+1+$B$18,1,0))</f>
        <v>0</v>
      </c>
      <c r="BU50" s="387" t="n">
        <f aca="false">IF(69&lt;5,0,IF(MAX(BP38:BU38)&gt;BU43+1+$B$18,1,0))</f>
        <v>0</v>
      </c>
      <c r="BV50" s="387" t="n">
        <f aca="false">IF(70&lt;5,0,IF(MAX(BQ38:BV38)&gt;BV43+1+$B$18,1,0))</f>
        <v>0</v>
      </c>
      <c r="BW50" s="387" t="n">
        <f aca="false">IF(71&lt;5,0,IF(MAX(BR38:BW38)&gt;BW43+1+$B$18,1,0))</f>
        <v>0</v>
      </c>
      <c r="BX50" s="387" t="n">
        <f aca="false">IF(72&lt;5,0,IF(MAX(BS38:BX38)&gt;BX43+1+$B$18,1,0))</f>
        <v>0</v>
      </c>
      <c r="BY50" s="387" t="n">
        <f aca="false">IF(73&lt;5,0,IF(MAX(BT38:BY38)&gt;BY43+1+$B$18,1,0))</f>
        <v>0</v>
      </c>
      <c r="BZ50" s="387" t="n">
        <f aca="false">IF(74&lt;5,0,IF(MAX(BU38:BZ38)&gt;BZ43+1+$B$18,1,0))</f>
        <v>0</v>
      </c>
      <c r="CA50" s="387" t="n">
        <f aca="false">IF(75&lt;5,0,IF(MAX(BV38:CA38)&gt;CA43+1+$B$18,1,0))</f>
        <v>0</v>
      </c>
      <c r="CB50" s="387" t="n">
        <f aca="false">IF(76&lt;5,0,IF(MAX(BW38:CB38)&gt;CB43+1+$B$18,1,0))</f>
        <v>0</v>
      </c>
      <c r="CC50" s="387" t="n">
        <f aca="false">IF(77&lt;5,0,IF(MAX(BX38:CC38)&gt;CC43+1+$B$18,1,0))</f>
        <v>0</v>
      </c>
      <c r="CD50" s="387" t="n">
        <f aca="false">IF(78&lt;5,0,IF(MAX(BY38:CD38)&gt;CD43+1+$B$18,1,0))</f>
        <v>0</v>
      </c>
      <c r="CE50" s="387" t="n">
        <f aca="false">IF(79&lt;5,0,IF(MAX(BZ38:CE38)&gt;CE43+1+$B$18,1,0))</f>
        <v>0</v>
      </c>
      <c r="CF50" s="387" t="n">
        <f aca="false">IF(80&lt;5,0,IF(MAX(CA38:CF38)&gt;CF43+1+$B$18,1,0))</f>
        <v>0</v>
      </c>
      <c r="CG50" s="387" t="n">
        <f aca="false">IF(81&lt;5,0,IF(MAX(CB38:CG38)&gt;CG43+1+$B$18,1,0))</f>
        <v>0</v>
      </c>
      <c r="CH50" s="387" t="n">
        <f aca="false">IF(82&lt;5,0,IF(MAX(CC38:CH38)&gt;CH43+1+$B$18,1,0))</f>
        <v>0</v>
      </c>
      <c r="CI50" s="387" t="n">
        <f aca="false">IF(83&lt;5,0,IF(MAX(CD38:CI38)&gt;CI43+1+$B$18,1,0))</f>
        <v>0</v>
      </c>
      <c r="CJ50" s="387" t="n">
        <f aca="false">IF(84&lt;5,0,IF(MAX(CE38:CJ38)&gt;CJ43+1+$B$18,1,0))</f>
        <v>0</v>
      </c>
      <c r="CK50" s="387" t="n">
        <f aca="false">IF(85&lt;5,0,IF(MAX(CF38:CK38)&gt;CK43+1+$B$18,1,0))</f>
        <v>0</v>
      </c>
      <c r="CL50" s="387" t="n">
        <f aca="false">IF(86&lt;5,0,IF(MAX(CG38:CL38)&gt;CL43+1+$B$18,1,0))</f>
        <v>0</v>
      </c>
      <c r="CM50" s="387" t="n">
        <f aca="false">IF(87&lt;5,0,IF(MAX(CH38:CM38)&gt;CM43+1+$B$18,1,0))</f>
        <v>0</v>
      </c>
      <c r="CN50" s="387" t="n">
        <f aca="false">IF(88&lt;5,0,IF(MAX(CI38:CN38)&gt;CN43+1+$B$18,1,0))</f>
        <v>0</v>
      </c>
      <c r="CO50" s="387" t="n">
        <f aca="false">IF(89&lt;5,0,IF(MAX(CJ38:CO38)&gt;CO43+1+$B$18,1,0))</f>
        <v>0</v>
      </c>
      <c r="CP50" s="387" t="n">
        <f aca="false">IF(90&lt;5,0,IF(MAX(CK38:CP38)&gt;CP43+1+$B$18,1,0))</f>
        <v>0</v>
      </c>
      <c r="CQ50" s="387" t="n">
        <f aca="false">IF(91&lt;5,0,IF(MAX(CL38:CQ38)&gt;CQ43+1+$B$18,1,0))</f>
        <v>0</v>
      </c>
      <c r="CR50" s="387" t="n">
        <f aca="false">IF(92&lt;5,0,IF(MAX(CM38:CR38)&gt;CR43+1+$B$18,1,0))</f>
        <v>0</v>
      </c>
      <c r="CS50" s="387" t="n">
        <f aca="false">IF(93&lt;5,0,IF(MAX(CN38:CS38)&gt;CS43+1+$B$18,1,0))</f>
        <v>0</v>
      </c>
      <c r="CT50" s="387" t="n">
        <f aca="false">IF(94&lt;5,0,IF(MAX(CO38:CT38)&gt;CT43+1+$B$18,1,0))</f>
        <v>0</v>
      </c>
      <c r="CU50" s="387" t="n">
        <f aca="false">IF(95&lt;5,0,IF(MAX(CP38:CU38)&gt;CU43+1+$B$18,1,0))</f>
        <v>0</v>
      </c>
      <c r="CV50" s="387" t="n">
        <f aca="false">IF(96&lt;5,0,IF(MAX(CQ38:CV38)&gt;CV43+1+$B$18,1,0))</f>
        <v>0</v>
      </c>
      <c r="CW50" s="387" t="n">
        <f aca="false">IF(97&lt;5,0,IF(MAX(CR38:CW38)&gt;CW43+1+$B$18,1,0))</f>
        <v>0</v>
      </c>
      <c r="CX50" s="387" t="n">
        <f aca="false">IF(98&lt;5,0,IF(MAX(CS38:CX38)&gt;CX43+1+$B$18,1,0))</f>
        <v>0</v>
      </c>
      <c r="CY50" s="387" t="n">
        <f aca="false">IF(99&lt;5,0,IF(MAX(CT38:CY38)&gt;CY43+1+$B$18,1,0))</f>
        <v>0</v>
      </c>
      <c r="CZ50" s="387" t="n">
        <f aca="false">IF(100&lt;5,0,IF(MAX(CU38:CZ38)&gt;CZ43+1+$B$18,1,0))</f>
        <v>0</v>
      </c>
      <c r="DA50" s="387" t="n">
        <f aca="false">IF(101&lt;5,0,IF(MAX(CV38:DA38)&gt;DA43+1+$B$18,1,0))</f>
        <v>0</v>
      </c>
      <c r="DB50" s="387" t="n">
        <f aca="false">IF(102&lt;5,0,IF(MAX(CW38:DB38)&gt;DB43+1+$B$18,1,0))</f>
        <v>0</v>
      </c>
      <c r="DC50" s="387" t="n">
        <f aca="false">IF(103&lt;5,0,IF(MAX(CX38:DC38)&gt;DC43+1+$B$18,1,0))</f>
        <v>0</v>
      </c>
      <c r="DD50" s="387" t="n">
        <f aca="false">IF(104&lt;5,0,IF(MAX(CY38:DD38)&gt;DD43+1+$B$18,1,0))</f>
        <v>0</v>
      </c>
      <c r="DE50" s="387" t="n">
        <f aca="false">IF(105&lt;5,0,IF(MAX(CZ38:DE38)&gt;DE43+1+$B$18,1,0))</f>
        <v>0</v>
      </c>
    </row>
    <row r="51" customFormat="false" ht="13.5" hidden="false" customHeight="true" outlineLevel="0" collapsed="false">
      <c r="A51" s="110" t="s">
        <v>1389</v>
      </c>
      <c r="B51" s="213" t="n">
        <f aca="false">$B$26</f>
        <v>160000</v>
      </c>
      <c r="E51" s="387" t="n">
        <f aca="false">IF(1&lt;5,0,IF(MAX(E38:E38)&gt;E43+2+$B$18,1,0))</f>
        <v>0</v>
      </c>
      <c r="F51" s="387" t="n">
        <f aca="false">IF(2&lt;5,0,IF(MAX(E38:F38)&gt;F43+2+$B$18,1,0))</f>
        <v>0</v>
      </c>
      <c r="G51" s="387" t="n">
        <f aca="false">IF(3&lt;5,0,IF(MAX(E38:G38)&gt;G43+2+$B$18,1,0))</f>
        <v>0</v>
      </c>
      <c r="H51" s="387" t="n">
        <f aca="false">IF(4&lt;5,0,IF(MAX(E38:H38)&gt;H43+2+$B$18,1,0))</f>
        <v>0</v>
      </c>
      <c r="I51" s="387" t="n">
        <f aca="false">IF(5&lt;5,0,IF(MAX(E38:I38)&gt;I43+2+$B$18,1,0))</f>
        <v>0</v>
      </c>
      <c r="J51" s="387" t="n">
        <f aca="false">IF(6&lt;5,0,IF(MAX(E38:J38)&gt;J43+2+$B$18,1,0))</f>
        <v>0</v>
      </c>
      <c r="K51" s="387" t="n">
        <f aca="false">IF(7&lt;5,0,IF(MAX(F38:K38)&gt;K43+2+$B$18,1,0))</f>
        <v>0</v>
      </c>
      <c r="L51" s="387" t="n">
        <f aca="false">IF(8&lt;5,0,IF(MAX(G38:L38)&gt;L43+2+$B$18,1,0))</f>
        <v>0</v>
      </c>
      <c r="M51" s="387" t="n">
        <f aca="false">IF(9&lt;5,0,IF(MAX(H38:M38)&gt;M43+2+$B$18,1,0))</f>
        <v>0</v>
      </c>
      <c r="N51" s="387" t="n">
        <f aca="false">IF(10&lt;5,0,IF(MAX(I38:N38)&gt;N43+2+$B$18,1,0))</f>
        <v>0</v>
      </c>
      <c r="O51" s="387" t="n">
        <f aca="false">IF(11&lt;5,0,IF(MAX(J38:O38)&gt;O43+2+$B$18,1,0))</f>
        <v>1</v>
      </c>
      <c r="P51" s="387" t="n">
        <f aca="false">IF(12&lt;5,0,IF(MAX(K38:P38)&gt;P43+2+$B$18,1,0))</f>
        <v>1</v>
      </c>
      <c r="Q51" s="387" t="n">
        <f aca="false">IF(13&lt;5,0,IF(MAX(L38:Q38)&gt;Q43+2+$B$18,1,0))</f>
        <v>1</v>
      </c>
      <c r="R51" s="387" t="n">
        <f aca="false">IF(14&lt;5,0,IF(MAX(M38:R38)&gt;R43+2+$B$18,1,0))</f>
        <v>1</v>
      </c>
      <c r="S51" s="387" t="n">
        <f aca="false">IF(15&lt;5,0,IF(MAX(N38:S38)&gt;S43+2+$B$18,1,0))</f>
        <v>1</v>
      </c>
      <c r="T51" s="387" t="n">
        <f aca="false">IF(16&lt;5,0,IF(MAX(O38:T38)&gt;T43+2+$B$18,1,0))</f>
        <v>1</v>
      </c>
      <c r="U51" s="387" t="n">
        <f aca="false">IF(17&lt;5,0,IF(MAX(P38:U38)&gt;U43+2+$B$18,1,0))</f>
        <v>1</v>
      </c>
      <c r="V51" s="387" t="n">
        <f aca="false">IF(18&lt;5,0,IF(MAX(Q38:V38)&gt;V43+2+$B$18,1,0))</f>
        <v>1</v>
      </c>
      <c r="W51" s="387" t="n">
        <f aca="false">IF(19&lt;5,0,IF(MAX(R38:W38)&gt;W43+2+$B$18,1,0))</f>
        <v>1</v>
      </c>
      <c r="X51" s="387" t="n">
        <f aca="false">IF(20&lt;5,0,IF(MAX(S38:X38)&gt;X43+2+$B$18,1,0))</f>
        <v>1</v>
      </c>
      <c r="Y51" s="387" t="n">
        <f aca="false">IF(21&lt;5,0,IF(MAX(T38:Y38)&gt;Y43+2+$B$18,1,0))</f>
        <v>1</v>
      </c>
      <c r="Z51" s="387" t="n">
        <f aca="false">IF(22&lt;5,0,IF(MAX(U38:Z38)&gt;Z43+2+$B$18,1,0))</f>
        <v>1</v>
      </c>
      <c r="AA51" s="387" t="n">
        <f aca="false">IF(23&lt;5,0,IF(MAX(V38:AA38)&gt;AA43+2+$B$18,1,0))</f>
        <v>1</v>
      </c>
      <c r="AB51" s="387" t="n">
        <f aca="false">IF(24&lt;5,0,IF(MAX(W38:AB38)&gt;AB43+2+$B$18,1,0))</f>
        <v>1</v>
      </c>
      <c r="AC51" s="387" t="n">
        <f aca="false">IF(25&lt;5,0,IF(MAX(X38:AC38)&gt;AC43+2+$B$18,1,0))</f>
        <v>1</v>
      </c>
      <c r="AD51" s="387" t="n">
        <f aca="false">IF(26&lt;5,0,IF(MAX(Y38:AD38)&gt;AD43+2+$B$18,1,0))</f>
        <v>1</v>
      </c>
      <c r="AE51" s="387" t="n">
        <f aca="false">IF(27&lt;5,0,IF(MAX(Z38:AE38)&gt;AE43+2+$B$18,1,0))</f>
        <v>1</v>
      </c>
      <c r="AF51" s="387" t="n">
        <f aca="false">IF(28&lt;5,0,IF(MAX(AA38:AF38)&gt;AF43+2+$B$18,1,0))</f>
        <v>1</v>
      </c>
      <c r="AG51" s="387" t="n">
        <f aca="false">IF(29&lt;5,0,IF(MAX(AB38:AG38)&gt;AG43+2+$B$18,1,0))</f>
        <v>1</v>
      </c>
      <c r="AH51" s="387" t="n">
        <f aca="false">IF(30&lt;5,0,IF(MAX(AC38:AH38)&gt;AH43+2+$B$18,1,0))</f>
        <v>1</v>
      </c>
      <c r="AI51" s="387" t="n">
        <f aca="false">IF(31&lt;5,0,IF(MAX(AD38:AI38)&gt;AI43+2+$B$18,1,0))</f>
        <v>1</v>
      </c>
      <c r="AJ51" s="387" t="n">
        <f aca="false">IF(32&lt;5,0,IF(MAX(AE38:AJ38)&gt;AJ43+2+$B$18,1,0))</f>
        <v>1</v>
      </c>
      <c r="AK51" s="387" t="n">
        <f aca="false">IF(33&lt;5,0,IF(MAX(AF38:AK38)&gt;AK43+2+$B$18,1,0))</f>
        <v>1</v>
      </c>
      <c r="AL51" s="387" t="n">
        <f aca="false">IF(34&lt;5,0,IF(MAX(AG38:AL38)&gt;AL43+2+$B$18,1,0))</f>
        <v>1</v>
      </c>
      <c r="AM51" s="387" t="n">
        <f aca="false">IF(35&lt;5,0,IF(MAX(AH38:AM38)&gt;AM43+2+$B$18,1,0))</f>
        <v>0</v>
      </c>
      <c r="AN51" s="387" t="n">
        <f aca="false">IF(36&lt;5,0,IF(MAX(AI38:AN38)&gt;AN43+2+$B$18,1,0))</f>
        <v>0</v>
      </c>
      <c r="AO51" s="387" t="n">
        <f aca="false">IF(37&lt;5,0,IF(MAX(AJ38:AO38)&gt;AO43+2+$B$18,1,0))</f>
        <v>0</v>
      </c>
      <c r="AP51" s="387" t="n">
        <f aca="false">IF(38&lt;5,0,IF(MAX(AK38:AP38)&gt;AP43+2+$B$18,1,0))</f>
        <v>0</v>
      </c>
      <c r="AQ51" s="387" t="n">
        <f aca="false">IF(39&lt;5,0,IF(MAX(AL38:AQ38)&gt;AQ43+2+$B$18,1,0))</f>
        <v>0</v>
      </c>
      <c r="AR51" s="387" t="n">
        <f aca="false">IF(40&lt;5,0,IF(MAX(AM38:AR38)&gt;AR43+2+$B$18,1,0))</f>
        <v>0</v>
      </c>
      <c r="AS51" s="387" t="n">
        <f aca="false">IF(41&lt;5,0,IF(MAX(AN38:AS38)&gt;AS43+2+$B$18,1,0))</f>
        <v>0</v>
      </c>
      <c r="AT51" s="387" t="n">
        <f aca="false">IF(42&lt;5,0,IF(MAX(AO38:AT38)&gt;AT43+2+$B$18,1,0))</f>
        <v>0</v>
      </c>
      <c r="AU51" s="387" t="n">
        <f aca="false">IF(43&lt;5,0,IF(MAX(AP38:AU38)&gt;AU43+2+$B$18,1,0))</f>
        <v>0</v>
      </c>
      <c r="AV51" s="387" t="n">
        <f aca="false">IF(44&lt;5,0,IF(MAX(AQ38:AV38)&gt;AV43+2+$B$18,1,0))</f>
        <v>0</v>
      </c>
      <c r="AW51" s="387" t="n">
        <f aca="false">IF(45&lt;5,0,IF(MAX(AR38:AW38)&gt;AW43+2+$B$18,1,0))</f>
        <v>0</v>
      </c>
      <c r="AX51" s="387" t="n">
        <f aca="false">IF(46&lt;5,0,IF(MAX(AS38:AX38)&gt;AX43+2+$B$18,1,0))</f>
        <v>0</v>
      </c>
      <c r="AY51" s="387" t="n">
        <f aca="false">IF(47&lt;5,0,IF(MAX(AT38:AY38)&gt;AY43+2+$B$18,1,0))</f>
        <v>0</v>
      </c>
      <c r="AZ51" s="387" t="n">
        <f aca="false">IF(48&lt;5,0,IF(MAX(AU38:AZ38)&gt;AZ43+2+$B$18,1,0))</f>
        <v>0</v>
      </c>
      <c r="BA51" s="387" t="n">
        <f aca="false">IF(49&lt;5,0,IF(MAX(AV38:BA38)&gt;BA43+2+$B$18,1,0))</f>
        <v>0</v>
      </c>
      <c r="BB51" s="387" t="n">
        <f aca="false">IF(50&lt;5,0,IF(MAX(AW38:BB38)&gt;BB43+2+$B$18,1,0))</f>
        <v>0</v>
      </c>
      <c r="BC51" s="387" t="n">
        <f aca="false">IF(51&lt;5,0,IF(MAX(AX38:BC38)&gt;BC43+2+$B$18,1,0))</f>
        <v>0</v>
      </c>
      <c r="BD51" s="387" t="n">
        <f aca="false">IF(52&lt;5,0,IF(MAX(AY38:BD38)&gt;BD43+2+$B$18,1,0))</f>
        <v>0</v>
      </c>
      <c r="BE51" s="387" t="n">
        <f aca="false">IF(53&lt;5,0,IF(MAX(AZ38:BE38)&gt;BE43+2+$B$18,1,0))</f>
        <v>0</v>
      </c>
      <c r="BF51" s="387" t="n">
        <f aca="false">IF(54&lt;5,0,IF(MAX(BA38:BF38)&gt;BF43+2+$B$18,1,0))</f>
        <v>0</v>
      </c>
      <c r="BG51" s="387" t="n">
        <f aca="false">IF(55&lt;5,0,IF(MAX(BB38:BG38)&gt;BG43+2+$B$18,1,0))</f>
        <v>0</v>
      </c>
      <c r="BH51" s="387" t="n">
        <f aca="false">IF(56&lt;5,0,IF(MAX(BC38:BH38)&gt;BH43+2+$B$18,1,0))</f>
        <v>0</v>
      </c>
      <c r="BI51" s="387" t="n">
        <f aca="false">IF(57&lt;5,0,IF(MAX(BD38:BI38)&gt;BI43+2+$B$18,1,0))</f>
        <v>0</v>
      </c>
      <c r="BJ51" s="387" t="n">
        <f aca="false">IF(58&lt;5,0,IF(MAX(BE38:BJ38)&gt;BJ43+2+$B$18,1,0))</f>
        <v>0</v>
      </c>
      <c r="BK51" s="387" t="n">
        <f aca="false">IF(59&lt;5,0,IF(MAX(BF38:BK38)&gt;BK43+2+$B$18,1,0))</f>
        <v>0</v>
      </c>
      <c r="BL51" s="387" t="n">
        <f aca="false">IF(60&lt;5,0,IF(MAX(BG38:BL38)&gt;BL43+2+$B$18,1,0))</f>
        <v>0</v>
      </c>
      <c r="BM51" s="387" t="n">
        <f aca="false">IF(61&lt;5,0,IF(MAX(BH38:BM38)&gt;BM43+2+$B$18,1,0))</f>
        <v>0</v>
      </c>
      <c r="BN51" s="387" t="n">
        <f aca="false">IF(62&lt;5,0,IF(MAX(BI38:BN38)&gt;BN43+2+$B$18,1,0))</f>
        <v>0</v>
      </c>
      <c r="BO51" s="387" t="n">
        <f aca="false">IF(63&lt;5,0,IF(MAX(BJ38:BO38)&gt;BO43+2+$B$18,1,0))</f>
        <v>0</v>
      </c>
      <c r="BP51" s="387" t="n">
        <f aca="false">IF(64&lt;5,0,IF(MAX(BK38:BP38)&gt;BP43+2+$B$18,1,0))</f>
        <v>0</v>
      </c>
      <c r="BQ51" s="387" t="n">
        <f aca="false">IF(65&lt;5,0,IF(MAX(BL38:BQ38)&gt;BQ43+2+$B$18,1,0))</f>
        <v>0</v>
      </c>
      <c r="BR51" s="387" t="n">
        <f aca="false">IF(66&lt;5,0,IF(MAX(BM38:BR38)&gt;BR43+2+$B$18,1,0))</f>
        <v>0</v>
      </c>
      <c r="BS51" s="387" t="n">
        <f aca="false">IF(67&lt;5,0,IF(MAX(BN38:BS38)&gt;BS43+2+$B$18,1,0))</f>
        <v>0</v>
      </c>
      <c r="BT51" s="387" t="n">
        <f aca="false">IF(68&lt;5,0,IF(MAX(BO38:BT38)&gt;BT43+2+$B$18,1,0))</f>
        <v>0</v>
      </c>
      <c r="BU51" s="387" t="n">
        <f aca="false">IF(69&lt;5,0,IF(MAX(BP38:BU38)&gt;BU43+2+$B$18,1,0))</f>
        <v>0</v>
      </c>
      <c r="BV51" s="387" t="n">
        <f aca="false">IF(70&lt;5,0,IF(MAX(BQ38:BV38)&gt;BV43+2+$B$18,1,0))</f>
        <v>0</v>
      </c>
      <c r="BW51" s="387" t="n">
        <f aca="false">IF(71&lt;5,0,IF(MAX(BR38:BW38)&gt;BW43+2+$B$18,1,0))</f>
        <v>0</v>
      </c>
      <c r="BX51" s="387" t="n">
        <f aca="false">IF(72&lt;5,0,IF(MAX(BS38:BX38)&gt;BX43+2+$B$18,1,0))</f>
        <v>0</v>
      </c>
      <c r="BY51" s="387" t="n">
        <f aca="false">IF(73&lt;5,0,IF(MAX(BT38:BY38)&gt;BY43+2+$B$18,1,0))</f>
        <v>0</v>
      </c>
      <c r="BZ51" s="387" t="n">
        <f aca="false">IF(74&lt;5,0,IF(MAX(BU38:BZ38)&gt;BZ43+2+$B$18,1,0))</f>
        <v>0</v>
      </c>
      <c r="CA51" s="387" t="n">
        <f aca="false">IF(75&lt;5,0,IF(MAX(BV38:CA38)&gt;CA43+2+$B$18,1,0))</f>
        <v>0</v>
      </c>
      <c r="CB51" s="387" t="n">
        <f aca="false">IF(76&lt;5,0,IF(MAX(BW38:CB38)&gt;CB43+2+$B$18,1,0))</f>
        <v>0</v>
      </c>
      <c r="CC51" s="387" t="n">
        <f aca="false">IF(77&lt;5,0,IF(MAX(BX38:CC38)&gt;CC43+2+$B$18,1,0))</f>
        <v>0</v>
      </c>
      <c r="CD51" s="387" t="n">
        <f aca="false">IF(78&lt;5,0,IF(MAX(BY38:CD38)&gt;CD43+2+$B$18,1,0))</f>
        <v>0</v>
      </c>
      <c r="CE51" s="387" t="n">
        <f aca="false">IF(79&lt;5,0,IF(MAX(BZ38:CE38)&gt;CE43+2+$B$18,1,0))</f>
        <v>0</v>
      </c>
      <c r="CF51" s="387" t="n">
        <f aca="false">IF(80&lt;5,0,IF(MAX(CA38:CF38)&gt;CF43+2+$B$18,1,0))</f>
        <v>0</v>
      </c>
      <c r="CG51" s="387" t="n">
        <f aca="false">IF(81&lt;5,0,IF(MAX(CB38:CG38)&gt;CG43+2+$B$18,1,0))</f>
        <v>0</v>
      </c>
      <c r="CH51" s="387" t="n">
        <f aca="false">IF(82&lt;5,0,IF(MAX(CC38:CH38)&gt;CH43+2+$B$18,1,0))</f>
        <v>0</v>
      </c>
      <c r="CI51" s="387" t="n">
        <f aca="false">IF(83&lt;5,0,IF(MAX(CD38:CI38)&gt;CI43+2+$B$18,1,0))</f>
        <v>0</v>
      </c>
      <c r="CJ51" s="387" t="n">
        <f aca="false">IF(84&lt;5,0,IF(MAX(CE38:CJ38)&gt;CJ43+2+$B$18,1,0))</f>
        <v>0</v>
      </c>
      <c r="CK51" s="387" t="n">
        <f aca="false">IF(85&lt;5,0,IF(MAX(CF38:CK38)&gt;CK43+2+$B$18,1,0))</f>
        <v>0</v>
      </c>
      <c r="CL51" s="387" t="n">
        <f aca="false">IF(86&lt;5,0,IF(MAX(CG38:CL38)&gt;CL43+2+$B$18,1,0))</f>
        <v>0</v>
      </c>
      <c r="CM51" s="387" t="n">
        <f aca="false">IF(87&lt;5,0,IF(MAX(CH38:CM38)&gt;CM43+2+$B$18,1,0))</f>
        <v>0</v>
      </c>
      <c r="CN51" s="387" t="n">
        <f aca="false">IF(88&lt;5,0,IF(MAX(CI38:CN38)&gt;CN43+2+$B$18,1,0))</f>
        <v>0</v>
      </c>
      <c r="CO51" s="387" t="n">
        <f aca="false">IF(89&lt;5,0,IF(MAX(CJ38:CO38)&gt;CO43+2+$B$18,1,0))</f>
        <v>0</v>
      </c>
      <c r="CP51" s="387" t="n">
        <f aca="false">IF(90&lt;5,0,IF(MAX(CK38:CP38)&gt;CP43+2+$B$18,1,0))</f>
        <v>0</v>
      </c>
      <c r="CQ51" s="387" t="n">
        <f aca="false">IF(91&lt;5,0,IF(MAX(CL38:CQ38)&gt;CQ43+2+$B$18,1,0))</f>
        <v>0</v>
      </c>
      <c r="CR51" s="387" t="n">
        <f aca="false">IF(92&lt;5,0,IF(MAX(CM38:CR38)&gt;CR43+2+$B$18,1,0))</f>
        <v>0</v>
      </c>
      <c r="CS51" s="387" t="n">
        <f aca="false">IF(93&lt;5,0,IF(MAX(CN38:CS38)&gt;CS43+2+$B$18,1,0))</f>
        <v>0</v>
      </c>
      <c r="CT51" s="387" t="n">
        <f aca="false">IF(94&lt;5,0,IF(MAX(CO38:CT38)&gt;CT43+2+$B$18,1,0))</f>
        <v>0</v>
      </c>
      <c r="CU51" s="387" t="n">
        <f aca="false">IF(95&lt;5,0,IF(MAX(CP38:CU38)&gt;CU43+2+$B$18,1,0))</f>
        <v>0</v>
      </c>
      <c r="CV51" s="387" t="n">
        <f aca="false">IF(96&lt;5,0,IF(MAX(CQ38:CV38)&gt;CV43+2+$B$18,1,0))</f>
        <v>0</v>
      </c>
      <c r="CW51" s="387" t="n">
        <f aca="false">IF(97&lt;5,0,IF(MAX(CR38:CW38)&gt;CW43+2+$B$18,1,0))</f>
        <v>0</v>
      </c>
      <c r="CX51" s="387" t="n">
        <f aca="false">IF(98&lt;5,0,IF(MAX(CS38:CX38)&gt;CX43+2+$B$18,1,0))</f>
        <v>0</v>
      </c>
      <c r="CY51" s="387" t="n">
        <f aca="false">IF(99&lt;5,0,IF(MAX(CT38:CY38)&gt;CY43+2+$B$18,1,0))</f>
        <v>0</v>
      </c>
      <c r="CZ51" s="387" t="n">
        <f aca="false">IF(100&lt;5,0,IF(MAX(CU38:CZ38)&gt;CZ43+2+$B$18,1,0))</f>
        <v>0</v>
      </c>
      <c r="DA51" s="387" t="n">
        <f aca="false">IF(101&lt;5,0,IF(MAX(CV38:DA38)&gt;DA43+2+$B$18,1,0))</f>
        <v>0</v>
      </c>
      <c r="DB51" s="387" t="n">
        <f aca="false">IF(102&lt;5,0,IF(MAX(CW38:DB38)&gt;DB43+2+$B$18,1,0))</f>
        <v>0</v>
      </c>
      <c r="DC51" s="387" t="n">
        <f aca="false">IF(103&lt;5,0,IF(MAX(CX38:DC38)&gt;DC43+2+$B$18,1,0))</f>
        <v>0</v>
      </c>
      <c r="DD51" s="387" t="n">
        <f aca="false">IF(104&lt;5,0,IF(MAX(CY38:DD38)&gt;DD43+2+$B$18,1,0))</f>
        <v>0</v>
      </c>
      <c r="DE51" s="387" t="n">
        <f aca="false">IF(105&lt;5,0,IF(MAX(CZ38:DE38)&gt;DE43+2+$B$18,1,0))</f>
        <v>0</v>
      </c>
    </row>
    <row r="52" customFormat="false" ht="13.5" hidden="false" customHeight="true" outlineLevel="0" collapsed="false">
      <c r="A52" s="110" t="s">
        <v>1390</v>
      </c>
      <c r="B52" s="213" t="n">
        <f aca="false">$B$26</f>
        <v>160000</v>
      </c>
      <c r="E52" s="387" t="n">
        <f aca="false">IF(1&lt;5,0,IF(MAX(E38:E38)&gt;E43+3+$B$18,1,0))</f>
        <v>0</v>
      </c>
      <c r="F52" s="387" t="n">
        <f aca="false">IF(2&lt;5,0,IF(MAX(E38:F38)&gt;F43+3+$B$18,1,0))</f>
        <v>0</v>
      </c>
      <c r="G52" s="387" t="n">
        <f aca="false">IF(3&lt;5,0,IF(MAX(E38:G38)&gt;G43+3+$B$18,1,0))</f>
        <v>0</v>
      </c>
      <c r="H52" s="387" t="n">
        <f aca="false">IF(4&lt;5,0,IF(MAX(E38:H38)&gt;H43+3+$B$18,1,0))</f>
        <v>0</v>
      </c>
      <c r="I52" s="387" t="n">
        <f aca="false">IF(5&lt;5,0,IF(MAX(E38:I38)&gt;I43+3+$B$18,1,0))</f>
        <v>0</v>
      </c>
      <c r="J52" s="387" t="n">
        <f aca="false">IF(6&lt;5,0,IF(MAX(E38:J38)&gt;J43+3+$B$18,1,0))</f>
        <v>0</v>
      </c>
      <c r="K52" s="387" t="n">
        <f aca="false">IF(7&lt;5,0,IF(MAX(F38:K38)&gt;K43+3+$B$18,1,0))</f>
        <v>0</v>
      </c>
      <c r="L52" s="387" t="n">
        <f aca="false">IF(8&lt;5,0,IF(MAX(G38:L38)&gt;L43+3+$B$18,1,0))</f>
        <v>0</v>
      </c>
      <c r="M52" s="387" t="n">
        <f aca="false">IF(9&lt;5,0,IF(MAX(H38:M38)&gt;M43+3+$B$18,1,0))</f>
        <v>0</v>
      </c>
      <c r="N52" s="387" t="n">
        <f aca="false">IF(10&lt;5,0,IF(MAX(I38:N38)&gt;N43+3+$B$18,1,0))</f>
        <v>0</v>
      </c>
      <c r="O52" s="387" t="n">
        <f aca="false">IF(11&lt;5,0,IF(MAX(J38:O38)&gt;O43+3+$B$18,1,0))</f>
        <v>0</v>
      </c>
      <c r="P52" s="387" t="n">
        <f aca="false">IF(12&lt;5,0,IF(MAX(K38:P38)&gt;P43+3+$B$18,1,0))</f>
        <v>0</v>
      </c>
      <c r="Q52" s="387" t="n">
        <f aca="false">IF(13&lt;5,0,IF(MAX(L38:Q38)&gt;Q43+3+$B$18,1,0))</f>
        <v>1</v>
      </c>
      <c r="R52" s="387" t="n">
        <f aca="false">IF(14&lt;5,0,IF(MAX(M38:R38)&gt;R43+3+$B$18,1,0))</f>
        <v>1</v>
      </c>
      <c r="S52" s="387" t="n">
        <f aca="false">IF(15&lt;5,0,IF(MAX(N38:S38)&gt;S43+3+$B$18,1,0))</f>
        <v>1</v>
      </c>
      <c r="T52" s="387" t="n">
        <f aca="false">IF(16&lt;5,0,IF(MAX(O38:T38)&gt;T43+3+$B$18,1,0))</f>
        <v>1</v>
      </c>
      <c r="U52" s="387" t="n">
        <f aca="false">IF(17&lt;5,0,IF(MAX(P38:U38)&gt;U43+3+$B$18,1,0))</f>
        <v>1</v>
      </c>
      <c r="V52" s="387" t="n">
        <f aca="false">IF(18&lt;5,0,IF(MAX(Q38:V38)&gt;V43+3+$B$18,1,0))</f>
        <v>1</v>
      </c>
      <c r="W52" s="387" t="n">
        <f aca="false">IF(19&lt;5,0,IF(MAX(R38:W38)&gt;W43+3+$B$18,1,0))</f>
        <v>1</v>
      </c>
      <c r="X52" s="387" t="n">
        <f aca="false">IF(20&lt;5,0,IF(MAX(S38:X38)&gt;X43+3+$B$18,1,0))</f>
        <v>1</v>
      </c>
      <c r="Y52" s="387" t="n">
        <f aca="false">IF(21&lt;5,0,IF(MAX(T38:Y38)&gt;Y43+3+$B$18,1,0))</f>
        <v>1</v>
      </c>
      <c r="Z52" s="387" t="n">
        <f aca="false">IF(22&lt;5,0,IF(MAX(U38:Z38)&gt;Z43+3+$B$18,1,0))</f>
        <v>1</v>
      </c>
      <c r="AA52" s="387" t="n">
        <f aca="false">IF(23&lt;5,0,IF(MAX(V38:AA38)&gt;AA43+3+$B$18,1,0))</f>
        <v>1</v>
      </c>
      <c r="AB52" s="387" t="n">
        <f aca="false">IF(24&lt;5,0,IF(MAX(W38:AB38)&gt;AB43+3+$B$18,1,0))</f>
        <v>1</v>
      </c>
      <c r="AC52" s="387" t="n">
        <f aca="false">IF(25&lt;5,0,IF(MAX(X38:AC38)&gt;AC43+3+$B$18,1,0))</f>
        <v>1</v>
      </c>
      <c r="AD52" s="387" t="n">
        <f aca="false">IF(26&lt;5,0,IF(MAX(Y38:AD38)&gt;AD43+3+$B$18,1,0))</f>
        <v>1</v>
      </c>
      <c r="AE52" s="387" t="n">
        <f aca="false">IF(27&lt;5,0,IF(MAX(Z38:AE38)&gt;AE43+3+$B$18,1,0))</f>
        <v>1</v>
      </c>
      <c r="AF52" s="387" t="n">
        <f aca="false">IF(28&lt;5,0,IF(MAX(AA38:AF38)&gt;AF43+3+$B$18,1,0))</f>
        <v>1</v>
      </c>
      <c r="AG52" s="387" t="n">
        <f aca="false">IF(29&lt;5,0,IF(MAX(AB38:AG38)&gt;AG43+3+$B$18,1,0))</f>
        <v>1</v>
      </c>
      <c r="AH52" s="387" t="n">
        <f aca="false">IF(30&lt;5,0,IF(MAX(AC38:AH38)&gt;AH43+3+$B$18,1,0))</f>
        <v>0</v>
      </c>
      <c r="AI52" s="387" t="n">
        <f aca="false">IF(31&lt;5,0,IF(MAX(AD38:AI38)&gt;AI43+3+$B$18,1,0))</f>
        <v>0</v>
      </c>
      <c r="AJ52" s="387" t="n">
        <f aca="false">IF(32&lt;5,0,IF(MAX(AE38:AJ38)&gt;AJ43+3+$B$18,1,0))</f>
        <v>0</v>
      </c>
      <c r="AK52" s="387" t="n">
        <f aca="false">IF(33&lt;5,0,IF(MAX(AF38:AK38)&gt;AK43+3+$B$18,1,0))</f>
        <v>0</v>
      </c>
      <c r="AL52" s="387" t="n">
        <f aca="false">IF(34&lt;5,0,IF(MAX(AG38:AL38)&gt;AL43+3+$B$18,1,0))</f>
        <v>0</v>
      </c>
      <c r="AM52" s="387" t="n">
        <f aca="false">IF(35&lt;5,0,IF(MAX(AH38:AM38)&gt;AM43+3+$B$18,1,0))</f>
        <v>0</v>
      </c>
      <c r="AN52" s="387" t="n">
        <f aca="false">IF(36&lt;5,0,IF(MAX(AI38:AN38)&gt;AN43+3+$B$18,1,0))</f>
        <v>0</v>
      </c>
      <c r="AO52" s="387" t="n">
        <f aca="false">IF(37&lt;5,0,IF(MAX(AJ38:AO38)&gt;AO43+3+$B$18,1,0))</f>
        <v>0</v>
      </c>
      <c r="AP52" s="387" t="n">
        <f aca="false">IF(38&lt;5,0,IF(MAX(AK38:AP38)&gt;AP43+3+$B$18,1,0))</f>
        <v>0</v>
      </c>
      <c r="AQ52" s="387" t="n">
        <f aca="false">IF(39&lt;5,0,IF(MAX(AL38:AQ38)&gt;AQ43+3+$B$18,1,0))</f>
        <v>0</v>
      </c>
      <c r="AR52" s="387" t="n">
        <f aca="false">IF(40&lt;5,0,IF(MAX(AM38:AR38)&gt;AR43+3+$B$18,1,0))</f>
        <v>0</v>
      </c>
      <c r="AS52" s="387" t="n">
        <f aca="false">IF(41&lt;5,0,IF(MAX(AN38:AS38)&gt;AS43+3+$B$18,1,0))</f>
        <v>0</v>
      </c>
      <c r="AT52" s="387" t="n">
        <f aca="false">IF(42&lt;5,0,IF(MAX(AO38:AT38)&gt;AT43+3+$B$18,1,0))</f>
        <v>0</v>
      </c>
      <c r="AU52" s="387" t="n">
        <f aca="false">IF(43&lt;5,0,IF(MAX(AP38:AU38)&gt;AU43+3+$B$18,1,0))</f>
        <v>0</v>
      </c>
      <c r="AV52" s="387" t="n">
        <f aca="false">IF(44&lt;5,0,IF(MAX(AQ38:AV38)&gt;AV43+3+$B$18,1,0))</f>
        <v>0</v>
      </c>
      <c r="AW52" s="387" t="n">
        <f aca="false">IF(45&lt;5,0,IF(MAX(AR38:AW38)&gt;AW43+3+$B$18,1,0))</f>
        <v>0</v>
      </c>
      <c r="AX52" s="387" t="n">
        <f aca="false">IF(46&lt;5,0,IF(MAX(AS38:AX38)&gt;AX43+3+$B$18,1,0))</f>
        <v>0</v>
      </c>
      <c r="AY52" s="387" t="n">
        <f aca="false">IF(47&lt;5,0,IF(MAX(AT38:AY38)&gt;AY43+3+$B$18,1,0))</f>
        <v>0</v>
      </c>
      <c r="AZ52" s="387" t="n">
        <f aca="false">IF(48&lt;5,0,IF(MAX(AU38:AZ38)&gt;AZ43+3+$B$18,1,0))</f>
        <v>0</v>
      </c>
      <c r="BA52" s="387" t="n">
        <f aca="false">IF(49&lt;5,0,IF(MAX(AV38:BA38)&gt;BA43+3+$B$18,1,0))</f>
        <v>0</v>
      </c>
      <c r="BB52" s="387" t="n">
        <f aca="false">IF(50&lt;5,0,IF(MAX(AW38:BB38)&gt;BB43+3+$B$18,1,0))</f>
        <v>0</v>
      </c>
      <c r="BC52" s="387" t="n">
        <f aca="false">IF(51&lt;5,0,IF(MAX(AX38:BC38)&gt;BC43+3+$B$18,1,0))</f>
        <v>0</v>
      </c>
      <c r="BD52" s="387" t="n">
        <f aca="false">IF(52&lt;5,0,IF(MAX(AY38:BD38)&gt;BD43+3+$B$18,1,0))</f>
        <v>0</v>
      </c>
      <c r="BE52" s="387" t="n">
        <f aca="false">IF(53&lt;5,0,IF(MAX(AZ38:BE38)&gt;BE43+3+$B$18,1,0))</f>
        <v>0</v>
      </c>
      <c r="BF52" s="387" t="n">
        <f aca="false">IF(54&lt;5,0,IF(MAX(BA38:BF38)&gt;BF43+3+$B$18,1,0))</f>
        <v>0</v>
      </c>
      <c r="BG52" s="387" t="n">
        <f aca="false">IF(55&lt;5,0,IF(MAX(BB38:BG38)&gt;BG43+3+$B$18,1,0))</f>
        <v>0</v>
      </c>
      <c r="BH52" s="387" t="n">
        <f aca="false">IF(56&lt;5,0,IF(MAX(BC38:BH38)&gt;BH43+3+$B$18,1,0))</f>
        <v>0</v>
      </c>
      <c r="BI52" s="387" t="n">
        <f aca="false">IF(57&lt;5,0,IF(MAX(BD38:BI38)&gt;BI43+3+$B$18,1,0))</f>
        <v>0</v>
      </c>
      <c r="BJ52" s="387" t="n">
        <f aca="false">IF(58&lt;5,0,IF(MAX(BE38:BJ38)&gt;BJ43+3+$B$18,1,0))</f>
        <v>0</v>
      </c>
      <c r="BK52" s="387" t="n">
        <f aca="false">IF(59&lt;5,0,IF(MAX(BF38:BK38)&gt;BK43+3+$B$18,1,0))</f>
        <v>0</v>
      </c>
      <c r="BL52" s="387" t="n">
        <f aca="false">IF(60&lt;5,0,IF(MAX(BG38:BL38)&gt;BL43+3+$B$18,1,0))</f>
        <v>0</v>
      </c>
      <c r="BM52" s="387" t="n">
        <f aca="false">IF(61&lt;5,0,IF(MAX(BH38:BM38)&gt;BM43+3+$B$18,1,0))</f>
        <v>0</v>
      </c>
      <c r="BN52" s="387" t="n">
        <f aca="false">IF(62&lt;5,0,IF(MAX(BI38:BN38)&gt;BN43+3+$B$18,1,0))</f>
        <v>0</v>
      </c>
      <c r="BO52" s="387" t="n">
        <f aca="false">IF(63&lt;5,0,IF(MAX(BJ38:BO38)&gt;BO43+3+$B$18,1,0))</f>
        <v>0</v>
      </c>
      <c r="BP52" s="387" t="n">
        <f aca="false">IF(64&lt;5,0,IF(MAX(BK38:BP38)&gt;BP43+3+$B$18,1,0))</f>
        <v>0</v>
      </c>
      <c r="BQ52" s="387" t="n">
        <f aca="false">IF(65&lt;5,0,IF(MAX(BL38:BQ38)&gt;BQ43+3+$B$18,1,0))</f>
        <v>0</v>
      </c>
      <c r="BR52" s="387" t="n">
        <f aca="false">IF(66&lt;5,0,IF(MAX(BM38:BR38)&gt;BR43+3+$B$18,1,0))</f>
        <v>0</v>
      </c>
      <c r="BS52" s="387" t="n">
        <f aca="false">IF(67&lt;5,0,IF(MAX(BN38:BS38)&gt;BS43+3+$B$18,1,0))</f>
        <v>0</v>
      </c>
      <c r="BT52" s="387" t="n">
        <f aca="false">IF(68&lt;5,0,IF(MAX(BO38:BT38)&gt;BT43+3+$B$18,1,0))</f>
        <v>0</v>
      </c>
      <c r="BU52" s="387" t="n">
        <f aca="false">IF(69&lt;5,0,IF(MAX(BP38:BU38)&gt;BU43+3+$B$18,1,0))</f>
        <v>0</v>
      </c>
      <c r="BV52" s="387" t="n">
        <f aca="false">IF(70&lt;5,0,IF(MAX(BQ38:BV38)&gt;BV43+3+$B$18,1,0))</f>
        <v>0</v>
      </c>
      <c r="BW52" s="387" t="n">
        <f aca="false">IF(71&lt;5,0,IF(MAX(BR38:BW38)&gt;BW43+3+$B$18,1,0))</f>
        <v>0</v>
      </c>
      <c r="BX52" s="387" t="n">
        <f aca="false">IF(72&lt;5,0,IF(MAX(BS38:BX38)&gt;BX43+3+$B$18,1,0))</f>
        <v>0</v>
      </c>
      <c r="BY52" s="387" t="n">
        <f aca="false">IF(73&lt;5,0,IF(MAX(BT38:BY38)&gt;BY43+3+$B$18,1,0))</f>
        <v>0</v>
      </c>
      <c r="BZ52" s="387" t="n">
        <f aca="false">IF(74&lt;5,0,IF(MAX(BU38:BZ38)&gt;BZ43+3+$B$18,1,0))</f>
        <v>0</v>
      </c>
      <c r="CA52" s="387" t="n">
        <f aca="false">IF(75&lt;5,0,IF(MAX(BV38:CA38)&gt;CA43+3+$B$18,1,0))</f>
        <v>0</v>
      </c>
      <c r="CB52" s="387" t="n">
        <f aca="false">IF(76&lt;5,0,IF(MAX(BW38:CB38)&gt;CB43+3+$B$18,1,0))</f>
        <v>0</v>
      </c>
      <c r="CC52" s="387" t="n">
        <f aca="false">IF(77&lt;5,0,IF(MAX(BX38:CC38)&gt;CC43+3+$B$18,1,0))</f>
        <v>0</v>
      </c>
      <c r="CD52" s="387" t="n">
        <f aca="false">IF(78&lt;5,0,IF(MAX(BY38:CD38)&gt;CD43+3+$B$18,1,0))</f>
        <v>0</v>
      </c>
      <c r="CE52" s="387" t="n">
        <f aca="false">IF(79&lt;5,0,IF(MAX(BZ38:CE38)&gt;CE43+3+$B$18,1,0))</f>
        <v>0</v>
      </c>
      <c r="CF52" s="387" t="n">
        <f aca="false">IF(80&lt;5,0,IF(MAX(CA38:CF38)&gt;CF43+3+$B$18,1,0))</f>
        <v>0</v>
      </c>
      <c r="CG52" s="387" t="n">
        <f aca="false">IF(81&lt;5,0,IF(MAX(CB38:CG38)&gt;CG43+3+$B$18,1,0))</f>
        <v>0</v>
      </c>
      <c r="CH52" s="387" t="n">
        <f aca="false">IF(82&lt;5,0,IF(MAX(CC38:CH38)&gt;CH43+3+$B$18,1,0))</f>
        <v>0</v>
      </c>
      <c r="CI52" s="387" t="n">
        <f aca="false">IF(83&lt;5,0,IF(MAX(CD38:CI38)&gt;CI43+3+$B$18,1,0))</f>
        <v>0</v>
      </c>
      <c r="CJ52" s="387" t="n">
        <f aca="false">IF(84&lt;5,0,IF(MAX(CE38:CJ38)&gt;CJ43+3+$B$18,1,0))</f>
        <v>0</v>
      </c>
      <c r="CK52" s="387" t="n">
        <f aca="false">IF(85&lt;5,0,IF(MAX(CF38:CK38)&gt;CK43+3+$B$18,1,0))</f>
        <v>0</v>
      </c>
      <c r="CL52" s="387" t="n">
        <f aca="false">IF(86&lt;5,0,IF(MAX(CG38:CL38)&gt;CL43+3+$B$18,1,0))</f>
        <v>0</v>
      </c>
      <c r="CM52" s="387" t="n">
        <f aca="false">IF(87&lt;5,0,IF(MAX(CH38:CM38)&gt;CM43+3+$B$18,1,0))</f>
        <v>0</v>
      </c>
      <c r="CN52" s="387" t="n">
        <f aca="false">IF(88&lt;5,0,IF(MAX(CI38:CN38)&gt;CN43+3+$B$18,1,0))</f>
        <v>0</v>
      </c>
      <c r="CO52" s="387" t="n">
        <f aca="false">IF(89&lt;5,0,IF(MAX(CJ38:CO38)&gt;CO43+3+$B$18,1,0))</f>
        <v>0</v>
      </c>
      <c r="CP52" s="387" t="n">
        <f aca="false">IF(90&lt;5,0,IF(MAX(CK38:CP38)&gt;CP43+3+$B$18,1,0))</f>
        <v>0</v>
      </c>
      <c r="CQ52" s="387" t="n">
        <f aca="false">IF(91&lt;5,0,IF(MAX(CL38:CQ38)&gt;CQ43+3+$B$18,1,0))</f>
        <v>0</v>
      </c>
      <c r="CR52" s="387" t="n">
        <f aca="false">IF(92&lt;5,0,IF(MAX(CM38:CR38)&gt;CR43+3+$B$18,1,0))</f>
        <v>0</v>
      </c>
      <c r="CS52" s="387" t="n">
        <f aca="false">IF(93&lt;5,0,IF(MAX(CN38:CS38)&gt;CS43+3+$B$18,1,0))</f>
        <v>0</v>
      </c>
      <c r="CT52" s="387" t="n">
        <f aca="false">IF(94&lt;5,0,IF(MAX(CO38:CT38)&gt;CT43+3+$B$18,1,0))</f>
        <v>0</v>
      </c>
      <c r="CU52" s="387" t="n">
        <f aca="false">IF(95&lt;5,0,IF(MAX(CP38:CU38)&gt;CU43+3+$B$18,1,0))</f>
        <v>0</v>
      </c>
      <c r="CV52" s="387" t="n">
        <f aca="false">IF(96&lt;5,0,IF(MAX(CQ38:CV38)&gt;CV43+3+$B$18,1,0))</f>
        <v>0</v>
      </c>
      <c r="CW52" s="387" t="n">
        <f aca="false">IF(97&lt;5,0,IF(MAX(CR38:CW38)&gt;CW43+3+$B$18,1,0))</f>
        <v>0</v>
      </c>
      <c r="CX52" s="387" t="n">
        <f aca="false">IF(98&lt;5,0,IF(MAX(CS38:CX38)&gt;CX43+3+$B$18,1,0))</f>
        <v>0</v>
      </c>
      <c r="CY52" s="387" t="n">
        <f aca="false">IF(99&lt;5,0,IF(MAX(CT38:CY38)&gt;CY43+3+$B$18,1,0))</f>
        <v>0</v>
      </c>
      <c r="CZ52" s="387" t="n">
        <f aca="false">IF(100&lt;5,0,IF(MAX(CU38:CZ38)&gt;CZ43+3+$B$18,1,0))</f>
        <v>0</v>
      </c>
      <c r="DA52" s="387" t="n">
        <f aca="false">IF(101&lt;5,0,IF(MAX(CV38:DA38)&gt;DA43+3+$B$18,1,0))</f>
        <v>0</v>
      </c>
      <c r="DB52" s="387" t="n">
        <f aca="false">IF(102&lt;5,0,IF(MAX(CW38:DB38)&gt;DB43+3+$B$18,1,0))</f>
        <v>0</v>
      </c>
      <c r="DC52" s="387" t="n">
        <f aca="false">IF(103&lt;5,0,IF(MAX(CX38:DC38)&gt;DC43+3+$B$18,1,0))</f>
        <v>0</v>
      </c>
      <c r="DD52" s="387" t="n">
        <f aca="false">IF(104&lt;5,0,IF(MAX(CY38:DD38)&gt;DD43+3+$B$18,1,0))</f>
        <v>0</v>
      </c>
      <c r="DE52" s="387" t="n">
        <f aca="false">IF(105&lt;5,0,IF(MAX(CZ38:DE38)&gt;DE43+3+$B$18,1,0))</f>
        <v>0</v>
      </c>
    </row>
    <row r="53" customFormat="false" ht="13.5" hidden="false" customHeight="true" outlineLevel="0" collapsed="false">
      <c r="A53" s="110" t="s">
        <v>1391</v>
      </c>
      <c r="B53" s="213" t="n">
        <f aca="false">$B$26</f>
        <v>160000</v>
      </c>
      <c r="E53" s="387" t="n">
        <f aca="false">IF(1&lt;5,0,IF(MAX(E38:E38)&gt;E43+4+$B$18,1,0))</f>
        <v>0</v>
      </c>
      <c r="F53" s="387" t="n">
        <f aca="false">IF(2&lt;5,0,IF(MAX(E38:F38)&gt;F43+4+$B$18,1,0))</f>
        <v>0</v>
      </c>
      <c r="G53" s="387" t="n">
        <f aca="false">IF(3&lt;5,0,IF(MAX(E38:G38)&gt;G43+4+$B$18,1,0))</f>
        <v>0</v>
      </c>
      <c r="H53" s="387" t="n">
        <f aca="false">IF(4&lt;5,0,IF(MAX(E38:H38)&gt;H43+4+$B$18,1,0))</f>
        <v>0</v>
      </c>
      <c r="I53" s="387" t="n">
        <f aca="false">IF(5&lt;5,0,IF(MAX(E38:I38)&gt;I43+4+$B$18,1,0))</f>
        <v>0</v>
      </c>
      <c r="J53" s="387" t="n">
        <f aca="false">IF(6&lt;5,0,IF(MAX(E38:J38)&gt;J43+4+$B$18,1,0))</f>
        <v>0</v>
      </c>
      <c r="K53" s="387" t="n">
        <f aca="false">IF(7&lt;5,0,IF(MAX(F38:K38)&gt;K43+4+$B$18,1,0))</f>
        <v>0</v>
      </c>
      <c r="L53" s="387" t="n">
        <f aca="false">IF(8&lt;5,0,IF(MAX(G38:L38)&gt;L43+4+$B$18,1,0))</f>
        <v>0</v>
      </c>
      <c r="M53" s="387" t="n">
        <f aca="false">IF(9&lt;5,0,IF(MAX(H38:M38)&gt;M43+4+$B$18,1,0))</f>
        <v>0</v>
      </c>
      <c r="N53" s="387" t="n">
        <f aca="false">IF(10&lt;5,0,IF(MAX(I38:N38)&gt;N43+4+$B$18,1,0))</f>
        <v>0</v>
      </c>
      <c r="O53" s="387" t="n">
        <f aca="false">IF(11&lt;5,0,IF(MAX(J38:O38)&gt;O43+4+$B$18,1,0))</f>
        <v>0</v>
      </c>
      <c r="P53" s="387" t="n">
        <f aca="false">IF(12&lt;5,0,IF(MAX(K38:P38)&gt;P43+4+$B$18,1,0))</f>
        <v>0</v>
      </c>
      <c r="Q53" s="387" t="n">
        <f aca="false">IF(13&lt;5,0,IF(MAX(L38:Q38)&gt;Q43+4+$B$18,1,0))</f>
        <v>0</v>
      </c>
      <c r="R53" s="387" t="n">
        <f aca="false">IF(14&lt;5,0,IF(MAX(M38:R38)&gt;R43+4+$B$18,1,0))</f>
        <v>1</v>
      </c>
      <c r="S53" s="387" t="n">
        <f aca="false">IF(15&lt;5,0,IF(MAX(N38:S38)&gt;S43+4+$B$18,1,0))</f>
        <v>1</v>
      </c>
      <c r="T53" s="387" t="n">
        <f aca="false">IF(16&lt;5,0,IF(MAX(O38:T38)&gt;T43+4+$B$18,1,0))</f>
        <v>1</v>
      </c>
      <c r="U53" s="387" t="n">
        <f aca="false">IF(17&lt;5,0,IF(MAX(P38:U38)&gt;U43+4+$B$18,1,0))</f>
        <v>1</v>
      </c>
      <c r="V53" s="387" t="n">
        <f aca="false">IF(18&lt;5,0,IF(MAX(Q38:V38)&gt;V43+4+$B$18,1,0))</f>
        <v>1</v>
      </c>
      <c r="W53" s="387" t="n">
        <f aca="false">IF(19&lt;5,0,IF(MAX(R38:W38)&gt;W43+4+$B$18,1,0))</f>
        <v>1</v>
      </c>
      <c r="X53" s="387" t="n">
        <f aca="false">IF(20&lt;5,0,IF(MAX(S38:X38)&gt;X43+4+$B$18,1,0))</f>
        <v>1</v>
      </c>
      <c r="Y53" s="387" t="n">
        <f aca="false">IF(21&lt;5,0,IF(MAX(T38:Y38)&gt;Y43+4+$B$18,1,0))</f>
        <v>1</v>
      </c>
      <c r="Z53" s="387" t="n">
        <f aca="false">IF(22&lt;5,0,IF(MAX(U38:Z38)&gt;Z43+4+$B$18,1,0))</f>
        <v>1</v>
      </c>
      <c r="AA53" s="387" t="n">
        <f aca="false">IF(23&lt;5,0,IF(MAX(V38:AA38)&gt;AA43+4+$B$18,1,0))</f>
        <v>1</v>
      </c>
      <c r="AB53" s="387" t="n">
        <f aca="false">IF(24&lt;5,0,IF(MAX(W38:AB38)&gt;AB43+4+$B$18,1,0))</f>
        <v>1</v>
      </c>
      <c r="AC53" s="387" t="n">
        <f aca="false">IF(25&lt;5,0,IF(MAX(X38:AC38)&gt;AC43+4+$B$18,1,0))</f>
        <v>1</v>
      </c>
      <c r="AD53" s="387" t="n">
        <f aca="false">IF(26&lt;5,0,IF(MAX(Y38:AD38)&gt;AD43+4+$B$18,1,0))</f>
        <v>0</v>
      </c>
      <c r="AE53" s="387" t="n">
        <f aca="false">IF(27&lt;5,0,IF(MAX(Z38:AE38)&gt;AE43+4+$B$18,1,0))</f>
        <v>0</v>
      </c>
      <c r="AF53" s="387" t="n">
        <f aca="false">IF(28&lt;5,0,IF(MAX(AA38:AF38)&gt;AF43+4+$B$18,1,0))</f>
        <v>0</v>
      </c>
      <c r="AG53" s="387" t="n">
        <f aca="false">IF(29&lt;5,0,IF(MAX(AB38:AG38)&gt;AG43+4+$B$18,1,0))</f>
        <v>0</v>
      </c>
      <c r="AH53" s="387" t="n">
        <f aca="false">IF(30&lt;5,0,IF(MAX(AC38:AH38)&gt;AH43+4+$B$18,1,0))</f>
        <v>0</v>
      </c>
      <c r="AI53" s="387" t="n">
        <f aca="false">IF(31&lt;5,0,IF(MAX(AD38:AI38)&gt;AI43+4+$B$18,1,0))</f>
        <v>0</v>
      </c>
      <c r="AJ53" s="387" t="n">
        <f aca="false">IF(32&lt;5,0,IF(MAX(AE38:AJ38)&gt;AJ43+4+$B$18,1,0))</f>
        <v>0</v>
      </c>
      <c r="AK53" s="387" t="n">
        <f aca="false">IF(33&lt;5,0,IF(MAX(AF38:AK38)&gt;AK43+4+$B$18,1,0))</f>
        <v>0</v>
      </c>
      <c r="AL53" s="387" t="n">
        <f aca="false">IF(34&lt;5,0,IF(MAX(AG38:AL38)&gt;AL43+4+$B$18,1,0))</f>
        <v>0</v>
      </c>
      <c r="AM53" s="387" t="n">
        <f aca="false">IF(35&lt;5,0,IF(MAX(AH38:AM38)&gt;AM43+4+$B$18,1,0))</f>
        <v>0</v>
      </c>
      <c r="AN53" s="387" t="n">
        <f aca="false">IF(36&lt;5,0,IF(MAX(AI38:AN38)&gt;AN43+4+$B$18,1,0))</f>
        <v>0</v>
      </c>
      <c r="AO53" s="387" t="n">
        <f aca="false">IF(37&lt;5,0,IF(MAX(AJ38:AO38)&gt;AO43+4+$B$18,1,0))</f>
        <v>0</v>
      </c>
      <c r="AP53" s="387" t="n">
        <f aca="false">IF(38&lt;5,0,IF(MAX(AK38:AP38)&gt;AP43+4+$B$18,1,0))</f>
        <v>0</v>
      </c>
      <c r="AQ53" s="387" t="n">
        <f aca="false">IF(39&lt;5,0,IF(MAX(AL38:AQ38)&gt;AQ43+4+$B$18,1,0))</f>
        <v>0</v>
      </c>
      <c r="AR53" s="387" t="n">
        <f aca="false">IF(40&lt;5,0,IF(MAX(AM38:AR38)&gt;AR43+4+$B$18,1,0))</f>
        <v>0</v>
      </c>
      <c r="AS53" s="387" t="n">
        <f aca="false">IF(41&lt;5,0,IF(MAX(AN38:AS38)&gt;AS43+4+$B$18,1,0))</f>
        <v>0</v>
      </c>
      <c r="AT53" s="387" t="n">
        <f aca="false">IF(42&lt;5,0,IF(MAX(AO38:AT38)&gt;AT43+4+$B$18,1,0))</f>
        <v>0</v>
      </c>
      <c r="AU53" s="387" t="n">
        <f aca="false">IF(43&lt;5,0,IF(MAX(AP38:AU38)&gt;AU43+4+$B$18,1,0))</f>
        <v>0</v>
      </c>
      <c r="AV53" s="387" t="n">
        <f aca="false">IF(44&lt;5,0,IF(MAX(AQ38:AV38)&gt;AV43+4+$B$18,1,0))</f>
        <v>0</v>
      </c>
      <c r="AW53" s="387" t="n">
        <f aca="false">IF(45&lt;5,0,IF(MAX(AR38:AW38)&gt;AW43+4+$B$18,1,0))</f>
        <v>0</v>
      </c>
      <c r="AX53" s="387" t="n">
        <f aca="false">IF(46&lt;5,0,IF(MAX(AS38:AX38)&gt;AX43+4+$B$18,1,0))</f>
        <v>0</v>
      </c>
      <c r="AY53" s="387" t="n">
        <f aca="false">IF(47&lt;5,0,IF(MAX(AT38:AY38)&gt;AY43+4+$B$18,1,0))</f>
        <v>0</v>
      </c>
      <c r="AZ53" s="387" t="n">
        <f aca="false">IF(48&lt;5,0,IF(MAX(AU38:AZ38)&gt;AZ43+4+$B$18,1,0))</f>
        <v>0</v>
      </c>
      <c r="BA53" s="387" t="n">
        <f aca="false">IF(49&lt;5,0,IF(MAX(AV38:BA38)&gt;BA43+4+$B$18,1,0))</f>
        <v>0</v>
      </c>
      <c r="BB53" s="387" t="n">
        <f aca="false">IF(50&lt;5,0,IF(MAX(AW38:BB38)&gt;BB43+4+$B$18,1,0))</f>
        <v>0</v>
      </c>
      <c r="BC53" s="387" t="n">
        <f aca="false">IF(51&lt;5,0,IF(MAX(AX38:BC38)&gt;BC43+4+$B$18,1,0))</f>
        <v>0</v>
      </c>
      <c r="BD53" s="387" t="n">
        <f aca="false">IF(52&lt;5,0,IF(MAX(AY38:BD38)&gt;BD43+4+$B$18,1,0))</f>
        <v>0</v>
      </c>
      <c r="BE53" s="387" t="n">
        <f aca="false">IF(53&lt;5,0,IF(MAX(AZ38:BE38)&gt;BE43+4+$B$18,1,0))</f>
        <v>0</v>
      </c>
      <c r="BF53" s="387" t="n">
        <f aca="false">IF(54&lt;5,0,IF(MAX(BA38:BF38)&gt;BF43+4+$B$18,1,0))</f>
        <v>0</v>
      </c>
      <c r="BG53" s="387" t="n">
        <f aca="false">IF(55&lt;5,0,IF(MAX(BB38:BG38)&gt;BG43+4+$B$18,1,0))</f>
        <v>0</v>
      </c>
      <c r="BH53" s="387" t="n">
        <f aca="false">IF(56&lt;5,0,IF(MAX(BC38:BH38)&gt;BH43+4+$B$18,1,0))</f>
        <v>0</v>
      </c>
      <c r="BI53" s="387" t="n">
        <f aca="false">IF(57&lt;5,0,IF(MAX(BD38:BI38)&gt;BI43+4+$B$18,1,0))</f>
        <v>0</v>
      </c>
      <c r="BJ53" s="387" t="n">
        <f aca="false">IF(58&lt;5,0,IF(MAX(BE38:BJ38)&gt;BJ43+4+$B$18,1,0))</f>
        <v>0</v>
      </c>
      <c r="BK53" s="387" t="n">
        <f aca="false">IF(59&lt;5,0,IF(MAX(BF38:BK38)&gt;BK43+4+$B$18,1,0))</f>
        <v>0</v>
      </c>
      <c r="BL53" s="387" t="n">
        <f aca="false">IF(60&lt;5,0,IF(MAX(BG38:BL38)&gt;BL43+4+$B$18,1,0))</f>
        <v>0</v>
      </c>
      <c r="BM53" s="387" t="n">
        <f aca="false">IF(61&lt;5,0,IF(MAX(BH38:BM38)&gt;BM43+4+$B$18,1,0))</f>
        <v>0</v>
      </c>
      <c r="BN53" s="387" t="n">
        <f aca="false">IF(62&lt;5,0,IF(MAX(BI38:BN38)&gt;BN43+4+$B$18,1,0))</f>
        <v>0</v>
      </c>
      <c r="BO53" s="387" t="n">
        <f aca="false">IF(63&lt;5,0,IF(MAX(BJ38:BO38)&gt;BO43+4+$B$18,1,0))</f>
        <v>0</v>
      </c>
      <c r="BP53" s="387" t="n">
        <f aca="false">IF(64&lt;5,0,IF(MAX(BK38:BP38)&gt;BP43+4+$B$18,1,0))</f>
        <v>0</v>
      </c>
      <c r="BQ53" s="387" t="n">
        <f aca="false">IF(65&lt;5,0,IF(MAX(BL38:BQ38)&gt;BQ43+4+$B$18,1,0))</f>
        <v>0</v>
      </c>
      <c r="BR53" s="387" t="n">
        <f aca="false">IF(66&lt;5,0,IF(MAX(BM38:BR38)&gt;BR43+4+$B$18,1,0))</f>
        <v>0</v>
      </c>
      <c r="BS53" s="387" t="n">
        <f aca="false">IF(67&lt;5,0,IF(MAX(BN38:BS38)&gt;BS43+4+$B$18,1,0))</f>
        <v>0</v>
      </c>
      <c r="BT53" s="387" t="n">
        <f aca="false">IF(68&lt;5,0,IF(MAX(BO38:BT38)&gt;BT43+4+$B$18,1,0))</f>
        <v>0</v>
      </c>
      <c r="BU53" s="387" t="n">
        <f aca="false">IF(69&lt;5,0,IF(MAX(BP38:BU38)&gt;BU43+4+$B$18,1,0))</f>
        <v>0</v>
      </c>
      <c r="BV53" s="387" t="n">
        <f aca="false">IF(70&lt;5,0,IF(MAX(BQ38:BV38)&gt;BV43+4+$B$18,1,0))</f>
        <v>0</v>
      </c>
      <c r="BW53" s="387" t="n">
        <f aca="false">IF(71&lt;5,0,IF(MAX(BR38:BW38)&gt;BW43+4+$B$18,1,0))</f>
        <v>0</v>
      </c>
      <c r="BX53" s="387" t="n">
        <f aca="false">IF(72&lt;5,0,IF(MAX(BS38:BX38)&gt;BX43+4+$B$18,1,0))</f>
        <v>0</v>
      </c>
      <c r="BY53" s="387" t="n">
        <f aca="false">IF(73&lt;5,0,IF(MAX(BT38:BY38)&gt;BY43+4+$B$18,1,0))</f>
        <v>0</v>
      </c>
      <c r="BZ53" s="387" t="n">
        <f aca="false">IF(74&lt;5,0,IF(MAX(BU38:BZ38)&gt;BZ43+4+$B$18,1,0))</f>
        <v>0</v>
      </c>
      <c r="CA53" s="387" t="n">
        <f aca="false">IF(75&lt;5,0,IF(MAX(BV38:CA38)&gt;CA43+4+$B$18,1,0))</f>
        <v>0</v>
      </c>
      <c r="CB53" s="387" t="n">
        <f aca="false">IF(76&lt;5,0,IF(MAX(BW38:CB38)&gt;CB43+4+$B$18,1,0))</f>
        <v>0</v>
      </c>
      <c r="CC53" s="387" t="n">
        <f aca="false">IF(77&lt;5,0,IF(MAX(BX38:CC38)&gt;CC43+4+$B$18,1,0))</f>
        <v>0</v>
      </c>
      <c r="CD53" s="387" t="n">
        <f aca="false">IF(78&lt;5,0,IF(MAX(BY38:CD38)&gt;CD43+4+$B$18,1,0))</f>
        <v>0</v>
      </c>
      <c r="CE53" s="387" t="n">
        <f aca="false">IF(79&lt;5,0,IF(MAX(BZ38:CE38)&gt;CE43+4+$B$18,1,0))</f>
        <v>0</v>
      </c>
      <c r="CF53" s="387" t="n">
        <f aca="false">IF(80&lt;5,0,IF(MAX(CA38:CF38)&gt;CF43+4+$B$18,1,0))</f>
        <v>0</v>
      </c>
      <c r="CG53" s="387" t="n">
        <f aca="false">IF(81&lt;5,0,IF(MAX(CB38:CG38)&gt;CG43+4+$B$18,1,0))</f>
        <v>0</v>
      </c>
      <c r="CH53" s="387" t="n">
        <f aca="false">IF(82&lt;5,0,IF(MAX(CC38:CH38)&gt;CH43+4+$B$18,1,0))</f>
        <v>0</v>
      </c>
      <c r="CI53" s="387" t="n">
        <f aca="false">IF(83&lt;5,0,IF(MAX(CD38:CI38)&gt;CI43+4+$B$18,1,0))</f>
        <v>0</v>
      </c>
      <c r="CJ53" s="387" t="n">
        <f aca="false">IF(84&lt;5,0,IF(MAX(CE38:CJ38)&gt;CJ43+4+$B$18,1,0))</f>
        <v>0</v>
      </c>
      <c r="CK53" s="387" t="n">
        <f aca="false">IF(85&lt;5,0,IF(MAX(CF38:CK38)&gt;CK43+4+$B$18,1,0))</f>
        <v>0</v>
      </c>
      <c r="CL53" s="387" t="n">
        <f aca="false">IF(86&lt;5,0,IF(MAX(CG38:CL38)&gt;CL43+4+$B$18,1,0))</f>
        <v>0</v>
      </c>
      <c r="CM53" s="387" t="n">
        <f aca="false">IF(87&lt;5,0,IF(MAX(CH38:CM38)&gt;CM43+4+$B$18,1,0))</f>
        <v>0</v>
      </c>
      <c r="CN53" s="387" t="n">
        <f aca="false">IF(88&lt;5,0,IF(MAX(CI38:CN38)&gt;CN43+4+$B$18,1,0))</f>
        <v>0</v>
      </c>
      <c r="CO53" s="387" t="n">
        <f aca="false">IF(89&lt;5,0,IF(MAX(CJ38:CO38)&gt;CO43+4+$B$18,1,0))</f>
        <v>0</v>
      </c>
      <c r="CP53" s="387" t="n">
        <f aca="false">IF(90&lt;5,0,IF(MAX(CK38:CP38)&gt;CP43+4+$B$18,1,0))</f>
        <v>0</v>
      </c>
      <c r="CQ53" s="387" t="n">
        <f aca="false">IF(91&lt;5,0,IF(MAX(CL38:CQ38)&gt;CQ43+4+$B$18,1,0))</f>
        <v>0</v>
      </c>
      <c r="CR53" s="387" t="n">
        <f aca="false">IF(92&lt;5,0,IF(MAX(CM38:CR38)&gt;CR43+4+$B$18,1,0))</f>
        <v>0</v>
      </c>
      <c r="CS53" s="387" t="n">
        <f aca="false">IF(93&lt;5,0,IF(MAX(CN38:CS38)&gt;CS43+4+$B$18,1,0))</f>
        <v>0</v>
      </c>
      <c r="CT53" s="387" t="n">
        <f aca="false">IF(94&lt;5,0,IF(MAX(CO38:CT38)&gt;CT43+4+$B$18,1,0))</f>
        <v>0</v>
      </c>
      <c r="CU53" s="387" t="n">
        <f aca="false">IF(95&lt;5,0,IF(MAX(CP38:CU38)&gt;CU43+4+$B$18,1,0))</f>
        <v>0</v>
      </c>
      <c r="CV53" s="387" t="n">
        <f aca="false">IF(96&lt;5,0,IF(MAX(CQ38:CV38)&gt;CV43+4+$B$18,1,0))</f>
        <v>0</v>
      </c>
      <c r="CW53" s="387" t="n">
        <f aca="false">IF(97&lt;5,0,IF(MAX(CR38:CW38)&gt;CW43+4+$B$18,1,0))</f>
        <v>0</v>
      </c>
      <c r="CX53" s="387" t="n">
        <f aca="false">IF(98&lt;5,0,IF(MAX(CS38:CX38)&gt;CX43+4+$B$18,1,0))</f>
        <v>0</v>
      </c>
      <c r="CY53" s="387" t="n">
        <f aca="false">IF(99&lt;5,0,IF(MAX(CT38:CY38)&gt;CY43+4+$B$18,1,0))</f>
        <v>0</v>
      </c>
      <c r="CZ53" s="387" t="n">
        <f aca="false">IF(100&lt;5,0,IF(MAX(CU38:CZ38)&gt;CZ43+4+$B$18,1,0))</f>
        <v>0</v>
      </c>
      <c r="DA53" s="387" t="n">
        <f aca="false">IF(101&lt;5,0,IF(MAX(CV38:DA38)&gt;DA43+4+$B$18,1,0))</f>
        <v>0</v>
      </c>
      <c r="DB53" s="387" t="n">
        <f aca="false">IF(102&lt;5,0,IF(MAX(CW38:DB38)&gt;DB43+4+$B$18,1,0))</f>
        <v>0</v>
      </c>
      <c r="DC53" s="387" t="n">
        <f aca="false">IF(103&lt;5,0,IF(MAX(CX38:DC38)&gt;DC43+4+$B$18,1,0))</f>
        <v>0</v>
      </c>
      <c r="DD53" s="387" t="n">
        <f aca="false">IF(104&lt;5,0,IF(MAX(CY38:DD38)&gt;DD43+4+$B$18,1,0))</f>
        <v>0</v>
      </c>
      <c r="DE53" s="387" t="n">
        <f aca="false">IF(105&lt;5,0,IF(MAX(CZ38:DE38)&gt;DE43+4+$B$18,1,0))</f>
        <v>0</v>
      </c>
    </row>
    <row r="54" customFormat="false" ht="13.5" hidden="false" customHeight="true" outlineLevel="0" collapsed="false">
      <c r="A54" s="110" t="s">
        <v>1392</v>
      </c>
      <c r="B54" s="213" t="n">
        <f aca="false">$B$27</f>
        <v>125000</v>
      </c>
      <c r="E54" s="387" t="n">
        <f aca="false">IF(1&lt;5,0,IF(MAX(E38:E38)&gt;E43+5+$B$18,1,0))</f>
        <v>0</v>
      </c>
      <c r="F54" s="387" t="n">
        <f aca="false">IF(2&lt;5,0,IF(MAX(E38:F38)&gt;F43+5+$B$18,1,0))</f>
        <v>0</v>
      </c>
      <c r="G54" s="387" t="n">
        <f aca="false">IF(3&lt;5,0,IF(MAX(E38:G38)&gt;G43+5+$B$18,1,0))</f>
        <v>0</v>
      </c>
      <c r="H54" s="387" t="n">
        <f aca="false">IF(4&lt;5,0,IF(MAX(E38:H38)&gt;H43+5+$B$18,1,0))</f>
        <v>0</v>
      </c>
      <c r="I54" s="387" t="n">
        <f aca="false">IF(5&lt;5,0,IF(MAX(E38:I38)&gt;I43+5+$B$18,1,0))</f>
        <v>0</v>
      </c>
      <c r="J54" s="387" t="n">
        <f aca="false">IF(6&lt;5,0,IF(MAX(E38:J38)&gt;J43+5+$B$18,1,0))</f>
        <v>0</v>
      </c>
      <c r="K54" s="387" t="n">
        <f aca="false">IF(7&lt;5,0,IF(MAX(F38:K38)&gt;K43+5+$B$18,1,0))</f>
        <v>0</v>
      </c>
      <c r="L54" s="387" t="n">
        <f aca="false">IF(8&lt;5,0,IF(MAX(G38:L38)&gt;L43+5+$B$18,1,0))</f>
        <v>0</v>
      </c>
      <c r="M54" s="387" t="n">
        <f aca="false">IF(9&lt;5,0,IF(MAX(H38:M38)&gt;M43+5+$B$18,1,0))</f>
        <v>0</v>
      </c>
      <c r="N54" s="387" t="n">
        <f aca="false">IF(10&lt;5,0,IF(MAX(I38:N38)&gt;N43+5+$B$18,1,0))</f>
        <v>0</v>
      </c>
      <c r="O54" s="387" t="n">
        <f aca="false">IF(11&lt;5,0,IF(MAX(J38:O38)&gt;O43+5+$B$18,1,0))</f>
        <v>0</v>
      </c>
      <c r="P54" s="387" t="n">
        <f aca="false">IF(12&lt;5,0,IF(MAX(K38:P38)&gt;P43+5+$B$18,1,0))</f>
        <v>0</v>
      </c>
      <c r="Q54" s="387" t="n">
        <f aca="false">IF(13&lt;5,0,IF(MAX(L38:Q38)&gt;Q43+5+$B$18,1,0))</f>
        <v>0</v>
      </c>
      <c r="R54" s="387" t="n">
        <f aca="false">IF(14&lt;5,0,IF(MAX(M38:R38)&gt;R43+5+$B$18,1,0))</f>
        <v>0</v>
      </c>
      <c r="S54" s="387" t="n">
        <f aca="false">IF(15&lt;5,0,IF(MAX(N38:S38)&gt;S43+5+$B$18,1,0))</f>
        <v>0</v>
      </c>
      <c r="T54" s="387" t="n">
        <f aca="false">IF(16&lt;5,0,IF(MAX(O38:T38)&gt;T43+5+$B$18,1,0))</f>
        <v>1</v>
      </c>
      <c r="U54" s="387" t="n">
        <f aca="false">IF(17&lt;5,0,IF(MAX(P38:U38)&gt;U43+5+$B$18,1,0))</f>
        <v>1</v>
      </c>
      <c r="V54" s="387" t="n">
        <f aca="false">IF(18&lt;5,0,IF(MAX(Q38:V38)&gt;V43+5+$B$18,1,0))</f>
        <v>1</v>
      </c>
      <c r="W54" s="387" t="n">
        <f aca="false">IF(19&lt;5,0,IF(MAX(R38:W38)&gt;W43+5+$B$18,1,0))</f>
        <v>1</v>
      </c>
      <c r="X54" s="387" t="n">
        <f aca="false">IF(20&lt;5,0,IF(MAX(S38:X38)&gt;X43+5+$B$18,1,0))</f>
        <v>1</v>
      </c>
      <c r="Y54" s="387" t="n">
        <f aca="false">IF(21&lt;5,0,IF(MAX(T38:Y38)&gt;Y43+5+$B$18,1,0))</f>
        <v>1</v>
      </c>
      <c r="Z54" s="387" t="n">
        <f aca="false">IF(22&lt;5,0,IF(MAX(U38:Z38)&gt;Z43+5+$B$18,1,0))</f>
        <v>0</v>
      </c>
      <c r="AA54" s="387" t="n">
        <f aca="false">IF(23&lt;5,0,IF(MAX(V38:AA38)&gt;AA43+5+$B$18,1,0))</f>
        <v>0</v>
      </c>
      <c r="AB54" s="387" t="n">
        <f aca="false">IF(24&lt;5,0,IF(MAX(W38:AB38)&gt;AB43+5+$B$18,1,0))</f>
        <v>0</v>
      </c>
      <c r="AC54" s="387" t="n">
        <f aca="false">IF(25&lt;5,0,IF(MAX(X38:AC38)&gt;AC43+5+$B$18,1,0))</f>
        <v>0</v>
      </c>
      <c r="AD54" s="387" t="n">
        <f aca="false">IF(26&lt;5,0,IF(MAX(Y38:AD38)&gt;AD43+5+$B$18,1,0))</f>
        <v>0</v>
      </c>
      <c r="AE54" s="387" t="n">
        <f aca="false">IF(27&lt;5,0,IF(MAX(Z38:AE38)&gt;AE43+5+$B$18,1,0))</f>
        <v>0</v>
      </c>
      <c r="AF54" s="387" t="n">
        <f aca="false">IF(28&lt;5,0,IF(MAX(AA38:AF38)&gt;AF43+5+$B$18,1,0))</f>
        <v>0</v>
      </c>
      <c r="AG54" s="387" t="n">
        <f aca="false">IF(29&lt;5,0,IF(MAX(AB38:AG38)&gt;AG43+5+$B$18,1,0))</f>
        <v>0</v>
      </c>
      <c r="AH54" s="387" t="n">
        <f aca="false">IF(30&lt;5,0,IF(MAX(AC38:AH38)&gt;AH43+5+$B$18,1,0))</f>
        <v>0</v>
      </c>
      <c r="AI54" s="387" t="n">
        <f aca="false">IF(31&lt;5,0,IF(MAX(AD38:AI38)&gt;AI43+5+$B$18,1,0))</f>
        <v>0</v>
      </c>
      <c r="AJ54" s="387" t="n">
        <f aca="false">IF(32&lt;5,0,IF(MAX(AE38:AJ38)&gt;AJ43+5+$B$18,1,0))</f>
        <v>0</v>
      </c>
      <c r="AK54" s="387" t="n">
        <f aca="false">IF(33&lt;5,0,IF(MAX(AF38:AK38)&gt;AK43+5+$B$18,1,0))</f>
        <v>0</v>
      </c>
      <c r="AL54" s="387" t="n">
        <f aca="false">IF(34&lt;5,0,IF(MAX(AG38:AL38)&gt;AL43+5+$B$18,1,0))</f>
        <v>0</v>
      </c>
      <c r="AM54" s="387" t="n">
        <f aca="false">IF(35&lt;5,0,IF(MAX(AH38:AM38)&gt;AM43+5+$B$18,1,0))</f>
        <v>0</v>
      </c>
      <c r="AN54" s="387" t="n">
        <f aca="false">IF(36&lt;5,0,IF(MAX(AI38:AN38)&gt;AN43+5+$B$18,1,0))</f>
        <v>0</v>
      </c>
      <c r="AO54" s="387" t="n">
        <f aca="false">IF(37&lt;5,0,IF(MAX(AJ38:AO38)&gt;AO43+5+$B$18,1,0))</f>
        <v>0</v>
      </c>
      <c r="AP54" s="387" t="n">
        <f aca="false">IF(38&lt;5,0,IF(MAX(AK38:AP38)&gt;AP43+5+$B$18,1,0))</f>
        <v>0</v>
      </c>
      <c r="AQ54" s="387" t="n">
        <f aca="false">IF(39&lt;5,0,IF(MAX(AL38:AQ38)&gt;AQ43+5+$B$18,1,0))</f>
        <v>0</v>
      </c>
      <c r="AR54" s="387" t="n">
        <f aca="false">IF(40&lt;5,0,IF(MAX(AM38:AR38)&gt;AR43+5+$B$18,1,0))</f>
        <v>0</v>
      </c>
      <c r="AS54" s="387" t="n">
        <f aca="false">IF(41&lt;5,0,IF(MAX(AN38:AS38)&gt;AS43+5+$B$18,1,0))</f>
        <v>0</v>
      </c>
      <c r="AT54" s="387" t="n">
        <f aca="false">IF(42&lt;5,0,IF(MAX(AO38:AT38)&gt;AT43+5+$B$18,1,0))</f>
        <v>0</v>
      </c>
      <c r="AU54" s="387" t="n">
        <f aca="false">IF(43&lt;5,0,IF(MAX(AP38:AU38)&gt;AU43+5+$B$18,1,0))</f>
        <v>0</v>
      </c>
      <c r="AV54" s="387" t="n">
        <f aca="false">IF(44&lt;5,0,IF(MAX(AQ38:AV38)&gt;AV43+5+$B$18,1,0))</f>
        <v>0</v>
      </c>
      <c r="AW54" s="387" t="n">
        <f aca="false">IF(45&lt;5,0,IF(MAX(AR38:AW38)&gt;AW43+5+$B$18,1,0))</f>
        <v>0</v>
      </c>
      <c r="AX54" s="387" t="n">
        <f aca="false">IF(46&lt;5,0,IF(MAX(AS38:AX38)&gt;AX43+5+$B$18,1,0))</f>
        <v>0</v>
      </c>
      <c r="AY54" s="387" t="n">
        <f aca="false">IF(47&lt;5,0,IF(MAX(AT38:AY38)&gt;AY43+5+$B$18,1,0))</f>
        <v>0</v>
      </c>
      <c r="AZ54" s="387" t="n">
        <f aca="false">IF(48&lt;5,0,IF(MAX(AU38:AZ38)&gt;AZ43+5+$B$18,1,0))</f>
        <v>0</v>
      </c>
      <c r="BA54" s="387" t="n">
        <f aca="false">IF(49&lt;5,0,IF(MAX(AV38:BA38)&gt;BA43+5+$B$18,1,0))</f>
        <v>0</v>
      </c>
      <c r="BB54" s="387" t="n">
        <f aca="false">IF(50&lt;5,0,IF(MAX(AW38:BB38)&gt;BB43+5+$B$18,1,0))</f>
        <v>0</v>
      </c>
      <c r="BC54" s="387" t="n">
        <f aca="false">IF(51&lt;5,0,IF(MAX(AX38:BC38)&gt;BC43+5+$B$18,1,0))</f>
        <v>0</v>
      </c>
      <c r="BD54" s="387" t="n">
        <f aca="false">IF(52&lt;5,0,IF(MAX(AY38:BD38)&gt;BD43+5+$B$18,1,0))</f>
        <v>0</v>
      </c>
      <c r="BE54" s="387" t="n">
        <f aca="false">IF(53&lt;5,0,IF(MAX(AZ38:BE38)&gt;BE43+5+$B$18,1,0))</f>
        <v>0</v>
      </c>
      <c r="BF54" s="387" t="n">
        <f aca="false">IF(54&lt;5,0,IF(MAX(BA38:BF38)&gt;BF43+5+$B$18,1,0))</f>
        <v>0</v>
      </c>
      <c r="BG54" s="387" t="n">
        <f aca="false">IF(55&lt;5,0,IF(MAX(BB38:BG38)&gt;BG43+5+$B$18,1,0))</f>
        <v>0</v>
      </c>
      <c r="BH54" s="387" t="n">
        <f aca="false">IF(56&lt;5,0,IF(MAX(BC38:BH38)&gt;BH43+5+$B$18,1,0))</f>
        <v>0</v>
      </c>
      <c r="BI54" s="387" t="n">
        <f aca="false">IF(57&lt;5,0,IF(MAX(BD38:BI38)&gt;BI43+5+$B$18,1,0))</f>
        <v>0</v>
      </c>
      <c r="BJ54" s="387" t="n">
        <f aca="false">IF(58&lt;5,0,IF(MAX(BE38:BJ38)&gt;BJ43+5+$B$18,1,0))</f>
        <v>0</v>
      </c>
      <c r="BK54" s="387" t="n">
        <f aca="false">IF(59&lt;5,0,IF(MAX(BF38:BK38)&gt;BK43+5+$B$18,1,0))</f>
        <v>0</v>
      </c>
      <c r="BL54" s="387" t="n">
        <f aca="false">IF(60&lt;5,0,IF(MAX(BG38:BL38)&gt;BL43+5+$B$18,1,0))</f>
        <v>0</v>
      </c>
      <c r="BM54" s="387" t="n">
        <f aca="false">IF(61&lt;5,0,IF(MAX(BH38:BM38)&gt;BM43+5+$B$18,1,0))</f>
        <v>0</v>
      </c>
      <c r="BN54" s="387" t="n">
        <f aca="false">IF(62&lt;5,0,IF(MAX(BI38:BN38)&gt;BN43+5+$B$18,1,0))</f>
        <v>0</v>
      </c>
      <c r="BO54" s="387" t="n">
        <f aca="false">IF(63&lt;5,0,IF(MAX(BJ38:BO38)&gt;BO43+5+$B$18,1,0))</f>
        <v>0</v>
      </c>
      <c r="BP54" s="387" t="n">
        <f aca="false">IF(64&lt;5,0,IF(MAX(BK38:BP38)&gt;BP43+5+$B$18,1,0))</f>
        <v>0</v>
      </c>
      <c r="BQ54" s="387" t="n">
        <f aca="false">IF(65&lt;5,0,IF(MAX(BL38:BQ38)&gt;BQ43+5+$B$18,1,0))</f>
        <v>0</v>
      </c>
      <c r="BR54" s="387" t="n">
        <f aca="false">IF(66&lt;5,0,IF(MAX(BM38:BR38)&gt;BR43+5+$B$18,1,0))</f>
        <v>0</v>
      </c>
      <c r="BS54" s="387" t="n">
        <f aca="false">IF(67&lt;5,0,IF(MAX(BN38:BS38)&gt;BS43+5+$B$18,1,0))</f>
        <v>0</v>
      </c>
      <c r="BT54" s="387" t="n">
        <f aca="false">IF(68&lt;5,0,IF(MAX(BO38:BT38)&gt;BT43+5+$B$18,1,0))</f>
        <v>0</v>
      </c>
      <c r="BU54" s="387" t="n">
        <f aca="false">IF(69&lt;5,0,IF(MAX(BP38:BU38)&gt;BU43+5+$B$18,1,0))</f>
        <v>0</v>
      </c>
      <c r="BV54" s="387" t="n">
        <f aca="false">IF(70&lt;5,0,IF(MAX(BQ38:BV38)&gt;BV43+5+$B$18,1,0))</f>
        <v>0</v>
      </c>
      <c r="BW54" s="387" t="n">
        <f aca="false">IF(71&lt;5,0,IF(MAX(BR38:BW38)&gt;BW43+5+$B$18,1,0))</f>
        <v>0</v>
      </c>
      <c r="BX54" s="387" t="n">
        <f aca="false">IF(72&lt;5,0,IF(MAX(BS38:BX38)&gt;BX43+5+$B$18,1,0))</f>
        <v>0</v>
      </c>
      <c r="BY54" s="387" t="n">
        <f aca="false">IF(73&lt;5,0,IF(MAX(BT38:BY38)&gt;BY43+5+$B$18,1,0))</f>
        <v>0</v>
      </c>
      <c r="BZ54" s="387" t="n">
        <f aca="false">IF(74&lt;5,0,IF(MAX(BU38:BZ38)&gt;BZ43+5+$B$18,1,0))</f>
        <v>0</v>
      </c>
      <c r="CA54" s="387" t="n">
        <f aca="false">IF(75&lt;5,0,IF(MAX(BV38:CA38)&gt;CA43+5+$B$18,1,0))</f>
        <v>0</v>
      </c>
      <c r="CB54" s="387" t="n">
        <f aca="false">IF(76&lt;5,0,IF(MAX(BW38:CB38)&gt;CB43+5+$B$18,1,0))</f>
        <v>0</v>
      </c>
      <c r="CC54" s="387" t="n">
        <f aca="false">IF(77&lt;5,0,IF(MAX(BX38:CC38)&gt;CC43+5+$B$18,1,0))</f>
        <v>0</v>
      </c>
      <c r="CD54" s="387" t="n">
        <f aca="false">IF(78&lt;5,0,IF(MAX(BY38:CD38)&gt;CD43+5+$B$18,1,0))</f>
        <v>0</v>
      </c>
      <c r="CE54" s="387" t="n">
        <f aca="false">IF(79&lt;5,0,IF(MAX(BZ38:CE38)&gt;CE43+5+$B$18,1,0))</f>
        <v>0</v>
      </c>
      <c r="CF54" s="387" t="n">
        <f aca="false">IF(80&lt;5,0,IF(MAX(CA38:CF38)&gt;CF43+5+$B$18,1,0))</f>
        <v>0</v>
      </c>
      <c r="CG54" s="387" t="n">
        <f aca="false">IF(81&lt;5,0,IF(MAX(CB38:CG38)&gt;CG43+5+$B$18,1,0))</f>
        <v>0</v>
      </c>
      <c r="CH54" s="387" t="n">
        <f aca="false">IF(82&lt;5,0,IF(MAX(CC38:CH38)&gt;CH43+5+$B$18,1,0))</f>
        <v>0</v>
      </c>
      <c r="CI54" s="387" t="n">
        <f aca="false">IF(83&lt;5,0,IF(MAX(CD38:CI38)&gt;CI43+5+$B$18,1,0))</f>
        <v>0</v>
      </c>
      <c r="CJ54" s="387" t="n">
        <f aca="false">IF(84&lt;5,0,IF(MAX(CE38:CJ38)&gt;CJ43+5+$B$18,1,0))</f>
        <v>0</v>
      </c>
      <c r="CK54" s="387" t="n">
        <f aca="false">IF(85&lt;5,0,IF(MAX(CF38:CK38)&gt;CK43+5+$B$18,1,0))</f>
        <v>0</v>
      </c>
      <c r="CL54" s="387" t="n">
        <f aca="false">IF(86&lt;5,0,IF(MAX(CG38:CL38)&gt;CL43+5+$B$18,1,0))</f>
        <v>0</v>
      </c>
      <c r="CM54" s="387" t="n">
        <f aca="false">IF(87&lt;5,0,IF(MAX(CH38:CM38)&gt;CM43+5+$B$18,1,0))</f>
        <v>0</v>
      </c>
      <c r="CN54" s="387" t="n">
        <f aca="false">IF(88&lt;5,0,IF(MAX(CI38:CN38)&gt;CN43+5+$B$18,1,0))</f>
        <v>0</v>
      </c>
      <c r="CO54" s="387" t="n">
        <f aca="false">IF(89&lt;5,0,IF(MAX(CJ38:CO38)&gt;CO43+5+$B$18,1,0))</f>
        <v>0</v>
      </c>
      <c r="CP54" s="387" t="n">
        <f aca="false">IF(90&lt;5,0,IF(MAX(CK38:CP38)&gt;CP43+5+$B$18,1,0))</f>
        <v>0</v>
      </c>
      <c r="CQ54" s="387" t="n">
        <f aca="false">IF(91&lt;5,0,IF(MAX(CL38:CQ38)&gt;CQ43+5+$B$18,1,0))</f>
        <v>0</v>
      </c>
      <c r="CR54" s="387" t="n">
        <f aca="false">IF(92&lt;5,0,IF(MAX(CM38:CR38)&gt;CR43+5+$B$18,1,0))</f>
        <v>0</v>
      </c>
      <c r="CS54" s="387" t="n">
        <f aca="false">IF(93&lt;5,0,IF(MAX(CN38:CS38)&gt;CS43+5+$B$18,1,0))</f>
        <v>0</v>
      </c>
      <c r="CT54" s="387" t="n">
        <f aca="false">IF(94&lt;5,0,IF(MAX(CO38:CT38)&gt;CT43+5+$B$18,1,0))</f>
        <v>0</v>
      </c>
      <c r="CU54" s="387" t="n">
        <f aca="false">IF(95&lt;5,0,IF(MAX(CP38:CU38)&gt;CU43+5+$B$18,1,0))</f>
        <v>0</v>
      </c>
      <c r="CV54" s="387" t="n">
        <f aca="false">IF(96&lt;5,0,IF(MAX(CQ38:CV38)&gt;CV43+5+$B$18,1,0))</f>
        <v>0</v>
      </c>
      <c r="CW54" s="387" t="n">
        <f aca="false">IF(97&lt;5,0,IF(MAX(CR38:CW38)&gt;CW43+5+$B$18,1,0))</f>
        <v>0</v>
      </c>
      <c r="CX54" s="387" t="n">
        <f aca="false">IF(98&lt;5,0,IF(MAX(CS38:CX38)&gt;CX43+5+$B$18,1,0))</f>
        <v>0</v>
      </c>
      <c r="CY54" s="387" t="n">
        <f aca="false">IF(99&lt;5,0,IF(MAX(CT38:CY38)&gt;CY43+5+$B$18,1,0))</f>
        <v>0</v>
      </c>
      <c r="CZ54" s="387" t="n">
        <f aca="false">IF(100&lt;5,0,IF(MAX(CU38:CZ38)&gt;CZ43+5+$B$18,1,0))</f>
        <v>0</v>
      </c>
      <c r="DA54" s="387" t="n">
        <f aca="false">IF(101&lt;5,0,IF(MAX(CV38:DA38)&gt;DA43+5+$B$18,1,0))</f>
        <v>0</v>
      </c>
      <c r="DB54" s="387" t="n">
        <f aca="false">IF(102&lt;5,0,IF(MAX(CW38:DB38)&gt;DB43+5+$B$18,1,0))</f>
        <v>0</v>
      </c>
      <c r="DC54" s="387" t="n">
        <f aca="false">IF(103&lt;5,0,IF(MAX(CX38:DC38)&gt;DC43+5+$B$18,1,0))</f>
        <v>0</v>
      </c>
      <c r="DD54" s="387" t="n">
        <f aca="false">IF(104&lt;5,0,IF(MAX(CY38:DD38)&gt;DD43+5+$B$18,1,0))</f>
        <v>0</v>
      </c>
      <c r="DE54" s="387" t="n">
        <f aca="false">IF(105&lt;5,0,IF(MAX(CZ38:DE38)&gt;DE43+5+$B$18,1,0))</f>
        <v>0</v>
      </c>
    </row>
    <row r="55" customFormat="false" ht="13.5" hidden="false" customHeight="true" outlineLevel="0" collapsed="false">
      <c r="A55" s="110" t="s">
        <v>1393</v>
      </c>
      <c r="B55" s="213" t="n">
        <f aca="false">$B$27</f>
        <v>125000</v>
      </c>
      <c r="E55" s="387" t="n">
        <f aca="false">IF(1&lt;5,0,IF(MAX(E38:E38)&gt;E43+6+$B$18,1,0))</f>
        <v>0</v>
      </c>
      <c r="F55" s="387" t="n">
        <f aca="false">IF(2&lt;5,0,IF(MAX(E38:F38)&gt;F43+6+$B$18,1,0))</f>
        <v>0</v>
      </c>
      <c r="G55" s="387" t="n">
        <f aca="false">IF(3&lt;5,0,IF(MAX(E38:G38)&gt;G43+6+$B$18,1,0))</f>
        <v>0</v>
      </c>
      <c r="H55" s="387" t="n">
        <f aca="false">IF(4&lt;5,0,IF(MAX(E38:H38)&gt;H43+6+$B$18,1,0))</f>
        <v>0</v>
      </c>
      <c r="I55" s="387" t="n">
        <f aca="false">IF(5&lt;5,0,IF(MAX(E38:I38)&gt;I43+6+$B$18,1,0))</f>
        <v>0</v>
      </c>
      <c r="J55" s="387" t="n">
        <f aca="false">IF(6&lt;5,0,IF(MAX(E38:J38)&gt;J43+6+$B$18,1,0))</f>
        <v>0</v>
      </c>
      <c r="K55" s="387" t="n">
        <f aca="false">IF(7&lt;5,0,IF(MAX(F38:K38)&gt;K43+6+$B$18,1,0))</f>
        <v>0</v>
      </c>
      <c r="L55" s="387" t="n">
        <f aca="false">IF(8&lt;5,0,IF(MAX(G38:L38)&gt;L43+6+$B$18,1,0))</f>
        <v>0</v>
      </c>
      <c r="M55" s="387" t="n">
        <f aca="false">IF(9&lt;5,0,IF(MAX(H38:M38)&gt;M43+6+$B$18,1,0))</f>
        <v>0</v>
      </c>
      <c r="N55" s="387" t="n">
        <f aca="false">IF(10&lt;5,0,IF(MAX(I38:N38)&gt;N43+6+$B$18,1,0))</f>
        <v>0</v>
      </c>
      <c r="O55" s="387" t="n">
        <f aca="false">IF(11&lt;5,0,IF(MAX(J38:O38)&gt;O43+6+$B$18,1,0))</f>
        <v>0</v>
      </c>
      <c r="P55" s="387" t="n">
        <f aca="false">IF(12&lt;5,0,IF(MAX(K38:P38)&gt;P43+6+$B$18,1,0))</f>
        <v>0</v>
      </c>
      <c r="Q55" s="387" t="n">
        <f aca="false">IF(13&lt;5,0,IF(MAX(L38:Q38)&gt;Q43+6+$B$18,1,0))</f>
        <v>0</v>
      </c>
      <c r="R55" s="387" t="n">
        <f aca="false">IF(14&lt;5,0,IF(MAX(M38:R38)&gt;R43+6+$B$18,1,0))</f>
        <v>0</v>
      </c>
      <c r="S55" s="387" t="n">
        <f aca="false">IF(15&lt;5,0,IF(MAX(N38:S38)&gt;S43+6+$B$18,1,0))</f>
        <v>0</v>
      </c>
      <c r="T55" s="387" t="n">
        <f aca="false">IF(16&lt;5,0,IF(MAX(O38:T38)&gt;T43+6+$B$18,1,0))</f>
        <v>0</v>
      </c>
      <c r="U55" s="387" t="n">
        <f aca="false">IF(17&lt;5,0,IF(MAX(P38:U38)&gt;U43+6+$B$18,1,0))</f>
        <v>0</v>
      </c>
      <c r="V55" s="387" t="n">
        <f aca="false">IF(18&lt;5,0,IF(MAX(Q38:V38)&gt;V43+6+$B$18,1,0))</f>
        <v>0</v>
      </c>
      <c r="W55" s="387" t="n">
        <f aca="false">IF(19&lt;5,0,IF(MAX(R38:W38)&gt;W43+6+$B$18,1,0))</f>
        <v>0</v>
      </c>
      <c r="X55" s="387" t="n">
        <f aca="false">IF(20&lt;5,0,IF(MAX(S38:X38)&gt;X43+6+$B$18,1,0))</f>
        <v>0</v>
      </c>
      <c r="Y55" s="387" t="n">
        <f aca="false">IF(21&lt;5,0,IF(MAX(T38:Y38)&gt;Y43+6+$B$18,1,0))</f>
        <v>0</v>
      </c>
      <c r="Z55" s="387" t="n">
        <f aca="false">IF(22&lt;5,0,IF(MAX(U38:Z38)&gt;Z43+6+$B$18,1,0))</f>
        <v>0</v>
      </c>
      <c r="AA55" s="387" t="n">
        <f aca="false">IF(23&lt;5,0,IF(MAX(V38:AA38)&gt;AA43+6+$B$18,1,0))</f>
        <v>0</v>
      </c>
      <c r="AB55" s="387" t="n">
        <f aca="false">IF(24&lt;5,0,IF(MAX(W38:AB38)&gt;AB43+6+$B$18,1,0))</f>
        <v>0</v>
      </c>
      <c r="AC55" s="387" t="n">
        <f aca="false">IF(25&lt;5,0,IF(MAX(X38:AC38)&gt;AC43+6+$B$18,1,0))</f>
        <v>0</v>
      </c>
      <c r="AD55" s="387" t="n">
        <f aca="false">IF(26&lt;5,0,IF(MAX(Y38:AD38)&gt;AD43+6+$B$18,1,0))</f>
        <v>0</v>
      </c>
      <c r="AE55" s="387" t="n">
        <f aca="false">IF(27&lt;5,0,IF(MAX(Z38:AE38)&gt;AE43+6+$B$18,1,0))</f>
        <v>0</v>
      </c>
      <c r="AF55" s="387" t="n">
        <f aca="false">IF(28&lt;5,0,IF(MAX(AA38:AF38)&gt;AF43+6+$B$18,1,0))</f>
        <v>0</v>
      </c>
      <c r="AG55" s="387" t="n">
        <f aca="false">IF(29&lt;5,0,IF(MAX(AB38:AG38)&gt;AG43+6+$B$18,1,0))</f>
        <v>0</v>
      </c>
      <c r="AH55" s="387" t="n">
        <f aca="false">IF(30&lt;5,0,IF(MAX(AC38:AH38)&gt;AH43+6+$B$18,1,0))</f>
        <v>0</v>
      </c>
      <c r="AI55" s="387" t="n">
        <f aca="false">IF(31&lt;5,0,IF(MAX(AD38:AI38)&gt;AI43+6+$B$18,1,0))</f>
        <v>0</v>
      </c>
      <c r="AJ55" s="387" t="n">
        <f aca="false">IF(32&lt;5,0,IF(MAX(AE38:AJ38)&gt;AJ43+6+$B$18,1,0))</f>
        <v>0</v>
      </c>
      <c r="AK55" s="387" t="n">
        <f aca="false">IF(33&lt;5,0,IF(MAX(AF38:AK38)&gt;AK43+6+$B$18,1,0))</f>
        <v>0</v>
      </c>
      <c r="AL55" s="387" t="n">
        <f aca="false">IF(34&lt;5,0,IF(MAX(AG38:AL38)&gt;AL43+6+$B$18,1,0))</f>
        <v>0</v>
      </c>
      <c r="AM55" s="387" t="n">
        <f aca="false">IF(35&lt;5,0,IF(MAX(AH38:AM38)&gt;AM43+6+$B$18,1,0))</f>
        <v>0</v>
      </c>
      <c r="AN55" s="387" t="n">
        <f aca="false">IF(36&lt;5,0,IF(MAX(AI38:AN38)&gt;AN43+6+$B$18,1,0))</f>
        <v>0</v>
      </c>
      <c r="AO55" s="387" t="n">
        <f aca="false">IF(37&lt;5,0,IF(MAX(AJ38:AO38)&gt;AO43+6+$B$18,1,0))</f>
        <v>0</v>
      </c>
      <c r="AP55" s="387" t="n">
        <f aca="false">IF(38&lt;5,0,IF(MAX(AK38:AP38)&gt;AP43+6+$B$18,1,0))</f>
        <v>0</v>
      </c>
      <c r="AQ55" s="387" t="n">
        <f aca="false">IF(39&lt;5,0,IF(MAX(AL38:AQ38)&gt;AQ43+6+$B$18,1,0))</f>
        <v>0</v>
      </c>
      <c r="AR55" s="387" t="n">
        <f aca="false">IF(40&lt;5,0,IF(MAX(AM38:AR38)&gt;AR43+6+$B$18,1,0))</f>
        <v>0</v>
      </c>
      <c r="AS55" s="387" t="n">
        <f aca="false">IF(41&lt;5,0,IF(MAX(AN38:AS38)&gt;AS43+6+$B$18,1,0))</f>
        <v>0</v>
      </c>
      <c r="AT55" s="387" t="n">
        <f aca="false">IF(42&lt;5,0,IF(MAX(AO38:AT38)&gt;AT43+6+$B$18,1,0))</f>
        <v>0</v>
      </c>
      <c r="AU55" s="387" t="n">
        <f aca="false">IF(43&lt;5,0,IF(MAX(AP38:AU38)&gt;AU43+6+$B$18,1,0))</f>
        <v>0</v>
      </c>
      <c r="AV55" s="387" t="n">
        <f aca="false">IF(44&lt;5,0,IF(MAX(AQ38:AV38)&gt;AV43+6+$B$18,1,0))</f>
        <v>0</v>
      </c>
      <c r="AW55" s="387" t="n">
        <f aca="false">IF(45&lt;5,0,IF(MAX(AR38:AW38)&gt;AW43+6+$B$18,1,0))</f>
        <v>0</v>
      </c>
      <c r="AX55" s="387" t="n">
        <f aca="false">IF(46&lt;5,0,IF(MAX(AS38:AX38)&gt;AX43+6+$B$18,1,0))</f>
        <v>0</v>
      </c>
      <c r="AY55" s="387" t="n">
        <f aca="false">IF(47&lt;5,0,IF(MAX(AT38:AY38)&gt;AY43+6+$B$18,1,0))</f>
        <v>0</v>
      </c>
      <c r="AZ55" s="387" t="n">
        <f aca="false">IF(48&lt;5,0,IF(MAX(AU38:AZ38)&gt;AZ43+6+$B$18,1,0))</f>
        <v>0</v>
      </c>
      <c r="BA55" s="387" t="n">
        <f aca="false">IF(49&lt;5,0,IF(MAX(AV38:BA38)&gt;BA43+6+$B$18,1,0))</f>
        <v>0</v>
      </c>
      <c r="BB55" s="387" t="n">
        <f aca="false">IF(50&lt;5,0,IF(MAX(AW38:BB38)&gt;BB43+6+$B$18,1,0))</f>
        <v>0</v>
      </c>
      <c r="BC55" s="387" t="n">
        <f aca="false">IF(51&lt;5,0,IF(MAX(AX38:BC38)&gt;BC43+6+$B$18,1,0))</f>
        <v>0</v>
      </c>
      <c r="BD55" s="387" t="n">
        <f aca="false">IF(52&lt;5,0,IF(MAX(AY38:BD38)&gt;BD43+6+$B$18,1,0))</f>
        <v>0</v>
      </c>
      <c r="BE55" s="387" t="n">
        <f aca="false">IF(53&lt;5,0,IF(MAX(AZ38:BE38)&gt;BE43+6+$B$18,1,0))</f>
        <v>0</v>
      </c>
      <c r="BF55" s="387" t="n">
        <f aca="false">IF(54&lt;5,0,IF(MAX(BA38:BF38)&gt;BF43+6+$B$18,1,0))</f>
        <v>0</v>
      </c>
      <c r="BG55" s="387" t="n">
        <f aca="false">IF(55&lt;5,0,IF(MAX(BB38:BG38)&gt;BG43+6+$B$18,1,0))</f>
        <v>0</v>
      </c>
      <c r="BH55" s="387" t="n">
        <f aca="false">IF(56&lt;5,0,IF(MAX(BC38:BH38)&gt;BH43+6+$B$18,1,0))</f>
        <v>0</v>
      </c>
      <c r="BI55" s="387" t="n">
        <f aca="false">IF(57&lt;5,0,IF(MAX(BD38:BI38)&gt;BI43+6+$B$18,1,0))</f>
        <v>0</v>
      </c>
      <c r="BJ55" s="387" t="n">
        <f aca="false">IF(58&lt;5,0,IF(MAX(BE38:BJ38)&gt;BJ43+6+$B$18,1,0))</f>
        <v>0</v>
      </c>
      <c r="BK55" s="387" t="n">
        <f aca="false">IF(59&lt;5,0,IF(MAX(BF38:BK38)&gt;BK43+6+$B$18,1,0))</f>
        <v>0</v>
      </c>
      <c r="BL55" s="387" t="n">
        <f aca="false">IF(60&lt;5,0,IF(MAX(BG38:BL38)&gt;BL43+6+$B$18,1,0))</f>
        <v>0</v>
      </c>
      <c r="BM55" s="387" t="n">
        <f aca="false">IF(61&lt;5,0,IF(MAX(BH38:BM38)&gt;BM43+6+$B$18,1,0))</f>
        <v>0</v>
      </c>
      <c r="BN55" s="387" t="n">
        <f aca="false">IF(62&lt;5,0,IF(MAX(BI38:BN38)&gt;BN43+6+$B$18,1,0))</f>
        <v>0</v>
      </c>
      <c r="BO55" s="387" t="n">
        <f aca="false">IF(63&lt;5,0,IF(MAX(BJ38:BO38)&gt;BO43+6+$B$18,1,0))</f>
        <v>0</v>
      </c>
      <c r="BP55" s="387" t="n">
        <f aca="false">IF(64&lt;5,0,IF(MAX(BK38:BP38)&gt;BP43+6+$B$18,1,0))</f>
        <v>0</v>
      </c>
      <c r="BQ55" s="387" t="n">
        <f aca="false">IF(65&lt;5,0,IF(MAX(BL38:BQ38)&gt;BQ43+6+$B$18,1,0))</f>
        <v>0</v>
      </c>
      <c r="BR55" s="387" t="n">
        <f aca="false">IF(66&lt;5,0,IF(MAX(BM38:BR38)&gt;BR43+6+$B$18,1,0))</f>
        <v>0</v>
      </c>
      <c r="BS55" s="387" t="n">
        <f aca="false">IF(67&lt;5,0,IF(MAX(BN38:BS38)&gt;BS43+6+$B$18,1,0))</f>
        <v>0</v>
      </c>
      <c r="BT55" s="387" t="n">
        <f aca="false">IF(68&lt;5,0,IF(MAX(BO38:BT38)&gt;BT43+6+$B$18,1,0))</f>
        <v>0</v>
      </c>
      <c r="BU55" s="387" t="n">
        <f aca="false">IF(69&lt;5,0,IF(MAX(BP38:BU38)&gt;BU43+6+$B$18,1,0))</f>
        <v>0</v>
      </c>
      <c r="BV55" s="387" t="n">
        <f aca="false">IF(70&lt;5,0,IF(MAX(BQ38:BV38)&gt;BV43+6+$B$18,1,0))</f>
        <v>0</v>
      </c>
      <c r="BW55" s="387" t="n">
        <f aca="false">IF(71&lt;5,0,IF(MAX(BR38:BW38)&gt;BW43+6+$B$18,1,0))</f>
        <v>0</v>
      </c>
      <c r="BX55" s="387" t="n">
        <f aca="false">IF(72&lt;5,0,IF(MAX(BS38:BX38)&gt;BX43+6+$B$18,1,0))</f>
        <v>0</v>
      </c>
      <c r="BY55" s="387" t="n">
        <f aca="false">IF(73&lt;5,0,IF(MAX(BT38:BY38)&gt;BY43+6+$B$18,1,0))</f>
        <v>0</v>
      </c>
      <c r="BZ55" s="387" t="n">
        <f aca="false">IF(74&lt;5,0,IF(MAX(BU38:BZ38)&gt;BZ43+6+$B$18,1,0))</f>
        <v>0</v>
      </c>
      <c r="CA55" s="387" t="n">
        <f aca="false">IF(75&lt;5,0,IF(MAX(BV38:CA38)&gt;CA43+6+$B$18,1,0))</f>
        <v>0</v>
      </c>
      <c r="CB55" s="387" t="n">
        <f aca="false">IF(76&lt;5,0,IF(MAX(BW38:CB38)&gt;CB43+6+$B$18,1,0))</f>
        <v>0</v>
      </c>
      <c r="CC55" s="387" t="n">
        <f aca="false">IF(77&lt;5,0,IF(MAX(BX38:CC38)&gt;CC43+6+$B$18,1,0))</f>
        <v>0</v>
      </c>
      <c r="CD55" s="387" t="n">
        <f aca="false">IF(78&lt;5,0,IF(MAX(BY38:CD38)&gt;CD43+6+$B$18,1,0))</f>
        <v>0</v>
      </c>
      <c r="CE55" s="387" t="n">
        <f aca="false">IF(79&lt;5,0,IF(MAX(BZ38:CE38)&gt;CE43+6+$B$18,1,0))</f>
        <v>0</v>
      </c>
      <c r="CF55" s="387" t="n">
        <f aca="false">IF(80&lt;5,0,IF(MAX(CA38:CF38)&gt;CF43+6+$B$18,1,0))</f>
        <v>0</v>
      </c>
      <c r="CG55" s="387" t="n">
        <f aca="false">IF(81&lt;5,0,IF(MAX(CB38:CG38)&gt;CG43+6+$B$18,1,0))</f>
        <v>0</v>
      </c>
      <c r="CH55" s="387" t="n">
        <f aca="false">IF(82&lt;5,0,IF(MAX(CC38:CH38)&gt;CH43+6+$B$18,1,0))</f>
        <v>0</v>
      </c>
      <c r="CI55" s="387" t="n">
        <f aca="false">IF(83&lt;5,0,IF(MAX(CD38:CI38)&gt;CI43+6+$B$18,1,0))</f>
        <v>0</v>
      </c>
      <c r="CJ55" s="387" t="n">
        <f aca="false">IF(84&lt;5,0,IF(MAX(CE38:CJ38)&gt;CJ43+6+$B$18,1,0))</f>
        <v>0</v>
      </c>
      <c r="CK55" s="387" t="n">
        <f aca="false">IF(85&lt;5,0,IF(MAX(CF38:CK38)&gt;CK43+6+$B$18,1,0))</f>
        <v>0</v>
      </c>
      <c r="CL55" s="387" t="n">
        <f aca="false">IF(86&lt;5,0,IF(MAX(CG38:CL38)&gt;CL43+6+$B$18,1,0))</f>
        <v>0</v>
      </c>
      <c r="CM55" s="387" t="n">
        <f aca="false">IF(87&lt;5,0,IF(MAX(CH38:CM38)&gt;CM43+6+$B$18,1,0))</f>
        <v>0</v>
      </c>
      <c r="CN55" s="387" t="n">
        <f aca="false">IF(88&lt;5,0,IF(MAX(CI38:CN38)&gt;CN43+6+$B$18,1,0))</f>
        <v>0</v>
      </c>
      <c r="CO55" s="387" t="n">
        <f aca="false">IF(89&lt;5,0,IF(MAX(CJ38:CO38)&gt;CO43+6+$B$18,1,0))</f>
        <v>0</v>
      </c>
      <c r="CP55" s="387" t="n">
        <f aca="false">IF(90&lt;5,0,IF(MAX(CK38:CP38)&gt;CP43+6+$B$18,1,0))</f>
        <v>0</v>
      </c>
      <c r="CQ55" s="387" t="n">
        <f aca="false">IF(91&lt;5,0,IF(MAX(CL38:CQ38)&gt;CQ43+6+$B$18,1,0))</f>
        <v>0</v>
      </c>
      <c r="CR55" s="387" t="n">
        <f aca="false">IF(92&lt;5,0,IF(MAX(CM38:CR38)&gt;CR43+6+$B$18,1,0))</f>
        <v>0</v>
      </c>
      <c r="CS55" s="387" t="n">
        <f aca="false">IF(93&lt;5,0,IF(MAX(CN38:CS38)&gt;CS43+6+$B$18,1,0))</f>
        <v>0</v>
      </c>
      <c r="CT55" s="387" t="n">
        <f aca="false">IF(94&lt;5,0,IF(MAX(CO38:CT38)&gt;CT43+6+$B$18,1,0))</f>
        <v>0</v>
      </c>
      <c r="CU55" s="387" t="n">
        <f aca="false">IF(95&lt;5,0,IF(MAX(CP38:CU38)&gt;CU43+6+$B$18,1,0))</f>
        <v>0</v>
      </c>
      <c r="CV55" s="387" t="n">
        <f aca="false">IF(96&lt;5,0,IF(MAX(CQ38:CV38)&gt;CV43+6+$B$18,1,0))</f>
        <v>0</v>
      </c>
      <c r="CW55" s="387" t="n">
        <f aca="false">IF(97&lt;5,0,IF(MAX(CR38:CW38)&gt;CW43+6+$B$18,1,0))</f>
        <v>0</v>
      </c>
      <c r="CX55" s="387" t="n">
        <f aca="false">IF(98&lt;5,0,IF(MAX(CS38:CX38)&gt;CX43+6+$B$18,1,0))</f>
        <v>0</v>
      </c>
      <c r="CY55" s="387" t="n">
        <f aca="false">IF(99&lt;5,0,IF(MAX(CT38:CY38)&gt;CY43+6+$B$18,1,0))</f>
        <v>0</v>
      </c>
      <c r="CZ55" s="387" t="n">
        <f aca="false">IF(100&lt;5,0,IF(MAX(CU38:CZ38)&gt;CZ43+6+$B$18,1,0))</f>
        <v>0</v>
      </c>
      <c r="DA55" s="387" t="n">
        <f aca="false">IF(101&lt;5,0,IF(MAX(CV38:DA38)&gt;DA43+6+$B$18,1,0))</f>
        <v>0</v>
      </c>
      <c r="DB55" s="387" t="n">
        <f aca="false">IF(102&lt;5,0,IF(MAX(CW38:DB38)&gt;DB43+6+$B$18,1,0))</f>
        <v>0</v>
      </c>
      <c r="DC55" s="387" t="n">
        <f aca="false">IF(103&lt;5,0,IF(MAX(CX38:DC38)&gt;DC43+6+$B$18,1,0))</f>
        <v>0</v>
      </c>
      <c r="DD55" s="387" t="n">
        <f aca="false">IF(104&lt;5,0,IF(MAX(CY38:DD38)&gt;DD43+6+$B$18,1,0))</f>
        <v>0</v>
      </c>
      <c r="DE55" s="387" t="n">
        <f aca="false">IF(105&lt;5,0,IF(MAX(CZ38:DE38)&gt;DE43+6+$B$18,1,0))</f>
        <v>0</v>
      </c>
    </row>
    <row r="56" customFormat="false" ht="13.5" hidden="false" customHeight="true" outlineLevel="0" collapsed="false">
      <c r="A56" s="110" t="s">
        <v>1394</v>
      </c>
      <c r="B56" s="213" t="n">
        <f aca="false">$B$27</f>
        <v>125000</v>
      </c>
      <c r="E56" s="387" t="n">
        <f aca="false">IF(1&lt;5,0,IF(MAX(E38:E38)&gt;E43+7+$B$18,1,0))</f>
        <v>0</v>
      </c>
      <c r="F56" s="387" t="n">
        <f aca="false">IF(2&lt;5,0,IF(MAX(E38:F38)&gt;F43+7+$B$18,1,0))</f>
        <v>0</v>
      </c>
      <c r="G56" s="387" t="n">
        <f aca="false">IF(3&lt;5,0,IF(MAX(E38:G38)&gt;G43+7+$B$18,1,0))</f>
        <v>0</v>
      </c>
      <c r="H56" s="387" t="n">
        <f aca="false">IF(4&lt;5,0,IF(MAX(E38:H38)&gt;H43+7+$B$18,1,0))</f>
        <v>0</v>
      </c>
      <c r="I56" s="387" t="n">
        <f aca="false">IF(5&lt;5,0,IF(MAX(E38:I38)&gt;I43+7+$B$18,1,0))</f>
        <v>0</v>
      </c>
      <c r="J56" s="387" t="n">
        <f aca="false">IF(6&lt;5,0,IF(MAX(E38:J38)&gt;J43+7+$B$18,1,0))</f>
        <v>0</v>
      </c>
      <c r="K56" s="387" t="n">
        <f aca="false">IF(7&lt;5,0,IF(MAX(F38:K38)&gt;K43+7+$B$18,1,0))</f>
        <v>0</v>
      </c>
      <c r="L56" s="387" t="n">
        <f aca="false">IF(8&lt;5,0,IF(MAX(G38:L38)&gt;L43+7+$B$18,1,0))</f>
        <v>0</v>
      </c>
      <c r="M56" s="387" t="n">
        <f aca="false">IF(9&lt;5,0,IF(MAX(H38:M38)&gt;M43+7+$B$18,1,0))</f>
        <v>0</v>
      </c>
      <c r="N56" s="387" t="n">
        <f aca="false">IF(10&lt;5,0,IF(MAX(I38:N38)&gt;N43+7+$B$18,1,0))</f>
        <v>0</v>
      </c>
      <c r="O56" s="387" t="n">
        <f aca="false">IF(11&lt;5,0,IF(MAX(J38:O38)&gt;O43+7+$B$18,1,0))</f>
        <v>0</v>
      </c>
      <c r="P56" s="387" t="n">
        <f aca="false">IF(12&lt;5,0,IF(MAX(K38:P38)&gt;P43+7+$B$18,1,0))</f>
        <v>0</v>
      </c>
      <c r="Q56" s="387" t="n">
        <f aca="false">IF(13&lt;5,0,IF(MAX(L38:Q38)&gt;Q43+7+$B$18,1,0))</f>
        <v>0</v>
      </c>
      <c r="R56" s="387" t="n">
        <f aca="false">IF(14&lt;5,0,IF(MAX(M38:R38)&gt;R43+7+$B$18,1,0))</f>
        <v>0</v>
      </c>
      <c r="S56" s="387" t="n">
        <f aca="false">IF(15&lt;5,0,IF(MAX(N38:S38)&gt;S43+7+$B$18,1,0))</f>
        <v>0</v>
      </c>
      <c r="T56" s="387" t="n">
        <f aca="false">IF(16&lt;5,0,IF(MAX(O38:T38)&gt;T43+7+$B$18,1,0))</f>
        <v>0</v>
      </c>
      <c r="U56" s="387" t="n">
        <f aca="false">IF(17&lt;5,0,IF(MAX(P38:U38)&gt;U43+7+$B$18,1,0))</f>
        <v>0</v>
      </c>
      <c r="V56" s="387" t="n">
        <f aca="false">IF(18&lt;5,0,IF(MAX(Q38:V38)&gt;V43+7+$B$18,1,0))</f>
        <v>0</v>
      </c>
      <c r="W56" s="387" t="n">
        <f aca="false">IF(19&lt;5,0,IF(MAX(R38:W38)&gt;W43+7+$B$18,1,0))</f>
        <v>0</v>
      </c>
      <c r="X56" s="387" t="n">
        <f aca="false">IF(20&lt;5,0,IF(MAX(S38:X38)&gt;X43+7+$B$18,1,0))</f>
        <v>0</v>
      </c>
      <c r="Y56" s="387" t="n">
        <f aca="false">IF(21&lt;5,0,IF(MAX(T38:Y38)&gt;Y43+7+$B$18,1,0))</f>
        <v>0</v>
      </c>
      <c r="Z56" s="387" t="n">
        <f aca="false">IF(22&lt;5,0,IF(MAX(U38:Z38)&gt;Z43+7+$B$18,1,0))</f>
        <v>0</v>
      </c>
      <c r="AA56" s="387" t="n">
        <f aca="false">IF(23&lt;5,0,IF(MAX(V38:AA38)&gt;AA43+7+$B$18,1,0))</f>
        <v>0</v>
      </c>
      <c r="AB56" s="387" t="n">
        <f aca="false">IF(24&lt;5,0,IF(MAX(W38:AB38)&gt;AB43+7+$B$18,1,0))</f>
        <v>0</v>
      </c>
      <c r="AC56" s="387" t="n">
        <f aca="false">IF(25&lt;5,0,IF(MAX(X38:AC38)&gt;AC43+7+$B$18,1,0))</f>
        <v>0</v>
      </c>
      <c r="AD56" s="387" t="n">
        <f aca="false">IF(26&lt;5,0,IF(MAX(Y38:AD38)&gt;AD43+7+$B$18,1,0))</f>
        <v>0</v>
      </c>
      <c r="AE56" s="387" t="n">
        <f aca="false">IF(27&lt;5,0,IF(MAX(Z38:AE38)&gt;AE43+7+$B$18,1,0))</f>
        <v>0</v>
      </c>
      <c r="AF56" s="387" t="n">
        <f aca="false">IF(28&lt;5,0,IF(MAX(AA38:AF38)&gt;AF43+7+$B$18,1,0))</f>
        <v>0</v>
      </c>
      <c r="AG56" s="387" t="n">
        <f aca="false">IF(29&lt;5,0,IF(MAX(AB38:AG38)&gt;AG43+7+$B$18,1,0))</f>
        <v>0</v>
      </c>
      <c r="AH56" s="387" t="n">
        <f aca="false">IF(30&lt;5,0,IF(MAX(AC38:AH38)&gt;AH43+7+$B$18,1,0))</f>
        <v>0</v>
      </c>
      <c r="AI56" s="387" t="n">
        <f aca="false">IF(31&lt;5,0,IF(MAX(AD38:AI38)&gt;AI43+7+$B$18,1,0))</f>
        <v>0</v>
      </c>
      <c r="AJ56" s="387" t="n">
        <f aca="false">IF(32&lt;5,0,IF(MAX(AE38:AJ38)&gt;AJ43+7+$B$18,1,0))</f>
        <v>0</v>
      </c>
      <c r="AK56" s="387" t="n">
        <f aca="false">IF(33&lt;5,0,IF(MAX(AF38:AK38)&gt;AK43+7+$B$18,1,0))</f>
        <v>0</v>
      </c>
      <c r="AL56" s="387" t="n">
        <f aca="false">IF(34&lt;5,0,IF(MAX(AG38:AL38)&gt;AL43+7+$B$18,1,0))</f>
        <v>0</v>
      </c>
      <c r="AM56" s="387" t="n">
        <f aca="false">IF(35&lt;5,0,IF(MAX(AH38:AM38)&gt;AM43+7+$B$18,1,0))</f>
        <v>0</v>
      </c>
      <c r="AN56" s="387" t="n">
        <f aca="false">IF(36&lt;5,0,IF(MAX(AI38:AN38)&gt;AN43+7+$B$18,1,0))</f>
        <v>0</v>
      </c>
      <c r="AO56" s="387" t="n">
        <f aca="false">IF(37&lt;5,0,IF(MAX(AJ38:AO38)&gt;AO43+7+$B$18,1,0))</f>
        <v>0</v>
      </c>
      <c r="AP56" s="387" t="n">
        <f aca="false">IF(38&lt;5,0,IF(MAX(AK38:AP38)&gt;AP43+7+$B$18,1,0))</f>
        <v>0</v>
      </c>
      <c r="AQ56" s="387" t="n">
        <f aca="false">IF(39&lt;5,0,IF(MAX(AL38:AQ38)&gt;AQ43+7+$B$18,1,0))</f>
        <v>0</v>
      </c>
      <c r="AR56" s="387" t="n">
        <f aca="false">IF(40&lt;5,0,IF(MAX(AM38:AR38)&gt;AR43+7+$B$18,1,0))</f>
        <v>0</v>
      </c>
      <c r="AS56" s="387" t="n">
        <f aca="false">IF(41&lt;5,0,IF(MAX(AN38:AS38)&gt;AS43+7+$B$18,1,0))</f>
        <v>0</v>
      </c>
      <c r="AT56" s="387" t="n">
        <f aca="false">IF(42&lt;5,0,IF(MAX(AO38:AT38)&gt;AT43+7+$B$18,1,0))</f>
        <v>0</v>
      </c>
      <c r="AU56" s="387" t="n">
        <f aca="false">IF(43&lt;5,0,IF(MAX(AP38:AU38)&gt;AU43+7+$B$18,1,0))</f>
        <v>0</v>
      </c>
      <c r="AV56" s="387" t="n">
        <f aca="false">IF(44&lt;5,0,IF(MAX(AQ38:AV38)&gt;AV43+7+$B$18,1,0))</f>
        <v>0</v>
      </c>
      <c r="AW56" s="387" t="n">
        <f aca="false">IF(45&lt;5,0,IF(MAX(AR38:AW38)&gt;AW43+7+$B$18,1,0))</f>
        <v>0</v>
      </c>
      <c r="AX56" s="387" t="n">
        <f aca="false">IF(46&lt;5,0,IF(MAX(AS38:AX38)&gt;AX43+7+$B$18,1,0))</f>
        <v>0</v>
      </c>
      <c r="AY56" s="387" t="n">
        <f aca="false">IF(47&lt;5,0,IF(MAX(AT38:AY38)&gt;AY43+7+$B$18,1,0))</f>
        <v>0</v>
      </c>
      <c r="AZ56" s="387" t="n">
        <f aca="false">IF(48&lt;5,0,IF(MAX(AU38:AZ38)&gt;AZ43+7+$B$18,1,0))</f>
        <v>0</v>
      </c>
      <c r="BA56" s="387" t="n">
        <f aca="false">IF(49&lt;5,0,IF(MAX(AV38:BA38)&gt;BA43+7+$B$18,1,0))</f>
        <v>0</v>
      </c>
      <c r="BB56" s="387" t="n">
        <f aca="false">IF(50&lt;5,0,IF(MAX(AW38:BB38)&gt;BB43+7+$B$18,1,0))</f>
        <v>0</v>
      </c>
      <c r="BC56" s="387" t="n">
        <f aca="false">IF(51&lt;5,0,IF(MAX(AX38:BC38)&gt;BC43+7+$B$18,1,0))</f>
        <v>0</v>
      </c>
      <c r="BD56" s="387" t="n">
        <f aca="false">IF(52&lt;5,0,IF(MAX(AY38:BD38)&gt;BD43+7+$B$18,1,0))</f>
        <v>0</v>
      </c>
      <c r="BE56" s="387" t="n">
        <f aca="false">IF(53&lt;5,0,IF(MAX(AZ38:BE38)&gt;BE43+7+$B$18,1,0))</f>
        <v>0</v>
      </c>
      <c r="BF56" s="387" t="n">
        <f aca="false">IF(54&lt;5,0,IF(MAX(BA38:BF38)&gt;BF43+7+$B$18,1,0))</f>
        <v>0</v>
      </c>
      <c r="BG56" s="387" t="n">
        <f aca="false">IF(55&lt;5,0,IF(MAX(BB38:BG38)&gt;BG43+7+$B$18,1,0))</f>
        <v>0</v>
      </c>
      <c r="BH56" s="387" t="n">
        <f aca="false">IF(56&lt;5,0,IF(MAX(BC38:BH38)&gt;BH43+7+$B$18,1,0))</f>
        <v>0</v>
      </c>
      <c r="BI56" s="387" t="n">
        <f aca="false">IF(57&lt;5,0,IF(MAX(BD38:BI38)&gt;BI43+7+$B$18,1,0))</f>
        <v>0</v>
      </c>
      <c r="BJ56" s="387" t="n">
        <f aca="false">IF(58&lt;5,0,IF(MAX(BE38:BJ38)&gt;BJ43+7+$B$18,1,0))</f>
        <v>0</v>
      </c>
      <c r="BK56" s="387" t="n">
        <f aca="false">IF(59&lt;5,0,IF(MAX(BF38:BK38)&gt;BK43+7+$B$18,1,0))</f>
        <v>0</v>
      </c>
      <c r="BL56" s="387" t="n">
        <f aca="false">IF(60&lt;5,0,IF(MAX(BG38:BL38)&gt;BL43+7+$B$18,1,0))</f>
        <v>0</v>
      </c>
      <c r="BM56" s="387" t="n">
        <f aca="false">IF(61&lt;5,0,IF(MAX(BH38:BM38)&gt;BM43+7+$B$18,1,0))</f>
        <v>0</v>
      </c>
      <c r="BN56" s="387" t="n">
        <f aca="false">IF(62&lt;5,0,IF(MAX(BI38:BN38)&gt;BN43+7+$B$18,1,0))</f>
        <v>0</v>
      </c>
      <c r="BO56" s="387" t="n">
        <f aca="false">IF(63&lt;5,0,IF(MAX(BJ38:BO38)&gt;BO43+7+$B$18,1,0))</f>
        <v>0</v>
      </c>
      <c r="BP56" s="387" t="n">
        <f aca="false">IF(64&lt;5,0,IF(MAX(BK38:BP38)&gt;BP43+7+$B$18,1,0))</f>
        <v>0</v>
      </c>
      <c r="BQ56" s="387" t="n">
        <f aca="false">IF(65&lt;5,0,IF(MAX(BL38:BQ38)&gt;BQ43+7+$B$18,1,0))</f>
        <v>0</v>
      </c>
      <c r="BR56" s="387" t="n">
        <f aca="false">IF(66&lt;5,0,IF(MAX(BM38:BR38)&gt;BR43+7+$B$18,1,0))</f>
        <v>0</v>
      </c>
      <c r="BS56" s="387" t="n">
        <f aca="false">IF(67&lt;5,0,IF(MAX(BN38:BS38)&gt;BS43+7+$B$18,1,0))</f>
        <v>0</v>
      </c>
      <c r="BT56" s="387" t="n">
        <f aca="false">IF(68&lt;5,0,IF(MAX(BO38:BT38)&gt;BT43+7+$B$18,1,0))</f>
        <v>0</v>
      </c>
      <c r="BU56" s="387" t="n">
        <f aca="false">IF(69&lt;5,0,IF(MAX(BP38:BU38)&gt;BU43+7+$B$18,1,0))</f>
        <v>0</v>
      </c>
      <c r="BV56" s="387" t="n">
        <f aca="false">IF(70&lt;5,0,IF(MAX(BQ38:BV38)&gt;BV43+7+$B$18,1,0))</f>
        <v>0</v>
      </c>
      <c r="BW56" s="387" t="n">
        <f aca="false">IF(71&lt;5,0,IF(MAX(BR38:BW38)&gt;BW43+7+$B$18,1,0))</f>
        <v>0</v>
      </c>
      <c r="BX56" s="387" t="n">
        <f aca="false">IF(72&lt;5,0,IF(MAX(BS38:BX38)&gt;BX43+7+$B$18,1,0))</f>
        <v>0</v>
      </c>
      <c r="BY56" s="387" t="n">
        <f aca="false">IF(73&lt;5,0,IF(MAX(BT38:BY38)&gt;BY43+7+$B$18,1,0))</f>
        <v>0</v>
      </c>
      <c r="BZ56" s="387" t="n">
        <f aca="false">IF(74&lt;5,0,IF(MAX(BU38:BZ38)&gt;BZ43+7+$B$18,1,0))</f>
        <v>0</v>
      </c>
      <c r="CA56" s="387" t="n">
        <f aca="false">IF(75&lt;5,0,IF(MAX(BV38:CA38)&gt;CA43+7+$B$18,1,0))</f>
        <v>0</v>
      </c>
      <c r="CB56" s="387" t="n">
        <f aca="false">IF(76&lt;5,0,IF(MAX(BW38:CB38)&gt;CB43+7+$B$18,1,0))</f>
        <v>0</v>
      </c>
      <c r="CC56" s="387" t="n">
        <f aca="false">IF(77&lt;5,0,IF(MAX(BX38:CC38)&gt;CC43+7+$B$18,1,0))</f>
        <v>0</v>
      </c>
      <c r="CD56" s="387" t="n">
        <f aca="false">IF(78&lt;5,0,IF(MAX(BY38:CD38)&gt;CD43+7+$B$18,1,0))</f>
        <v>0</v>
      </c>
      <c r="CE56" s="387" t="n">
        <f aca="false">IF(79&lt;5,0,IF(MAX(BZ38:CE38)&gt;CE43+7+$B$18,1,0))</f>
        <v>0</v>
      </c>
      <c r="CF56" s="387" t="n">
        <f aca="false">IF(80&lt;5,0,IF(MAX(CA38:CF38)&gt;CF43+7+$B$18,1,0))</f>
        <v>0</v>
      </c>
      <c r="CG56" s="387" t="n">
        <f aca="false">IF(81&lt;5,0,IF(MAX(CB38:CG38)&gt;CG43+7+$B$18,1,0))</f>
        <v>0</v>
      </c>
      <c r="CH56" s="387" t="n">
        <f aca="false">IF(82&lt;5,0,IF(MAX(CC38:CH38)&gt;CH43+7+$B$18,1,0))</f>
        <v>0</v>
      </c>
      <c r="CI56" s="387" t="n">
        <f aca="false">IF(83&lt;5,0,IF(MAX(CD38:CI38)&gt;CI43+7+$B$18,1,0))</f>
        <v>0</v>
      </c>
      <c r="CJ56" s="387" t="n">
        <f aca="false">IF(84&lt;5,0,IF(MAX(CE38:CJ38)&gt;CJ43+7+$B$18,1,0))</f>
        <v>0</v>
      </c>
      <c r="CK56" s="387" t="n">
        <f aca="false">IF(85&lt;5,0,IF(MAX(CF38:CK38)&gt;CK43+7+$B$18,1,0))</f>
        <v>0</v>
      </c>
      <c r="CL56" s="387" t="n">
        <f aca="false">IF(86&lt;5,0,IF(MAX(CG38:CL38)&gt;CL43+7+$B$18,1,0))</f>
        <v>0</v>
      </c>
      <c r="CM56" s="387" t="n">
        <f aca="false">IF(87&lt;5,0,IF(MAX(CH38:CM38)&gt;CM43+7+$B$18,1,0))</f>
        <v>0</v>
      </c>
      <c r="CN56" s="387" t="n">
        <f aca="false">IF(88&lt;5,0,IF(MAX(CI38:CN38)&gt;CN43+7+$B$18,1,0))</f>
        <v>0</v>
      </c>
      <c r="CO56" s="387" t="n">
        <f aca="false">IF(89&lt;5,0,IF(MAX(CJ38:CO38)&gt;CO43+7+$B$18,1,0))</f>
        <v>0</v>
      </c>
      <c r="CP56" s="387" t="n">
        <f aca="false">IF(90&lt;5,0,IF(MAX(CK38:CP38)&gt;CP43+7+$B$18,1,0))</f>
        <v>0</v>
      </c>
      <c r="CQ56" s="387" t="n">
        <f aca="false">IF(91&lt;5,0,IF(MAX(CL38:CQ38)&gt;CQ43+7+$B$18,1,0))</f>
        <v>0</v>
      </c>
      <c r="CR56" s="387" t="n">
        <f aca="false">IF(92&lt;5,0,IF(MAX(CM38:CR38)&gt;CR43+7+$B$18,1,0))</f>
        <v>0</v>
      </c>
      <c r="CS56" s="387" t="n">
        <f aca="false">IF(93&lt;5,0,IF(MAX(CN38:CS38)&gt;CS43+7+$B$18,1,0))</f>
        <v>0</v>
      </c>
      <c r="CT56" s="387" t="n">
        <f aca="false">IF(94&lt;5,0,IF(MAX(CO38:CT38)&gt;CT43+7+$B$18,1,0))</f>
        <v>0</v>
      </c>
      <c r="CU56" s="387" t="n">
        <f aca="false">IF(95&lt;5,0,IF(MAX(CP38:CU38)&gt;CU43+7+$B$18,1,0))</f>
        <v>0</v>
      </c>
      <c r="CV56" s="387" t="n">
        <f aca="false">IF(96&lt;5,0,IF(MAX(CQ38:CV38)&gt;CV43+7+$B$18,1,0))</f>
        <v>0</v>
      </c>
      <c r="CW56" s="387" t="n">
        <f aca="false">IF(97&lt;5,0,IF(MAX(CR38:CW38)&gt;CW43+7+$B$18,1,0))</f>
        <v>0</v>
      </c>
      <c r="CX56" s="387" t="n">
        <f aca="false">IF(98&lt;5,0,IF(MAX(CS38:CX38)&gt;CX43+7+$B$18,1,0))</f>
        <v>0</v>
      </c>
      <c r="CY56" s="387" t="n">
        <f aca="false">IF(99&lt;5,0,IF(MAX(CT38:CY38)&gt;CY43+7+$B$18,1,0))</f>
        <v>0</v>
      </c>
      <c r="CZ56" s="387" t="n">
        <f aca="false">IF(100&lt;5,0,IF(MAX(CU38:CZ38)&gt;CZ43+7+$B$18,1,0))</f>
        <v>0</v>
      </c>
      <c r="DA56" s="387" t="n">
        <f aca="false">IF(101&lt;5,0,IF(MAX(CV38:DA38)&gt;DA43+7+$B$18,1,0))</f>
        <v>0</v>
      </c>
      <c r="DB56" s="387" t="n">
        <f aca="false">IF(102&lt;5,0,IF(MAX(CW38:DB38)&gt;DB43+7+$B$18,1,0))</f>
        <v>0</v>
      </c>
      <c r="DC56" s="387" t="n">
        <f aca="false">IF(103&lt;5,0,IF(MAX(CX38:DC38)&gt;DC43+7+$B$18,1,0))</f>
        <v>0</v>
      </c>
      <c r="DD56" s="387" t="n">
        <f aca="false">IF(104&lt;5,0,IF(MAX(CY38:DD38)&gt;DD43+7+$B$18,1,0))</f>
        <v>0</v>
      </c>
      <c r="DE56" s="387" t="n">
        <f aca="false">IF(105&lt;5,0,IF(MAX(CZ38:DE38)&gt;DE43+7+$B$18,1,0))</f>
        <v>0</v>
      </c>
    </row>
    <row r="57" customFormat="false" ht="13.5" hidden="false" customHeight="true" outlineLevel="0" collapsed="false">
      <c r="A57" s="110" t="s">
        <v>1395</v>
      </c>
      <c r="B57" s="213" t="n">
        <f aca="false">$B$27</f>
        <v>125000</v>
      </c>
      <c r="E57" s="387" t="n">
        <f aca="false">IF(1&lt;5,0,IF(MAX(E38:E38)&gt;E43+8+$B$18,1,0))</f>
        <v>0</v>
      </c>
      <c r="F57" s="387" t="n">
        <f aca="false">IF(2&lt;5,0,IF(MAX(E38:F38)&gt;F43+8+$B$18,1,0))</f>
        <v>0</v>
      </c>
      <c r="G57" s="387" t="n">
        <f aca="false">IF(3&lt;5,0,IF(MAX(E38:G38)&gt;G43+8+$B$18,1,0))</f>
        <v>0</v>
      </c>
      <c r="H57" s="387" t="n">
        <f aca="false">IF(4&lt;5,0,IF(MAX(E38:H38)&gt;H43+8+$B$18,1,0))</f>
        <v>0</v>
      </c>
      <c r="I57" s="387" t="n">
        <f aca="false">IF(5&lt;5,0,IF(MAX(E38:I38)&gt;I43+8+$B$18,1,0))</f>
        <v>0</v>
      </c>
      <c r="J57" s="387" t="n">
        <f aca="false">IF(6&lt;5,0,IF(MAX(E38:J38)&gt;J43+8+$B$18,1,0))</f>
        <v>0</v>
      </c>
      <c r="K57" s="387" t="n">
        <f aca="false">IF(7&lt;5,0,IF(MAX(F38:K38)&gt;K43+8+$B$18,1,0))</f>
        <v>0</v>
      </c>
      <c r="L57" s="387" t="n">
        <f aca="false">IF(8&lt;5,0,IF(MAX(G38:L38)&gt;L43+8+$B$18,1,0))</f>
        <v>0</v>
      </c>
      <c r="M57" s="387" t="n">
        <f aca="false">IF(9&lt;5,0,IF(MAX(H38:M38)&gt;M43+8+$B$18,1,0))</f>
        <v>0</v>
      </c>
      <c r="N57" s="387" t="n">
        <f aca="false">IF(10&lt;5,0,IF(MAX(I38:N38)&gt;N43+8+$B$18,1,0))</f>
        <v>0</v>
      </c>
      <c r="O57" s="387" t="n">
        <f aca="false">IF(11&lt;5,0,IF(MAX(J38:O38)&gt;O43+8+$B$18,1,0))</f>
        <v>0</v>
      </c>
      <c r="P57" s="387" t="n">
        <f aca="false">IF(12&lt;5,0,IF(MAX(K38:P38)&gt;P43+8+$B$18,1,0))</f>
        <v>0</v>
      </c>
      <c r="Q57" s="387" t="n">
        <f aca="false">IF(13&lt;5,0,IF(MAX(L38:Q38)&gt;Q43+8+$B$18,1,0))</f>
        <v>0</v>
      </c>
      <c r="R57" s="387" t="n">
        <f aca="false">IF(14&lt;5,0,IF(MAX(M38:R38)&gt;R43+8+$B$18,1,0))</f>
        <v>0</v>
      </c>
      <c r="S57" s="387" t="n">
        <f aca="false">IF(15&lt;5,0,IF(MAX(N38:S38)&gt;S43+8+$B$18,1,0))</f>
        <v>0</v>
      </c>
      <c r="T57" s="387" t="n">
        <f aca="false">IF(16&lt;5,0,IF(MAX(O38:T38)&gt;T43+8+$B$18,1,0))</f>
        <v>0</v>
      </c>
      <c r="U57" s="387" t="n">
        <f aca="false">IF(17&lt;5,0,IF(MAX(P38:U38)&gt;U43+8+$B$18,1,0))</f>
        <v>0</v>
      </c>
      <c r="V57" s="387" t="n">
        <f aca="false">IF(18&lt;5,0,IF(MAX(Q38:V38)&gt;V43+8+$B$18,1,0))</f>
        <v>0</v>
      </c>
      <c r="W57" s="387" t="n">
        <f aca="false">IF(19&lt;5,0,IF(MAX(R38:W38)&gt;W43+8+$B$18,1,0))</f>
        <v>0</v>
      </c>
      <c r="X57" s="387" t="n">
        <f aca="false">IF(20&lt;5,0,IF(MAX(S38:X38)&gt;X43+8+$B$18,1,0))</f>
        <v>0</v>
      </c>
      <c r="Y57" s="387" t="n">
        <f aca="false">IF(21&lt;5,0,IF(MAX(T38:Y38)&gt;Y43+8+$B$18,1,0))</f>
        <v>0</v>
      </c>
      <c r="Z57" s="387" t="n">
        <f aca="false">IF(22&lt;5,0,IF(MAX(U38:Z38)&gt;Z43+8+$B$18,1,0))</f>
        <v>0</v>
      </c>
      <c r="AA57" s="387" t="n">
        <f aca="false">IF(23&lt;5,0,IF(MAX(V38:AA38)&gt;AA43+8+$B$18,1,0))</f>
        <v>0</v>
      </c>
      <c r="AB57" s="387" t="n">
        <f aca="false">IF(24&lt;5,0,IF(MAX(W38:AB38)&gt;AB43+8+$B$18,1,0))</f>
        <v>0</v>
      </c>
      <c r="AC57" s="387" t="n">
        <f aca="false">IF(25&lt;5,0,IF(MAX(X38:AC38)&gt;AC43+8+$B$18,1,0))</f>
        <v>0</v>
      </c>
      <c r="AD57" s="387" t="n">
        <f aca="false">IF(26&lt;5,0,IF(MAX(Y38:AD38)&gt;AD43+8+$B$18,1,0))</f>
        <v>0</v>
      </c>
      <c r="AE57" s="387" t="n">
        <f aca="false">IF(27&lt;5,0,IF(MAX(Z38:AE38)&gt;AE43+8+$B$18,1,0))</f>
        <v>0</v>
      </c>
      <c r="AF57" s="387" t="n">
        <f aca="false">IF(28&lt;5,0,IF(MAX(AA38:AF38)&gt;AF43+8+$B$18,1,0))</f>
        <v>0</v>
      </c>
      <c r="AG57" s="387" t="n">
        <f aca="false">IF(29&lt;5,0,IF(MAX(AB38:AG38)&gt;AG43+8+$B$18,1,0))</f>
        <v>0</v>
      </c>
      <c r="AH57" s="387" t="n">
        <f aca="false">IF(30&lt;5,0,IF(MAX(AC38:AH38)&gt;AH43+8+$B$18,1,0))</f>
        <v>0</v>
      </c>
      <c r="AI57" s="387" t="n">
        <f aca="false">IF(31&lt;5,0,IF(MAX(AD38:AI38)&gt;AI43+8+$B$18,1,0))</f>
        <v>0</v>
      </c>
      <c r="AJ57" s="387" t="n">
        <f aca="false">IF(32&lt;5,0,IF(MAX(AE38:AJ38)&gt;AJ43+8+$B$18,1,0))</f>
        <v>0</v>
      </c>
      <c r="AK57" s="387" t="n">
        <f aca="false">IF(33&lt;5,0,IF(MAX(AF38:AK38)&gt;AK43+8+$B$18,1,0))</f>
        <v>0</v>
      </c>
      <c r="AL57" s="387" t="n">
        <f aca="false">IF(34&lt;5,0,IF(MAX(AG38:AL38)&gt;AL43+8+$B$18,1,0))</f>
        <v>0</v>
      </c>
      <c r="AM57" s="387" t="n">
        <f aca="false">IF(35&lt;5,0,IF(MAX(AH38:AM38)&gt;AM43+8+$B$18,1,0))</f>
        <v>0</v>
      </c>
      <c r="AN57" s="387" t="n">
        <f aca="false">IF(36&lt;5,0,IF(MAX(AI38:AN38)&gt;AN43+8+$B$18,1,0))</f>
        <v>0</v>
      </c>
      <c r="AO57" s="387" t="n">
        <f aca="false">IF(37&lt;5,0,IF(MAX(AJ38:AO38)&gt;AO43+8+$B$18,1,0))</f>
        <v>0</v>
      </c>
      <c r="AP57" s="387" t="n">
        <f aca="false">IF(38&lt;5,0,IF(MAX(AK38:AP38)&gt;AP43+8+$B$18,1,0))</f>
        <v>0</v>
      </c>
      <c r="AQ57" s="387" t="n">
        <f aca="false">IF(39&lt;5,0,IF(MAX(AL38:AQ38)&gt;AQ43+8+$B$18,1,0))</f>
        <v>0</v>
      </c>
      <c r="AR57" s="387" t="n">
        <f aca="false">IF(40&lt;5,0,IF(MAX(AM38:AR38)&gt;AR43+8+$B$18,1,0))</f>
        <v>0</v>
      </c>
      <c r="AS57" s="387" t="n">
        <f aca="false">IF(41&lt;5,0,IF(MAX(AN38:AS38)&gt;AS43+8+$B$18,1,0))</f>
        <v>0</v>
      </c>
      <c r="AT57" s="387" t="n">
        <f aca="false">IF(42&lt;5,0,IF(MAX(AO38:AT38)&gt;AT43+8+$B$18,1,0))</f>
        <v>0</v>
      </c>
      <c r="AU57" s="387" t="n">
        <f aca="false">IF(43&lt;5,0,IF(MAX(AP38:AU38)&gt;AU43+8+$B$18,1,0))</f>
        <v>0</v>
      </c>
      <c r="AV57" s="387" t="n">
        <f aca="false">IF(44&lt;5,0,IF(MAX(AQ38:AV38)&gt;AV43+8+$B$18,1,0))</f>
        <v>0</v>
      </c>
      <c r="AW57" s="387" t="n">
        <f aca="false">IF(45&lt;5,0,IF(MAX(AR38:AW38)&gt;AW43+8+$B$18,1,0))</f>
        <v>0</v>
      </c>
      <c r="AX57" s="387" t="n">
        <f aca="false">IF(46&lt;5,0,IF(MAX(AS38:AX38)&gt;AX43+8+$B$18,1,0))</f>
        <v>0</v>
      </c>
      <c r="AY57" s="387" t="n">
        <f aca="false">IF(47&lt;5,0,IF(MAX(AT38:AY38)&gt;AY43+8+$B$18,1,0))</f>
        <v>0</v>
      </c>
      <c r="AZ57" s="387" t="n">
        <f aca="false">IF(48&lt;5,0,IF(MAX(AU38:AZ38)&gt;AZ43+8+$B$18,1,0))</f>
        <v>0</v>
      </c>
      <c r="BA57" s="387" t="n">
        <f aca="false">IF(49&lt;5,0,IF(MAX(AV38:BA38)&gt;BA43+8+$B$18,1,0))</f>
        <v>0</v>
      </c>
      <c r="BB57" s="387" t="n">
        <f aca="false">IF(50&lt;5,0,IF(MAX(AW38:BB38)&gt;BB43+8+$B$18,1,0))</f>
        <v>0</v>
      </c>
      <c r="BC57" s="387" t="n">
        <f aca="false">IF(51&lt;5,0,IF(MAX(AX38:BC38)&gt;BC43+8+$B$18,1,0))</f>
        <v>0</v>
      </c>
      <c r="BD57" s="387" t="n">
        <f aca="false">IF(52&lt;5,0,IF(MAX(AY38:BD38)&gt;BD43+8+$B$18,1,0))</f>
        <v>0</v>
      </c>
      <c r="BE57" s="387" t="n">
        <f aca="false">IF(53&lt;5,0,IF(MAX(AZ38:BE38)&gt;BE43+8+$B$18,1,0))</f>
        <v>0</v>
      </c>
      <c r="BF57" s="387" t="n">
        <f aca="false">IF(54&lt;5,0,IF(MAX(BA38:BF38)&gt;BF43+8+$B$18,1,0))</f>
        <v>0</v>
      </c>
      <c r="BG57" s="387" t="n">
        <f aca="false">IF(55&lt;5,0,IF(MAX(BB38:BG38)&gt;BG43+8+$B$18,1,0))</f>
        <v>0</v>
      </c>
      <c r="BH57" s="387" t="n">
        <f aca="false">IF(56&lt;5,0,IF(MAX(BC38:BH38)&gt;BH43+8+$B$18,1,0))</f>
        <v>0</v>
      </c>
      <c r="BI57" s="387" t="n">
        <f aca="false">IF(57&lt;5,0,IF(MAX(BD38:BI38)&gt;BI43+8+$B$18,1,0))</f>
        <v>0</v>
      </c>
      <c r="BJ57" s="387" t="n">
        <f aca="false">IF(58&lt;5,0,IF(MAX(BE38:BJ38)&gt;BJ43+8+$B$18,1,0))</f>
        <v>0</v>
      </c>
      <c r="BK57" s="387" t="n">
        <f aca="false">IF(59&lt;5,0,IF(MAX(BF38:BK38)&gt;BK43+8+$B$18,1,0))</f>
        <v>0</v>
      </c>
      <c r="BL57" s="387" t="n">
        <f aca="false">IF(60&lt;5,0,IF(MAX(BG38:BL38)&gt;BL43+8+$B$18,1,0))</f>
        <v>0</v>
      </c>
      <c r="BM57" s="387" t="n">
        <f aca="false">IF(61&lt;5,0,IF(MAX(BH38:BM38)&gt;BM43+8+$B$18,1,0))</f>
        <v>0</v>
      </c>
      <c r="BN57" s="387" t="n">
        <f aca="false">IF(62&lt;5,0,IF(MAX(BI38:BN38)&gt;BN43+8+$B$18,1,0))</f>
        <v>0</v>
      </c>
      <c r="BO57" s="387" t="n">
        <f aca="false">IF(63&lt;5,0,IF(MAX(BJ38:BO38)&gt;BO43+8+$B$18,1,0))</f>
        <v>0</v>
      </c>
      <c r="BP57" s="387" t="n">
        <f aca="false">IF(64&lt;5,0,IF(MAX(BK38:BP38)&gt;BP43+8+$B$18,1,0))</f>
        <v>0</v>
      </c>
      <c r="BQ57" s="387" t="n">
        <f aca="false">IF(65&lt;5,0,IF(MAX(BL38:BQ38)&gt;BQ43+8+$B$18,1,0))</f>
        <v>0</v>
      </c>
      <c r="BR57" s="387" t="n">
        <f aca="false">IF(66&lt;5,0,IF(MAX(BM38:BR38)&gt;BR43+8+$B$18,1,0))</f>
        <v>0</v>
      </c>
      <c r="BS57" s="387" t="n">
        <f aca="false">IF(67&lt;5,0,IF(MAX(BN38:BS38)&gt;BS43+8+$B$18,1,0))</f>
        <v>0</v>
      </c>
      <c r="BT57" s="387" t="n">
        <f aca="false">IF(68&lt;5,0,IF(MAX(BO38:BT38)&gt;BT43+8+$B$18,1,0))</f>
        <v>0</v>
      </c>
      <c r="BU57" s="387" t="n">
        <f aca="false">IF(69&lt;5,0,IF(MAX(BP38:BU38)&gt;BU43+8+$B$18,1,0))</f>
        <v>0</v>
      </c>
      <c r="BV57" s="387" t="n">
        <f aca="false">IF(70&lt;5,0,IF(MAX(BQ38:BV38)&gt;BV43+8+$B$18,1,0))</f>
        <v>0</v>
      </c>
      <c r="BW57" s="387" t="n">
        <f aca="false">IF(71&lt;5,0,IF(MAX(BR38:BW38)&gt;BW43+8+$B$18,1,0))</f>
        <v>0</v>
      </c>
      <c r="BX57" s="387" t="n">
        <f aca="false">IF(72&lt;5,0,IF(MAX(BS38:BX38)&gt;BX43+8+$B$18,1,0))</f>
        <v>0</v>
      </c>
      <c r="BY57" s="387" t="n">
        <f aca="false">IF(73&lt;5,0,IF(MAX(BT38:BY38)&gt;BY43+8+$B$18,1,0))</f>
        <v>0</v>
      </c>
      <c r="BZ57" s="387" t="n">
        <f aca="false">IF(74&lt;5,0,IF(MAX(BU38:BZ38)&gt;BZ43+8+$B$18,1,0))</f>
        <v>0</v>
      </c>
      <c r="CA57" s="387" t="n">
        <f aca="false">IF(75&lt;5,0,IF(MAX(BV38:CA38)&gt;CA43+8+$B$18,1,0))</f>
        <v>0</v>
      </c>
      <c r="CB57" s="387" t="n">
        <f aca="false">IF(76&lt;5,0,IF(MAX(BW38:CB38)&gt;CB43+8+$B$18,1,0))</f>
        <v>0</v>
      </c>
      <c r="CC57" s="387" t="n">
        <f aca="false">IF(77&lt;5,0,IF(MAX(BX38:CC38)&gt;CC43+8+$B$18,1,0))</f>
        <v>0</v>
      </c>
      <c r="CD57" s="387" t="n">
        <f aca="false">IF(78&lt;5,0,IF(MAX(BY38:CD38)&gt;CD43+8+$B$18,1,0))</f>
        <v>0</v>
      </c>
      <c r="CE57" s="387" t="n">
        <f aca="false">IF(79&lt;5,0,IF(MAX(BZ38:CE38)&gt;CE43+8+$B$18,1,0))</f>
        <v>0</v>
      </c>
      <c r="CF57" s="387" t="n">
        <f aca="false">IF(80&lt;5,0,IF(MAX(CA38:CF38)&gt;CF43+8+$B$18,1,0))</f>
        <v>0</v>
      </c>
      <c r="CG57" s="387" t="n">
        <f aca="false">IF(81&lt;5,0,IF(MAX(CB38:CG38)&gt;CG43+8+$B$18,1,0))</f>
        <v>0</v>
      </c>
      <c r="CH57" s="387" t="n">
        <f aca="false">IF(82&lt;5,0,IF(MAX(CC38:CH38)&gt;CH43+8+$B$18,1,0))</f>
        <v>0</v>
      </c>
      <c r="CI57" s="387" t="n">
        <f aca="false">IF(83&lt;5,0,IF(MAX(CD38:CI38)&gt;CI43+8+$B$18,1,0))</f>
        <v>0</v>
      </c>
      <c r="CJ57" s="387" t="n">
        <f aca="false">IF(84&lt;5,0,IF(MAX(CE38:CJ38)&gt;CJ43+8+$B$18,1,0))</f>
        <v>0</v>
      </c>
      <c r="CK57" s="387" t="n">
        <f aca="false">IF(85&lt;5,0,IF(MAX(CF38:CK38)&gt;CK43+8+$B$18,1,0))</f>
        <v>0</v>
      </c>
      <c r="CL57" s="387" t="n">
        <f aca="false">IF(86&lt;5,0,IF(MAX(CG38:CL38)&gt;CL43+8+$B$18,1,0))</f>
        <v>0</v>
      </c>
      <c r="CM57" s="387" t="n">
        <f aca="false">IF(87&lt;5,0,IF(MAX(CH38:CM38)&gt;CM43+8+$B$18,1,0))</f>
        <v>0</v>
      </c>
      <c r="CN57" s="387" t="n">
        <f aca="false">IF(88&lt;5,0,IF(MAX(CI38:CN38)&gt;CN43+8+$B$18,1,0))</f>
        <v>0</v>
      </c>
      <c r="CO57" s="387" t="n">
        <f aca="false">IF(89&lt;5,0,IF(MAX(CJ38:CO38)&gt;CO43+8+$B$18,1,0))</f>
        <v>0</v>
      </c>
      <c r="CP57" s="387" t="n">
        <f aca="false">IF(90&lt;5,0,IF(MAX(CK38:CP38)&gt;CP43+8+$B$18,1,0))</f>
        <v>0</v>
      </c>
      <c r="CQ57" s="387" t="n">
        <f aca="false">IF(91&lt;5,0,IF(MAX(CL38:CQ38)&gt;CQ43+8+$B$18,1,0))</f>
        <v>0</v>
      </c>
      <c r="CR57" s="387" t="n">
        <f aca="false">IF(92&lt;5,0,IF(MAX(CM38:CR38)&gt;CR43+8+$B$18,1,0))</f>
        <v>0</v>
      </c>
      <c r="CS57" s="387" t="n">
        <f aca="false">IF(93&lt;5,0,IF(MAX(CN38:CS38)&gt;CS43+8+$B$18,1,0))</f>
        <v>0</v>
      </c>
      <c r="CT57" s="387" t="n">
        <f aca="false">IF(94&lt;5,0,IF(MAX(CO38:CT38)&gt;CT43+8+$B$18,1,0))</f>
        <v>0</v>
      </c>
      <c r="CU57" s="387" t="n">
        <f aca="false">IF(95&lt;5,0,IF(MAX(CP38:CU38)&gt;CU43+8+$B$18,1,0))</f>
        <v>0</v>
      </c>
      <c r="CV57" s="387" t="n">
        <f aca="false">IF(96&lt;5,0,IF(MAX(CQ38:CV38)&gt;CV43+8+$B$18,1,0))</f>
        <v>0</v>
      </c>
      <c r="CW57" s="387" t="n">
        <f aca="false">IF(97&lt;5,0,IF(MAX(CR38:CW38)&gt;CW43+8+$B$18,1,0))</f>
        <v>0</v>
      </c>
      <c r="CX57" s="387" t="n">
        <f aca="false">IF(98&lt;5,0,IF(MAX(CS38:CX38)&gt;CX43+8+$B$18,1,0))</f>
        <v>0</v>
      </c>
      <c r="CY57" s="387" t="n">
        <f aca="false">IF(99&lt;5,0,IF(MAX(CT38:CY38)&gt;CY43+8+$B$18,1,0))</f>
        <v>0</v>
      </c>
      <c r="CZ57" s="387" t="n">
        <f aca="false">IF(100&lt;5,0,IF(MAX(CU38:CZ38)&gt;CZ43+8+$B$18,1,0))</f>
        <v>0</v>
      </c>
      <c r="DA57" s="387" t="n">
        <f aca="false">IF(101&lt;5,0,IF(MAX(CV38:DA38)&gt;DA43+8+$B$18,1,0))</f>
        <v>0</v>
      </c>
      <c r="DB57" s="387" t="n">
        <f aca="false">IF(102&lt;5,0,IF(MAX(CW38:DB38)&gt;DB43+8+$B$18,1,0))</f>
        <v>0</v>
      </c>
      <c r="DC57" s="387" t="n">
        <f aca="false">IF(103&lt;5,0,IF(MAX(CX38:DC38)&gt;DC43+8+$B$18,1,0))</f>
        <v>0</v>
      </c>
      <c r="DD57" s="387" t="n">
        <f aca="false">IF(104&lt;5,0,IF(MAX(CY38:DD38)&gt;DD43+8+$B$18,1,0))</f>
        <v>0</v>
      </c>
      <c r="DE57" s="387" t="n">
        <f aca="false">IF(105&lt;5,0,IF(MAX(CZ38:DE38)&gt;DE43+8+$B$18,1,0))</f>
        <v>0</v>
      </c>
    </row>
    <row r="58" customFormat="false" ht="13.5" hidden="false" customHeight="true" outlineLevel="0" collapsed="false">
      <c r="A58" s="110" t="s">
        <v>1396</v>
      </c>
      <c r="B58" s="213" t="n">
        <f aca="false">$B$27</f>
        <v>125000</v>
      </c>
      <c r="E58" s="387" t="n">
        <f aca="false">IF(1&lt;5,0,IF(MAX(E38:E38)&gt;E43+9+$B$18,1,0))</f>
        <v>0</v>
      </c>
      <c r="F58" s="387" t="n">
        <f aca="false">IF(2&lt;5,0,IF(MAX(E38:F38)&gt;F43+9+$B$18,1,0))</f>
        <v>0</v>
      </c>
      <c r="G58" s="387" t="n">
        <f aca="false">IF(3&lt;5,0,IF(MAX(E38:G38)&gt;G43+9+$B$18,1,0))</f>
        <v>0</v>
      </c>
      <c r="H58" s="387" t="n">
        <f aca="false">IF(4&lt;5,0,IF(MAX(E38:H38)&gt;H43+9+$B$18,1,0))</f>
        <v>0</v>
      </c>
      <c r="I58" s="387" t="n">
        <f aca="false">IF(5&lt;5,0,IF(MAX(E38:I38)&gt;I43+9+$B$18,1,0))</f>
        <v>0</v>
      </c>
      <c r="J58" s="387" t="n">
        <f aca="false">IF(6&lt;5,0,IF(MAX(E38:J38)&gt;J43+9+$B$18,1,0))</f>
        <v>0</v>
      </c>
      <c r="K58" s="387" t="n">
        <f aca="false">IF(7&lt;5,0,IF(MAX(F38:K38)&gt;K43+9+$B$18,1,0))</f>
        <v>0</v>
      </c>
      <c r="L58" s="387" t="n">
        <f aca="false">IF(8&lt;5,0,IF(MAX(G38:L38)&gt;L43+9+$B$18,1,0))</f>
        <v>0</v>
      </c>
      <c r="M58" s="387" t="n">
        <f aca="false">IF(9&lt;5,0,IF(MAX(H38:M38)&gt;M43+9+$B$18,1,0))</f>
        <v>0</v>
      </c>
      <c r="N58" s="387" t="n">
        <f aca="false">IF(10&lt;5,0,IF(MAX(I38:N38)&gt;N43+9+$B$18,1,0))</f>
        <v>0</v>
      </c>
      <c r="O58" s="387" t="n">
        <f aca="false">IF(11&lt;5,0,IF(MAX(J38:O38)&gt;O43+9+$B$18,1,0))</f>
        <v>0</v>
      </c>
      <c r="P58" s="387" t="n">
        <f aca="false">IF(12&lt;5,0,IF(MAX(K38:P38)&gt;P43+9+$B$18,1,0))</f>
        <v>0</v>
      </c>
      <c r="Q58" s="387" t="n">
        <f aca="false">IF(13&lt;5,0,IF(MAX(L38:Q38)&gt;Q43+9+$B$18,1,0))</f>
        <v>0</v>
      </c>
      <c r="R58" s="387" t="n">
        <f aca="false">IF(14&lt;5,0,IF(MAX(M38:R38)&gt;R43+9+$B$18,1,0))</f>
        <v>0</v>
      </c>
      <c r="S58" s="387" t="n">
        <f aca="false">IF(15&lt;5,0,IF(MAX(N38:S38)&gt;S43+9+$B$18,1,0))</f>
        <v>0</v>
      </c>
      <c r="T58" s="387" t="n">
        <f aca="false">IF(16&lt;5,0,IF(MAX(O38:T38)&gt;T43+9+$B$18,1,0))</f>
        <v>0</v>
      </c>
      <c r="U58" s="387" t="n">
        <f aca="false">IF(17&lt;5,0,IF(MAX(P38:U38)&gt;U43+9+$B$18,1,0))</f>
        <v>0</v>
      </c>
      <c r="V58" s="387" t="n">
        <f aca="false">IF(18&lt;5,0,IF(MAX(Q38:V38)&gt;V43+9+$B$18,1,0))</f>
        <v>0</v>
      </c>
      <c r="W58" s="387" t="n">
        <f aca="false">IF(19&lt;5,0,IF(MAX(R38:W38)&gt;W43+9+$B$18,1,0))</f>
        <v>0</v>
      </c>
      <c r="X58" s="387" t="n">
        <f aca="false">IF(20&lt;5,0,IF(MAX(S38:X38)&gt;X43+9+$B$18,1,0))</f>
        <v>0</v>
      </c>
      <c r="Y58" s="387" t="n">
        <f aca="false">IF(21&lt;5,0,IF(MAX(T38:Y38)&gt;Y43+9+$B$18,1,0))</f>
        <v>0</v>
      </c>
      <c r="Z58" s="387" t="n">
        <f aca="false">IF(22&lt;5,0,IF(MAX(U38:Z38)&gt;Z43+9+$B$18,1,0))</f>
        <v>0</v>
      </c>
      <c r="AA58" s="387" t="n">
        <f aca="false">IF(23&lt;5,0,IF(MAX(V38:AA38)&gt;AA43+9+$B$18,1,0))</f>
        <v>0</v>
      </c>
      <c r="AB58" s="387" t="n">
        <f aca="false">IF(24&lt;5,0,IF(MAX(W38:AB38)&gt;AB43+9+$B$18,1,0))</f>
        <v>0</v>
      </c>
      <c r="AC58" s="387" t="n">
        <f aca="false">IF(25&lt;5,0,IF(MAX(X38:AC38)&gt;AC43+9+$B$18,1,0))</f>
        <v>0</v>
      </c>
      <c r="AD58" s="387" t="n">
        <f aca="false">IF(26&lt;5,0,IF(MAX(Y38:AD38)&gt;AD43+9+$B$18,1,0))</f>
        <v>0</v>
      </c>
      <c r="AE58" s="387" t="n">
        <f aca="false">IF(27&lt;5,0,IF(MAX(Z38:AE38)&gt;AE43+9+$B$18,1,0))</f>
        <v>0</v>
      </c>
      <c r="AF58" s="387" t="n">
        <f aca="false">IF(28&lt;5,0,IF(MAX(AA38:AF38)&gt;AF43+9+$B$18,1,0))</f>
        <v>0</v>
      </c>
      <c r="AG58" s="387" t="n">
        <f aca="false">IF(29&lt;5,0,IF(MAX(AB38:AG38)&gt;AG43+9+$B$18,1,0))</f>
        <v>0</v>
      </c>
      <c r="AH58" s="387" t="n">
        <f aca="false">IF(30&lt;5,0,IF(MAX(AC38:AH38)&gt;AH43+9+$B$18,1,0))</f>
        <v>0</v>
      </c>
      <c r="AI58" s="387" t="n">
        <f aca="false">IF(31&lt;5,0,IF(MAX(AD38:AI38)&gt;AI43+9+$B$18,1,0))</f>
        <v>0</v>
      </c>
      <c r="AJ58" s="387" t="n">
        <f aca="false">IF(32&lt;5,0,IF(MAX(AE38:AJ38)&gt;AJ43+9+$B$18,1,0))</f>
        <v>0</v>
      </c>
      <c r="AK58" s="387" t="n">
        <f aca="false">IF(33&lt;5,0,IF(MAX(AF38:AK38)&gt;AK43+9+$B$18,1,0))</f>
        <v>0</v>
      </c>
      <c r="AL58" s="387" t="n">
        <f aca="false">IF(34&lt;5,0,IF(MAX(AG38:AL38)&gt;AL43+9+$B$18,1,0))</f>
        <v>0</v>
      </c>
      <c r="AM58" s="387" t="n">
        <f aca="false">IF(35&lt;5,0,IF(MAX(AH38:AM38)&gt;AM43+9+$B$18,1,0))</f>
        <v>0</v>
      </c>
      <c r="AN58" s="387" t="n">
        <f aca="false">IF(36&lt;5,0,IF(MAX(AI38:AN38)&gt;AN43+9+$B$18,1,0))</f>
        <v>0</v>
      </c>
      <c r="AO58" s="387" t="n">
        <f aca="false">IF(37&lt;5,0,IF(MAX(AJ38:AO38)&gt;AO43+9+$B$18,1,0))</f>
        <v>0</v>
      </c>
      <c r="AP58" s="387" t="n">
        <f aca="false">IF(38&lt;5,0,IF(MAX(AK38:AP38)&gt;AP43+9+$B$18,1,0))</f>
        <v>0</v>
      </c>
      <c r="AQ58" s="387" t="n">
        <f aca="false">IF(39&lt;5,0,IF(MAX(AL38:AQ38)&gt;AQ43+9+$B$18,1,0))</f>
        <v>0</v>
      </c>
      <c r="AR58" s="387" t="n">
        <f aca="false">IF(40&lt;5,0,IF(MAX(AM38:AR38)&gt;AR43+9+$B$18,1,0))</f>
        <v>0</v>
      </c>
      <c r="AS58" s="387" t="n">
        <f aca="false">IF(41&lt;5,0,IF(MAX(AN38:AS38)&gt;AS43+9+$B$18,1,0))</f>
        <v>0</v>
      </c>
      <c r="AT58" s="387" t="n">
        <f aca="false">IF(42&lt;5,0,IF(MAX(AO38:AT38)&gt;AT43+9+$B$18,1,0))</f>
        <v>0</v>
      </c>
      <c r="AU58" s="387" t="n">
        <f aca="false">IF(43&lt;5,0,IF(MAX(AP38:AU38)&gt;AU43+9+$B$18,1,0))</f>
        <v>0</v>
      </c>
      <c r="AV58" s="387" t="n">
        <f aca="false">IF(44&lt;5,0,IF(MAX(AQ38:AV38)&gt;AV43+9+$B$18,1,0))</f>
        <v>0</v>
      </c>
      <c r="AW58" s="387" t="n">
        <f aca="false">IF(45&lt;5,0,IF(MAX(AR38:AW38)&gt;AW43+9+$B$18,1,0))</f>
        <v>0</v>
      </c>
      <c r="AX58" s="387" t="n">
        <f aca="false">IF(46&lt;5,0,IF(MAX(AS38:AX38)&gt;AX43+9+$B$18,1,0))</f>
        <v>0</v>
      </c>
      <c r="AY58" s="387" t="n">
        <f aca="false">IF(47&lt;5,0,IF(MAX(AT38:AY38)&gt;AY43+9+$B$18,1,0))</f>
        <v>0</v>
      </c>
      <c r="AZ58" s="387" t="n">
        <f aca="false">IF(48&lt;5,0,IF(MAX(AU38:AZ38)&gt;AZ43+9+$B$18,1,0))</f>
        <v>0</v>
      </c>
      <c r="BA58" s="387" t="n">
        <f aca="false">IF(49&lt;5,0,IF(MAX(AV38:BA38)&gt;BA43+9+$B$18,1,0))</f>
        <v>0</v>
      </c>
      <c r="BB58" s="387" t="n">
        <f aca="false">IF(50&lt;5,0,IF(MAX(AW38:BB38)&gt;BB43+9+$B$18,1,0))</f>
        <v>0</v>
      </c>
      <c r="BC58" s="387" t="n">
        <f aca="false">IF(51&lt;5,0,IF(MAX(AX38:BC38)&gt;BC43+9+$B$18,1,0))</f>
        <v>0</v>
      </c>
      <c r="BD58" s="387" t="n">
        <f aca="false">IF(52&lt;5,0,IF(MAX(AY38:BD38)&gt;BD43+9+$B$18,1,0))</f>
        <v>0</v>
      </c>
      <c r="BE58" s="387" t="n">
        <f aca="false">IF(53&lt;5,0,IF(MAX(AZ38:BE38)&gt;BE43+9+$B$18,1,0))</f>
        <v>0</v>
      </c>
      <c r="BF58" s="387" t="n">
        <f aca="false">IF(54&lt;5,0,IF(MAX(BA38:BF38)&gt;BF43+9+$B$18,1,0))</f>
        <v>0</v>
      </c>
      <c r="BG58" s="387" t="n">
        <f aca="false">IF(55&lt;5,0,IF(MAX(BB38:BG38)&gt;BG43+9+$B$18,1,0))</f>
        <v>0</v>
      </c>
      <c r="BH58" s="387" t="n">
        <f aca="false">IF(56&lt;5,0,IF(MAX(BC38:BH38)&gt;BH43+9+$B$18,1,0))</f>
        <v>0</v>
      </c>
      <c r="BI58" s="387" t="n">
        <f aca="false">IF(57&lt;5,0,IF(MAX(BD38:BI38)&gt;BI43+9+$B$18,1,0))</f>
        <v>0</v>
      </c>
      <c r="BJ58" s="387" t="n">
        <f aca="false">IF(58&lt;5,0,IF(MAX(BE38:BJ38)&gt;BJ43+9+$B$18,1,0))</f>
        <v>0</v>
      </c>
      <c r="BK58" s="387" t="n">
        <f aca="false">IF(59&lt;5,0,IF(MAX(BF38:BK38)&gt;BK43+9+$B$18,1,0))</f>
        <v>0</v>
      </c>
      <c r="BL58" s="387" t="n">
        <f aca="false">IF(60&lt;5,0,IF(MAX(BG38:BL38)&gt;BL43+9+$B$18,1,0))</f>
        <v>0</v>
      </c>
      <c r="BM58" s="387" t="n">
        <f aca="false">IF(61&lt;5,0,IF(MAX(BH38:BM38)&gt;BM43+9+$B$18,1,0))</f>
        <v>0</v>
      </c>
      <c r="BN58" s="387" t="n">
        <f aca="false">IF(62&lt;5,0,IF(MAX(BI38:BN38)&gt;BN43+9+$B$18,1,0))</f>
        <v>0</v>
      </c>
      <c r="BO58" s="387" t="n">
        <f aca="false">IF(63&lt;5,0,IF(MAX(BJ38:BO38)&gt;BO43+9+$B$18,1,0))</f>
        <v>0</v>
      </c>
      <c r="BP58" s="387" t="n">
        <f aca="false">IF(64&lt;5,0,IF(MAX(BK38:BP38)&gt;BP43+9+$B$18,1,0))</f>
        <v>0</v>
      </c>
      <c r="BQ58" s="387" t="n">
        <f aca="false">IF(65&lt;5,0,IF(MAX(BL38:BQ38)&gt;BQ43+9+$B$18,1,0))</f>
        <v>0</v>
      </c>
      <c r="BR58" s="387" t="n">
        <f aca="false">IF(66&lt;5,0,IF(MAX(BM38:BR38)&gt;BR43+9+$B$18,1,0))</f>
        <v>0</v>
      </c>
      <c r="BS58" s="387" t="n">
        <f aca="false">IF(67&lt;5,0,IF(MAX(BN38:BS38)&gt;BS43+9+$B$18,1,0))</f>
        <v>0</v>
      </c>
      <c r="BT58" s="387" t="n">
        <f aca="false">IF(68&lt;5,0,IF(MAX(BO38:BT38)&gt;BT43+9+$B$18,1,0))</f>
        <v>0</v>
      </c>
      <c r="BU58" s="387" t="n">
        <f aca="false">IF(69&lt;5,0,IF(MAX(BP38:BU38)&gt;BU43+9+$B$18,1,0))</f>
        <v>0</v>
      </c>
      <c r="BV58" s="387" t="n">
        <f aca="false">IF(70&lt;5,0,IF(MAX(BQ38:BV38)&gt;BV43+9+$B$18,1,0))</f>
        <v>0</v>
      </c>
      <c r="BW58" s="387" t="n">
        <f aca="false">IF(71&lt;5,0,IF(MAX(BR38:BW38)&gt;BW43+9+$B$18,1,0))</f>
        <v>0</v>
      </c>
      <c r="BX58" s="387" t="n">
        <f aca="false">IF(72&lt;5,0,IF(MAX(BS38:BX38)&gt;BX43+9+$B$18,1,0))</f>
        <v>0</v>
      </c>
      <c r="BY58" s="387" t="n">
        <f aca="false">IF(73&lt;5,0,IF(MAX(BT38:BY38)&gt;BY43+9+$B$18,1,0))</f>
        <v>0</v>
      </c>
      <c r="BZ58" s="387" t="n">
        <f aca="false">IF(74&lt;5,0,IF(MAX(BU38:BZ38)&gt;BZ43+9+$B$18,1,0))</f>
        <v>0</v>
      </c>
      <c r="CA58" s="387" t="n">
        <f aca="false">IF(75&lt;5,0,IF(MAX(BV38:CA38)&gt;CA43+9+$B$18,1,0))</f>
        <v>0</v>
      </c>
      <c r="CB58" s="387" t="n">
        <f aca="false">IF(76&lt;5,0,IF(MAX(BW38:CB38)&gt;CB43+9+$B$18,1,0))</f>
        <v>0</v>
      </c>
      <c r="CC58" s="387" t="n">
        <f aca="false">IF(77&lt;5,0,IF(MAX(BX38:CC38)&gt;CC43+9+$B$18,1,0))</f>
        <v>0</v>
      </c>
      <c r="CD58" s="387" t="n">
        <f aca="false">IF(78&lt;5,0,IF(MAX(BY38:CD38)&gt;CD43+9+$B$18,1,0))</f>
        <v>0</v>
      </c>
      <c r="CE58" s="387" t="n">
        <f aca="false">IF(79&lt;5,0,IF(MAX(BZ38:CE38)&gt;CE43+9+$B$18,1,0))</f>
        <v>0</v>
      </c>
      <c r="CF58" s="387" t="n">
        <f aca="false">IF(80&lt;5,0,IF(MAX(CA38:CF38)&gt;CF43+9+$B$18,1,0))</f>
        <v>0</v>
      </c>
      <c r="CG58" s="387" t="n">
        <f aca="false">IF(81&lt;5,0,IF(MAX(CB38:CG38)&gt;CG43+9+$B$18,1,0))</f>
        <v>0</v>
      </c>
      <c r="CH58" s="387" t="n">
        <f aca="false">IF(82&lt;5,0,IF(MAX(CC38:CH38)&gt;CH43+9+$B$18,1,0))</f>
        <v>0</v>
      </c>
      <c r="CI58" s="387" t="n">
        <f aca="false">IF(83&lt;5,0,IF(MAX(CD38:CI38)&gt;CI43+9+$B$18,1,0))</f>
        <v>0</v>
      </c>
      <c r="CJ58" s="387" t="n">
        <f aca="false">IF(84&lt;5,0,IF(MAX(CE38:CJ38)&gt;CJ43+9+$B$18,1,0))</f>
        <v>0</v>
      </c>
      <c r="CK58" s="387" t="n">
        <f aca="false">IF(85&lt;5,0,IF(MAX(CF38:CK38)&gt;CK43+9+$B$18,1,0))</f>
        <v>0</v>
      </c>
      <c r="CL58" s="387" t="n">
        <f aca="false">IF(86&lt;5,0,IF(MAX(CG38:CL38)&gt;CL43+9+$B$18,1,0))</f>
        <v>0</v>
      </c>
      <c r="CM58" s="387" t="n">
        <f aca="false">IF(87&lt;5,0,IF(MAX(CH38:CM38)&gt;CM43+9+$B$18,1,0))</f>
        <v>0</v>
      </c>
      <c r="CN58" s="387" t="n">
        <f aca="false">IF(88&lt;5,0,IF(MAX(CI38:CN38)&gt;CN43+9+$B$18,1,0))</f>
        <v>0</v>
      </c>
      <c r="CO58" s="387" t="n">
        <f aca="false">IF(89&lt;5,0,IF(MAX(CJ38:CO38)&gt;CO43+9+$B$18,1,0))</f>
        <v>0</v>
      </c>
      <c r="CP58" s="387" t="n">
        <f aca="false">IF(90&lt;5,0,IF(MAX(CK38:CP38)&gt;CP43+9+$B$18,1,0))</f>
        <v>0</v>
      </c>
      <c r="CQ58" s="387" t="n">
        <f aca="false">IF(91&lt;5,0,IF(MAX(CL38:CQ38)&gt;CQ43+9+$B$18,1,0))</f>
        <v>0</v>
      </c>
      <c r="CR58" s="387" t="n">
        <f aca="false">IF(92&lt;5,0,IF(MAX(CM38:CR38)&gt;CR43+9+$B$18,1,0))</f>
        <v>0</v>
      </c>
      <c r="CS58" s="387" t="n">
        <f aca="false">IF(93&lt;5,0,IF(MAX(CN38:CS38)&gt;CS43+9+$B$18,1,0))</f>
        <v>0</v>
      </c>
      <c r="CT58" s="387" t="n">
        <f aca="false">IF(94&lt;5,0,IF(MAX(CO38:CT38)&gt;CT43+9+$B$18,1,0))</f>
        <v>0</v>
      </c>
      <c r="CU58" s="387" t="n">
        <f aca="false">IF(95&lt;5,0,IF(MAX(CP38:CU38)&gt;CU43+9+$B$18,1,0))</f>
        <v>0</v>
      </c>
      <c r="CV58" s="387" t="n">
        <f aca="false">IF(96&lt;5,0,IF(MAX(CQ38:CV38)&gt;CV43+9+$B$18,1,0))</f>
        <v>0</v>
      </c>
      <c r="CW58" s="387" t="n">
        <f aca="false">IF(97&lt;5,0,IF(MAX(CR38:CW38)&gt;CW43+9+$B$18,1,0))</f>
        <v>0</v>
      </c>
      <c r="CX58" s="387" t="n">
        <f aca="false">IF(98&lt;5,0,IF(MAX(CS38:CX38)&gt;CX43+9+$B$18,1,0))</f>
        <v>0</v>
      </c>
      <c r="CY58" s="387" t="n">
        <f aca="false">IF(99&lt;5,0,IF(MAX(CT38:CY38)&gt;CY43+9+$B$18,1,0))</f>
        <v>0</v>
      </c>
      <c r="CZ58" s="387" t="n">
        <f aca="false">IF(100&lt;5,0,IF(MAX(CU38:CZ38)&gt;CZ43+9+$B$18,1,0))</f>
        <v>0</v>
      </c>
      <c r="DA58" s="387" t="n">
        <f aca="false">IF(101&lt;5,0,IF(MAX(CV38:DA38)&gt;DA43+9+$B$18,1,0))</f>
        <v>0</v>
      </c>
      <c r="DB58" s="387" t="n">
        <f aca="false">IF(102&lt;5,0,IF(MAX(CW38:DB38)&gt;DB43+9+$B$18,1,0))</f>
        <v>0</v>
      </c>
      <c r="DC58" s="387" t="n">
        <f aca="false">IF(103&lt;5,0,IF(MAX(CX38:DC38)&gt;DC43+9+$B$18,1,0))</f>
        <v>0</v>
      </c>
      <c r="DD58" s="387" t="n">
        <f aca="false">IF(104&lt;5,0,IF(MAX(CY38:DD38)&gt;DD43+9+$B$18,1,0))</f>
        <v>0</v>
      </c>
      <c r="DE58" s="387"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1397</v>
      </c>
      <c r="B61" s="213" t="n">
        <f aca="false">$B$28</f>
        <v>130000</v>
      </c>
      <c r="E61" s="387" t="n">
        <f aca="false">IF(1&lt;5,0,IF(MAX(E39:E39)&gt;E44+0+$B$18,1,0))</f>
        <v>0</v>
      </c>
      <c r="F61" s="387" t="n">
        <f aca="false">IF(2&lt;5,0,IF(MAX(E39:F39)&gt;F44+0+$B$18,1,0))</f>
        <v>0</v>
      </c>
      <c r="G61" s="387" t="n">
        <f aca="false">IF(3&lt;5,0,IF(MAX(E39:G39)&gt;G44+0+$B$18,1,0))</f>
        <v>0</v>
      </c>
      <c r="H61" s="387" t="n">
        <f aca="false">IF(4&lt;5,0,IF(MAX(E39:H39)&gt;H44+0+$B$18,1,0))</f>
        <v>0</v>
      </c>
      <c r="I61" s="387" t="n">
        <f aca="false">IF(5&lt;5,0,IF(MAX(E39:I39)&gt;I44+0+$B$18,1,0))</f>
        <v>1</v>
      </c>
      <c r="J61" s="387" t="n">
        <f aca="false">IF(6&lt;5,0,IF(MAX(E39:J39)&gt;J44+0+$B$18,1,0))</f>
        <v>0</v>
      </c>
      <c r="K61" s="387" t="n">
        <f aca="false">IF(7&lt;5,0,IF(MAX(F39:K39)&gt;K44+0+$B$18,1,0))</f>
        <v>0</v>
      </c>
      <c r="L61" s="387" t="n">
        <f aca="false">IF(8&lt;5,0,IF(MAX(G39:L39)&gt;L44+0+$B$18,1,0))</f>
        <v>0</v>
      </c>
      <c r="M61" s="387" t="n">
        <f aca="false">IF(9&lt;5,0,IF(MAX(H39:M39)&gt;M44+0+$B$18,1,0))</f>
        <v>0</v>
      </c>
      <c r="N61" s="387" t="n">
        <f aca="false">IF(10&lt;5,0,IF(MAX(I39:N39)&gt;N44+0+$B$18,1,0))</f>
        <v>1</v>
      </c>
      <c r="O61" s="387" t="n">
        <f aca="false">IF(11&lt;5,0,IF(MAX(J39:O39)&gt;O44+0+$B$18,1,0))</f>
        <v>1</v>
      </c>
      <c r="P61" s="387" t="n">
        <f aca="false">IF(12&lt;5,0,IF(MAX(K39:P39)&gt;P44+0+$B$18,1,0))</f>
        <v>1</v>
      </c>
      <c r="Q61" s="387" t="n">
        <f aca="false">IF(13&lt;5,0,IF(MAX(L39:Q39)&gt;Q44+0+$B$18,1,0))</f>
        <v>1</v>
      </c>
      <c r="R61" s="387" t="n">
        <f aca="false">IF(14&lt;5,0,IF(MAX(M39:R39)&gt;R44+0+$B$18,1,0))</f>
        <v>1</v>
      </c>
      <c r="S61" s="387" t="n">
        <f aca="false">IF(15&lt;5,0,IF(MAX(N39:S39)&gt;S44+0+$B$18,1,0))</f>
        <v>1</v>
      </c>
      <c r="T61" s="387" t="n">
        <f aca="false">IF(16&lt;5,0,IF(MAX(O39:T39)&gt;T44+0+$B$18,1,0))</f>
        <v>1</v>
      </c>
      <c r="U61" s="387" t="n">
        <f aca="false">IF(17&lt;5,0,IF(MAX(P39:U39)&gt;U44+0+$B$18,1,0))</f>
        <v>1</v>
      </c>
      <c r="V61" s="387" t="n">
        <f aca="false">IF(18&lt;5,0,IF(MAX(Q39:V39)&gt;V44+0+$B$18,1,0))</f>
        <v>1</v>
      </c>
      <c r="W61" s="387" t="n">
        <f aca="false">IF(19&lt;5,0,IF(MAX(R39:W39)&gt;W44+0+$B$18,1,0))</f>
        <v>1</v>
      </c>
      <c r="X61" s="387" t="n">
        <f aca="false">IF(20&lt;5,0,IF(MAX(S39:X39)&gt;X44+0+$B$18,1,0))</f>
        <v>1</v>
      </c>
      <c r="Y61" s="387" t="n">
        <f aca="false">IF(21&lt;5,0,IF(MAX(T39:Y39)&gt;Y44+0+$B$18,1,0))</f>
        <v>1</v>
      </c>
      <c r="Z61" s="387" t="n">
        <f aca="false">IF(22&lt;5,0,IF(MAX(U39:Z39)&gt;Z44+0+$B$18,1,0))</f>
        <v>1</v>
      </c>
      <c r="AA61" s="387" t="n">
        <f aca="false">IF(23&lt;5,0,IF(MAX(V39:AA39)&gt;AA44+0+$B$18,1,0))</f>
        <v>1</v>
      </c>
      <c r="AB61" s="387" t="n">
        <f aca="false">IF(24&lt;5,0,IF(MAX(W39:AB39)&gt;AB44+0+$B$18,1,0))</f>
        <v>1</v>
      </c>
      <c r="AC61" s="387" t="n">
        <f aca="false">IF(25&lt;5,0,IF(MAX(X39:AC39)&gt;AC44+0+$B$18,1,0))</f>
        <v>1</v>
      </c>
      <c r="AD61" s="387" t="n">
        <f aca="false">IF(26&lt;5,0,IF(MAX(Y39:AD39)&gt;AD44+0+$B$18,1,0))</f>
        <v>1</v>
      </c>
      <c r="AE61" s="387" t="n">
        <f aca="false">IF(27&lt;5,0,IF(MAX(Z39:AE39)&gt;AE44+0+$B$18,1,0))</f>
        <v>1</v>
      </c>
      <c r="AF61" s="387" t="n">
        <f aca="false">IF(28&lt;5,0,IF(MAX(AA39:AF39)&gt;AF44+0+$B$18,1,0))</f>
        <v>1</v>
      </c>
      <c r="AG61" s="387" t="n">
        <f aca="false">IF(29&lt;5,0,IF(MAX(AB39:AG39)&gt;AG44+0+$B$18,1,0))</f>
        <v>1</v>
      </c>
      <c r="AH61" s="387" t="n">
        <f aca="false">IF(30&lt;5,0,IF(MAX(AC39:AH39)&gt;AH44+0+$B$18,1,0))</f>
        <v>1</v>
      </c>
      <c r="AI61" s="387" t="n">
        <f aca="false">IF(31&lt;5,0,IF(MAX(AD39:AI39)&gt;AI44+0+$B$18,1,0))</f>
        <v>1</v>
      </c>
      <c r="AJ61" s="387" t="n">
        <f aca="false">IF(32&lt;5,0,IF(MAX(AE39:AJ39)&gt;AJ44+0+$B$18,1,0))</f>
        <v>1</v>
      </c>
      <c r="AK61" s="387" t="n">
        <f aca="false">IF(33&lt;5,0,IF(MAX(AF39:AK39)&gt;AK44+0+$B$18,1,0))</f>
        <v>1</v>
      </c>
      <c r="AL61" s="387" t="n">
        <f aca="false">IF(34&lt;5,0,IF(MAX(AG39:AL39)&gt;AL44+0+$B$18,1,0))</f>
        <v>1</v>
      </c>
      <c r="AM61" s="387" t="n">
        <f aca="false">IF(35&lt;5,0,IF(MAX(AH39:AM39)&gt;AM44+0+$B$18,1,0))</f>
        <v>1</v>
      </c>
      <c r="AN61" s="387" t="n">
        <f aca="false">IF(36&lt;5,0,IF(MAX(AI39:AN39)&gt;AN44+0+$B$18,1,0))</f>
        <v>1</v>
      </c>
      <c r="AO61" s="387" t="n">
        <f aca="false">IF(37&lt;5,0,IF(MAX(AJ39:AO39)&gt;AO44+0+$B$18,1,0))</f>
        <v>1</v>
      </c>
      <c r="AP61" s="387" t="n">
        <f aca="false">IF(38&lt;5,0,IF(MAX(AK39:AP39)&gt;AP44+0+$B$18,1,0))</f>
        <v>1</v>
      </c>
      <c r="AQ61" s="387" t="n">
        <f aca="false">IF(39&lt;5,0,IF(MAX(AL39:AQ39)&gt;AQ44+0+$B$18,1,0))</f>
        <v>0</v>
      </c>
      <c r="AR61" s="387" t="n">
        <f aca="false">IF(40&lt;5,0,IF(MAX(AM39:AR39)&gt;AR44+0+$B$18,1,0))</f>
        <v>0</v>
      </c>
      <c r="AS61" s="387" t="n">
        <f aca="false">IF(41&lt;5,0,IF(MAX(AN39:AS39)&gt;AS44+0+$B$18,1,0))</f>
        <v>0</v>
      </c>
      <c r="AT61" s="387" t="n">
        <f aca="false">IF(42&lt;5,0,IF(MAX(AO39:AT39)&gt;AT44+0+$B$18,1,0))</f>
        <v>0</v>
      </c>
      <c r="AU61" s="387" t="n">
        <f aca="false">IF(43&lt;5,0,IF(MAX(AP39:AU39)&gt;AU44+0+$B$18,1,0))</f>
        <v>0</v>
      </c>
      <c r="AV61" s="387" t="n">
        <f aca="false">IF(44&lt;5,0,IF(MAX(AQ39:AV39)&gt;AV44+0+$B$18,1,0))</f>
        <v>0</v>
      </c>
      <c r="AW61" s="387" t="n">
        <f aca="false">IF(45&lt;5,0,IF(MAX(AR39:AW39)&gt;AW44+0+$B$18,1,0))</f>
        <v>0</v>
      </c>
      <c r="AX61" s="387" t="n">
        <f aca="false">IF(46&lt;5,0,IF(MAX(AS39:AX39)&gt;AX44+0+$B$18,1,0))</f>
        <v>0</v>
      </c>
      <c r="AY61" s="387" t="n">
        <f aca="false">IF(47&lt;5,0,IF(MAX(AT39:AY39)&gt;AY44+0+$B$18,1,0))</f>
        <v>0</v>
      </c>
      <c r="AZ61" s="387" t="n">
        <f aca="false">IF(48&lt;5,0,IF(MAX(AU39:AZ39)&gt;AZ44+0+$B$18,1,0))</f>
        <v>0</v>
      </c>
      <c r="BA61" s="387" t="n">
        <f aca="false">IF(49&lt;5,0,IF(MAX(AV39:BA39)&gt;BA44+0+$B$18,1,0))</f>
        <v>0</v>
      </c>
      <c r="BB61" s="387" t="n">
        <f aca="false">IF(50&lt;5,0,IF(MAX(AW39:BB39)&gt;BB44+0+$B$18,1,0))</f>
        <v>0</v>
      </c>
      <c r="BC61" s="387" t="n">
        <f aca="false">IF(51&lt;5,0,IF(MAX(AX39:BC39)&gt;BC44+0+$B$18,1,0))</f>
        <v>0</v>
      </c>
      <c r="BD61" s="387" t="n">
        <f aca="false">IF(52&lt;5,0,IF(MAX(AY39:BD39)&gt;BD44+0+$B$18,1,0))</f>
        <v>0</v>
      </c>
      <c r="BE61" s="387" t="n">
        <f aca="false">IF(53&lt;5,0,IF(MAX(AZ39:BE39)&gt;BE44+0+$B$18,1,0))</f>
        <v>0</v>
      </c>
      <c r="BF61" s="387" t="n">
        <f aca="false">IF(54&lt;5,0,IF(MAX(BA39:BF39)&gt;BF44+0+$B$18,1,0))</f>
        <v>0</v>
      </c>
      <c r="BG61" s="387" t="n">
        <f aca="false">IF(55&lt;5,0,IF(MAX(BB39:BG39)&gt;BG44+0+$B$18,1,0))</f>
        <v>0</v>
      </c>
      <c r="BH61" s="387" t="n">
        <f aca="false">IF(56&lt;5,0,IF(MAX(BC39:BH39)&gt;BH44+0+$B$18,1,0))</f>
        <v>0</v>
      </c>
      <c r="BI61" s="387" t="n">
        <f aca="false">IF(57&lt;5,0,IF(MAX(BD39:BI39)&gt;BI44+0+$B$18,1,0))</f>
        <v>0</v>
      </c>
      <c r="BJ61" s="387" t="n">
        <f aca="false">IF(58&lt;5,0,IF(MAX(BE39:BJ39)&gt;BJ44+0+$B$18,1,0))</f>
        <v>0</v>
      </c>
      <c r="BK61" s="387" t="n">
        <f aca="false">IF(59&lt;5,0,IF(MAX(BF39:BK39)&gt;BK44+0+$B$18,1,0))</f>
        <v>0</v>
      </c>
      <c r="BL61" s="387" t="n">
        <f aca="false">IF(60&lt;5,0,IF(MAX(BG39:BL39)&gt;BL44+0+$B$18,1,0))</f>
        <v>0</v>
      </c>
      <c r="BM61" s="387" t="n">
        <f aca="false">IF(61&lt;5,0,IF(MAX(BH39:BM39)&gt;BM44+0+$B$18,1,0))</f>
        <v>0</v>
      </c>
      <c r="BN61" s="387" t="n">
        <f aca="false">IF(62&lt;5,0,IF(MAX(BI39:BN39)&gt;BN44+0+$B$18,1,0))</f>
        <v>0</v>
      </c>
      <c r="BO61" s="387" t="n">
        <f aca="false">IF(63&lt;5,0,IF(MAX(BJ39:BO39)&gt;BO44+0+$B$18,1,0))</f>
        <v>0</v>
      </c>
      <c r="BP61" s="387" t="n">
        <f aca="false">IF(64&lt;5,0,IF(MAX(BK39:BP39)&gt;BP44+0+$B$18,1,0))</f>
        <v>0</v>
      </c>
      <c r="BQ61" s="387" t="n">
        <f aca="false">IF(65&lt;5,0,IF(MAX(BL39:BQ39)&gt;BQ44+0+$B$18,1,0))</f>
        <v>0</v>
      </c>
      <c r="BR61" s="387" t="n">
        <f aca="false">IF(66&lt;5,0,IF(MAX(BM39:BR39)&gt;BR44+0+$B$18,1,0))</f>
        <v>0</v>
      </c>
      <c r="BS61" s="387" t="n">
        <f aca="false">IF(67&lt;5,0,IF(MAX(BN39:BS39)&gt;BS44+0+$B$18,1,0))</f>
        <v>0</v>
      </c>
      <c r="BT61" s="387" t="n">
        <f aca="false">IF(68&lt;5,0,IF(MAX(BO39:BT39)&gt;BT44+0+$B$18,1,0))</f>
        <v>0</v>
      </c>
      <c r="BU61" s="387" t="n">
        <f aca="false">IF(69&lt;5,0,IF(MAX(BP39:BU39)&gt;BU44+0+$B$18,1,0))</f>
        <v>0</v>
      </c>
      <c r="BV61" s="387" t="n">
        <f aca="false">IF(70&lt;5,0,IF(MAX(BQ39:BV39)&gt;BV44+0+$B$18,1,0))</f>
        <v>0</v>
      </c>
      <c r="BW61" s="387" t="n">
        <f aca="false">IF(71&lt;5,0,IF(MAX(BR39:BW39)&gt;BW44+0+$B$18,1,0))</f>
        <v>0</v>
      </c>
      <c r="BX61" s="387" t="n">
        <f aca="false">IF(72&lt;5,0,IF(MAX(BS39:BX39)&gt;BX44+0+$B$18,1,0))</f>
        <v>0</v>
      </c>
      <c r="BY61" s="387" t="n">
        <f aca="false">IF(73&lt;5,0,IF(MAX(BT39:BY39)&gt;BY44+0+$B$18,1,0))</f>
        <v>0</v>
      </c>
      <c r="BZ61" s="387" t="n">
        <f aca="false">IF(74&lt;5,0,IF(MAX(BU39:BZ39)&gt;BZ44+0+$B$18,1,0))</f>
        <v>0</v>
      </c>
      <c r="CA61" s="387" t="n">
        <f aca="false">IF(75&lt;5,0,IF(MAX(BV39:CA39)&gt;CA44+0+$B$18,1,0))</f>
        <v>0</v>
      </c>
      <c r="CB61" s="387" t="n">
        <f aca="false">IF(76&lt;5,0,IF(MAX(BW39:CB39)&gt;CB44+0+$B$18,1,0))</f>
        <v>0</v>
      </c>
      <c r="CC61" s="387" t="n">
        <f aca="false">IF(77&lt;5,0,IF(MAX(BX39:CC39)&gt;CC44+0+$B$18,1,0))</f>
        <v>0</v>
      </c>
      <c r="CD61" s="387" t="n">
        <f aca="false">IF(78&lt;5,0,IF(MAX(BY39:CD39)&gt;CD44+0+$B$18,1,0))</f>
        <v>0</v>
      </c>
      <c r="CE61" s="387" t="n">
        <f aca="false">IF(79&lt;5,0,IF(MAX(BZ39:CE39)&gt;CE44+0+$B$18,1,0))</f>
        <v>0</v>
      </c>
      <c r="CF61" s="387" t="n">
        <f aca="false">IF(80&lt;5,0,IF(MAX(CA39:CF39)&gt;CF44+0+$B$18,1,0))</f>
        <v>0</v>
      </c>
      <c r="CG61" s="387" t="n">
        <f aca="false">IF(81&lt;5,0,IF(MAX(CB39:CG39)&gt;CG44+0+$B$18,1,0))</f>
        <v>0</v>
      </c>
      <c r="CH61" s="387" t="n">
        <f aca="false">IF(82&lt;5,0,IF(MAX(CC39:CH39)&gt;CH44+0+$B$18,1,0))</f>
        <v>0</v>
      </c>
      <c r="CI61" s="387" t="n">
        <f aca="false">IF(83&lt;5,0,IF(MAX(CD39:CI39)&gt;CI44+0+$B$18,1,0))</f>
        <v>0</v>
      </c>
      <c r="CJ61" s="387" t="n">
        <f aca="false">IF(84&lt;5,0,IF(MAX(CE39:CJ39)&gt;CJ44+0+$B$18,1,0))</f>
        <v>0</v>
      </c>
      <c r="CK61" s="387" t="n">
        <f aca="false">IF(85&lt;5,0,IF(MAX(CF39:CK39)&gt;CK44+0+$B$18,1,0))</f>
        <v>0</v>
      </c>
      <c r="CL61" s="387" t="n">
        <f aca="false">IF(86&lt;5,0,IF(MAX(CG39:CL39)&gt;CL44+0+$B$18,1,0))</f>
        <v>0</v>
      </c>
      <c r="CM61" s="387" t="n">
        <f aca="false">IF(87&lt;5,0,IF(MAX(CH39:CM39)&gt;CM44+0+$B$18,1,0))</f>
        <v>0</v>
      </c>
      <c r="CN61" s="387" t="n">
        <f aca="false">IF(88&lt;5,0,IF(MAX(CI39:CN39)&gt;CN44+0+$B$18,1,0))</f>
        <v>0</v>
      </c>
      <c r="CO61" s="387" t="n">
        <f aca="false">IF(89&lt;5,0,IF(MAX(CJ39:CO39)&gt;CO44+0+$B$18,1,0))</f>
        <v>0</v>
      </c>
      <c r="CP61" s="387" t="n">
        <f aca="false">IF(90&lt;5,0,IF(MAX(CK39:CP39)&gt;CP44+0+$B$18,1,0))</f>
        <v>0</v>
      </c>
      <c r="CQ61" s="387" t="n">
        <f aca="false">IF(91&lt;5,0,IF(MAX(CL39:CQ39)&gt;CQ44+0+$B$18,1,0))</f>
        <v>0</v>
      </c>
      <c r="CR61" s="387" t="n">
        <f aca="false">IF(92&lt;5,0,IF(MAX(CM39:CR39)&gt;CR44+0+$B$18,1,0))</f>
        <v>0</v>
      </c>
      <c r="CS61" s="387" t="n">
        <f aca="false">IF(93&lt;5,0,IF(MAX(CN39:CS39)&gt;CS44+0+$B$18,1,0))</f>
        <v>0</v>
      </c>
      <c r="CT61" s="387" t="n">
        <f aca="false">IF(94&lt;5,0,IF(MAX(CO39:CT39)&gt;CT44+0+$B$18,1,0))</f>
        <v>0</v>
      </c>
      <c r="CU61" s="387" t="n">
        <f aca="false">IF(95&lt;5,0,IF(MAX(CP39:CU39)&gt;CU44+0+$B$18,1,0))</f>
        <v>0</v>
      </c>
      <c r="CV61" s="387" t="n">
        <f aca="false">IF(96&lt;5,0,IF(MAX(CQ39:CV39)&gt;CV44+0+$B$18,1,0))</f>
        <v>0</v>
      </c>
      <c r="CW61" s="387" t="n">
        <f aca="false">IF(97&lt;5,0,IF(MAX(CR39:CW39)&gt;CW44+0+$B$18,1,0))</f>
        <v>0</v>
      </c>
      <c r="CX61" s="387" t="n">
        <f aca="false">IF(98&lt;5,0,IF(MAX(CS39:CX39)&gt;CX44+0+$B$18,1,0))</f>
        <v>0</v>
      </c>
      <c r="CY61" s="387" t="n">
        <f aca="false">IF(99&lt;5,0,IF(MAX(CT39:CY39)&gt;CY44+0+$B$18,1,0))</f>
        <v>0</v>
      </c>
      <c r="CZ61" s="387" t="n">
        <f aca="false">IF(100&lt;5,0,IF(MAX(CU39:CZ39)&gt;CZ44+0+$B$18,1,0))</f>
        <v>0</v>
      </c>
      <c r="DA61" s="387" t="n">
        <f aca="false">IF(101&lt;5,0,IF(MAX(CV39:DA39)&gt;DA44+0+$B$18,1,0))</f>
        <v>0</v>
      </c>
      <c r="DB61" s="387" t="n">
        <f aca="false">IF(102&lt;5,0,IF(MAX(CW39:DB39)&gt;DB44+0+$B$18,1,0))</f>
        <v>0</v>
      </c>
      <c r="DC61" s="387" t="n">
        <f aca="false">IF(103&lt;5,0,IF(MAX(CX39:DC39)&gt;DC44+0+$B$18,1,0))</f>
        <v>0</v>
      </c>
      <c r="DD61" s="387" t="n">
        <f aca="false">IF(104&lt;5,0,IF(MAX(CY39:DD39)&gt;DD44+0+$B$18,1,0))</f>
        <v>0</v>
      </c>
      <c r="DE61" s="387" t="n">
        <f aca="false">IF(105&lt;5,0,IF(MAX(CZ39:DE39)&gt;DE44+0+$B$18,1,0))</f>
        <v>0</v>
      </c>
    </row>
    <row r="62" customFormat="false" ht="13.5" hidden="false" customHeight="true" outlineLevel="0" collapsed="false">
      <c r="A62" s="110" t="s">
        <v>1398</v>
      </c>
      <c r="B62" s="213" t="n">
        <f aca="false">$B$28</f>
        <v>130000</v>
      </c>
      <c r="E62" s="387" t="n">
        <f aca="false">IF(1&lt;5,0,IF(MAX(E39:E39)&gt;E44+1+$B$18,1,0))</f>
        <v>0</v>
      </c>
      <c r="F62" s="387" t="n">
        <f aca="false">IF(2&lt;5,0,IF(MAX(E39:F39)&gt;F44+1+$B$18,1,0))</f>
        <v>0</v>
      </c>
      <c r="G62" s="387" t="n">
        <f aca="false">IF(3&lt;5,0,IF(MAX(E39:G39)&gt;G44+1+$B$18,1,0))</f>
        <v>0</v>
      </c>
      <c r="H62" s="387" t="n">
        <f aca="false">IF(4&lt;5,0,IF(MAX(E39:H39)&gt;H44+1+$B$18,1,0))</f>
        <v>0</v>
      </c>
      <c r="I62" s="387" t="n">
        <f aca="false">IF(5&lt;5,0,IF(MAX(E39:I39)&gt;I44+1+$B$18,1,0))</f>
        <v>0</v>
      </c>
      <c r="J62" s="387" t="n">
        <f aca="false">IF(6&lt;5,0,IF(MAX(E39:J39)&gt;J44+1+$B$18,1,0))</f>
        <v>0</v>
      </c>
      <c r="K62" s="387" t="n">
        <f aca="false">IF(7&lt;5,0,IF(MAX(F39:K39)&gt;K44+1+$B$18,1,0))</f>
        <v>0</v>
      </c>
      <c r="L62" s="387" t="n">
        <f aca="false">IF(8&lt;5,0,IF(MAX(G39:L39)&gt;L44+1+$B$18,1,0))</f>
        <v>0</v>
      </c>
      <c r="M62" s="387" t="n">
        <f aca="false">IF(9&lt;5,0,IF(MAX(H39:M39)&gt;M44+1+$B$18,1,0))</f>
        <v>0</v>
      </c>
      <c r="N62" s="387" t="n">
        <f aca="false">IF(10&lt;5,0,IF(MAX(I39:N39)&gt;N44+1+$B$18,1,0))</f>
        <v>0</v>
      </c>
      <c r="O62" s="387" t="n">
        <f aca="false">IF(11&lt;5,0,IF(MAX(J39:O39)&gt;O44+1+$B$18,1,0))</f>
        <v>0</v>
      </c>
      <c r="P62" s="387" t="n">
        <f aca="false">IF(12&lt;5,0,IF(MAX(K39:P39)&gt;P44+1+$B$18,1,0))</f>
        <v>0</v>
      </c>
      <c r="Q62" s="387" t="n">
        <f aca="false">IF(13&lt;5,0,IF(MAX(L39:Q39)&gt;Q44+1+$B$18,1,0))</f>
        <v>0</v>
      </c>
      <c r="R62" s="387" t="n">
        <f aca="false">IF(14&lt;5,0,IF(MAX(M39:R39)&gt;R44+1+$B$18,1,0))</f>
        <v>1</v>
      </c>
      <c r="S62" s="387" t="n">
        <f aca="false">IF(15&lt;5,0,IF(MAX(N39:S39)&gt;S44+1+$B$18,1,0))</f>
        <v>1</v>
      </c>
      <c r="T62" s="387" t="n">
        <f aca="false">IF(16&lt;5,0,IF(MAX(O39:T39)&gt;T44+1+$B$18,1,0))</f>
        <v>1</v>
      </c>
      <c r="U62" s="387" t="n">
        <f aca="false">IF(17&lt;5,0,IF(MAX(P39:U39)&gt;U44+1+$B$18,1,0))</f>
        <v>1</v>
      </c>
      <c r="V62" s="387" t="n">
        <f aca="false">IF(18&lt;5,0,IF(MAX(Q39:V39)&gt;V44+1+$B$18,1,0))</f>
        <v>1</v>
      </c>
      <c r="W62" s="387" t="n">
        <f aca="false">IF(19&lt;5,0,IF(MAX(R39:W39)&gt;W44+1+$B$18,1,0))</f>
        <v>1</v>
      </c>
      <c r="X62" s="387" t="n">
        <f aca="false">IF(20&lt;5,0,IF(MAX(S39:X39)&gt;X44+1+$B$18,1,0))</f>
        <v>1</v>
      </c>
      <c r="Y62" s="387" t="n">
        <f aca="false">IF(21&lt;5,0,IF(MAX(T39:Y39)&gt;Y44+1+$B$18,1,0))</f>
        <v>1</v>
      </c>
      <c r="Z62" s="387" t="n">
        <f aca="false">IF(22&lt;5,0,IF(MAX(U39:Z39)&gt;Z44+1+$B$18,1,0))</f>
        <v>1</v>
      </c>
      <c r="AA62" s="387" t="n">
        <f aca="false">IF(23&lt;5,0,IF(MAX(V39:AA39)&gt;AA44+1+$B$18,1,0))</f>
        <v>1</v>
      </c>
      <c r="AB62" s="387" t="n">
        <f aca="false">IF(24&lt;5,0,IF(MAX(W39:AB39)&gt;AB44+1+$B$18,1,0))</f>
        <v>1</v>
      </c>
      <c r="AC62" s="387" t="n">
        <f aca="false">IF(25&lt;5,0,IF(MAX(X39:AC39)&gt;AC44+1+$B$18,1,0))</f>
        <v>1</v>
      </c>
      <c r="AD62" s="387" t="n">
        <f aca="false">IF(26&lt;5,0,IF(MAX(Y39:AD39)&gt;AD44+1+$B$18,1,0))</f>
        <v>1</v>
      </c>
      <c r="AE62" s="387" t="n">
        <f aca="false">IF(27&lt;5,0,IF(MAX(Z39:AE39)&gt;AE44+1+$B$18,1,0))</f>
        <v>1</v>
      </c>
      <c r="AF62" s="387" t="n">
        <f aca="false">IF(28&lt;5,0,IF(MAX(AA39:AF39)&gt;AF44+1+$B$18,1,0))</f>
        <v>1</v>
      </c>
      <c r="AG62" s="387" t="n">
        <f aca="false">IF(29&lt;5,0,IF(MAX(AB39:AG39)&gt;AG44+1+$B$18,1,0))</f>
        <v>1</v>
      </c>
      <c r="AH62" s="387" t="n">
        <f aca="false">IF(30&lt;5,0,IF(MAX(AC39:AH39)&gt;AH44+1+$B$18,1,0))</f>
        <v>1</v>
      </c>
      <c r="AI62" s="387" t="n">
        <f aca="false">IF(31&lt;5,0,IF(MAX(AD39:AI39)&gt;AI44+1+$B$18,1,0))</f>
        <v>1</v>
      </c>
      <c r="AJ62" s="387" t="n">
        <f aca="false">IF(32&lt;5,0,IF(MAX(AE39:AJ39)&gt;AJ44+1+$B$18,1,0))</f>
        <v>1</v>
      </c>
      <c r="AK62" s="387" t="n">
        <f aca="false">IF(33&lt;5,0,IF(MAX(AF39:AK39)&gt;AK44+1+$B$18,1,0))</f>
        <v>1</v>
      </c>
      <c r="AL62" s="387" t="n">
        <f aca="false">IF(34&lt;5,0,IF(MAX(AG39:AL39)&gt;AL44+1+$B$18,1,0))</f>
        <v>1</v>
      </c>
      <c r="AM62" s="387" t="n">
        <f aca="false">IF(35&lt;5,0,IF(MAX(AH39:AM39)&gt;AM44+1+$B$18,1,0))</f>
        <v>0</v>
      </c>
      <c r="AN62" s="387" t="n">
        <f aca="false">IF(36&lt;5,0,IF(MAX(AI39:AN39)&gt;AN44+1+$B$18,1,0))</f>
        <v>0</v>
      </c>
      <c r="AO62" s="387" t="n">
        <f aca="false">IF(37&lt;5,0,IF(MAX(AJ39:AO39)&gt;AO44+1+$B$18,1,0))</f>
        <v>0</v>
      </c>
      <c r="AP62" s="387" t="n">
        <f aca="false">IF(38&lt;5,0,IF(MAX(AK39:AP39)&gt;AP44+1+$B$18,1,0))</f>
        <v>0</v>
      </c>
      <c r="AQ62" s="387" t="n">
        <f aca="false">IF(39&lt;5,0,IF(MAX(AL39:AQ39)&gt;AQ44+1+$B$18,1,0))</f>
        <v>0</v>
      </c>
      <c r="AR62" s="387" t="n">
        <f aca="false">IF(40&lt;5,0,IF(MAX(AM39:AR39)&gt;AR44+1+$B$18,1,0))</f>
        <v>0</v>
      </c>
      <c r="AS62" s="387" t="n">
        <f aca="false">IF(41&lt;5,0,IF(MAX(AN39:AS39)&gt;AS44+1+$B$18,1,0))</f>
        <v>0</v>
      </c>
      <c r="AT62" s="387" t="n">
        <f aca="false">IF(42&lt;5,0,IF(MAX(AO39:AT39)&gt;AT44+1+$B$18,1,0))</f>
        <v>0</v>
      </c>
      <c r="AU62" s="387" t="n">
        <f aca="false">IF(43&lt;5,0,IF(MAX(AP39:AU39)&gt;AU44+1+$B$18,1,0))</f>
        <v>0</v>
      </c>
      <c r="AV62" s="387" t="n">
        <f aca="false">IF(44&lt;5,0,IF(MAX(AQ39:AV39)&gt;AV44+1+$B$18,1,0))</f>
        <v>0</v>
      </c>
      <c r="AW62" s="387" t="n">
        <f aca="false">IF(45&lt;5,0,IF(MAX(AR39:AW39)&gt;AW44+1+$B$18,1,0))</f>
        <v>0</v>
      </c>
      <c r="AX62" s="387" t="n">
        <f aca="false">IF(46&lt;5,0,IF(MAX(AS39:AX39)&gt;AX44+1+$B$18,1,0))</f>
        <v>0</v>
      </c>
      <c r="AY62" s="387" t="n">
        <f aca="false">IF(47&lt;5,0,IF(MAX(AT39:AY39)&gt;AY44+1+$B$18,1,0))</f>
        <v>0</v>
      </c>
      <c r="AZ62" s="387" t="n">
        <f aca="false">IF(48&lt;5,0,IF(MAX(AU39:AZ39)&gt;AZ44+1+$B$18,1,0))</f>
        <v>0</v>
      </c>
      <c r="BA62" s="387" t="n">
        <f aca="false">IF(49&lt;5,0,IF(MAX(AV39:BA39)&gt;BA44+1+$B$18,1,0))</f>
        <v>0</v>
      </c>
      <c r="BB62" s="387" t="n">
        <f aca="false">IF(50&lt;5,0,IF(MAX(AW39:BB39)&gt;BB44+1+$B$18,1,0))</f>
        <v>0</v>
      </c>
      <c r="BC62" s="387" t="n">
        <f aca="false">IF(51&lt;5,0,IF(MAX(AX39:BC39)&gt;BC44+1+$B$18,1,0))</f>
        <v>0</v>
      </c>
      <c r="BD62" s="387" t="n">
        <f aca="false">IF(52&lt;5,0,IF(MAX(AY39:BD39)&gt;BD44+1+$B$18,1,0))</f>
        <v>0</v>
      </c>
      <c r="BE62" s="387" t="n">
        <f aca="false">IF(53&lt;5,0,IF(MAX(AZ39:BE39)&gt;BE44+1+$B$18,1,0))</f>
        <v>0</v>
      </c>
      <c r="BF62" s="387" t="n">
        <f aca="false">IF(54&lt;5,0,IF(MAX(BA39:BF39)&gt;BF44+1+$B$18,1,0))</f>
        <v>0</v>
      </c>
      <c r="BG62" s="387" t="n">
        <f aca="false">IF(55&lt;5,0,IF(MAX(BB39:BG39)&gt;BG44+1+$B$18,1,0))</f>
        <v>0</v>
      </c>
      <c r="BH62" s="387" t="n">
        <f aca="false">IF(56&lt;5,0,IF(MAX(BC39:BH39)&gt;BH44+1+$B$18,1,0))</f>
        <v>0</v>
      </c>
      <c r="BI62" s="387" t="n">
        <f aca="false">IF(57&lt;5,0,IF(MAX(BD39:BI39)&gt;BI44+1+$B$18,1,0))</f>
        <v>0</v>
      </c>
      <c r="BJ62" s="387" t="n">
        <f aca="false">IF(58&lt;5,0,IF(MAX(BE39:BJ39)&gt;BJ44+1+$B$18,1,0))</f>
        <v>0</v>
      </c>
      <c r="BK62" s="387" t="n">
        <f aca="false">IF(59&lt;5,0,IF(MAX(BF39:BK39)&gt;BK44+1+$B$18,1,0))</f>
        <v>0</v>
      </c>
      <c r="BL62" s="387" t="n">
        <f aca="false">IF(60&lt;5,0,IF(MAX(BG39:BL39)&gt;BL44+1+$B$18,1,0))</f>
        <v>0</v>
      </c>
      <c r="BM62" s="387" t="n">
        <f aca="false">IF(61&lt;5,0,IF(MAX(BH39:BM39)&gt;BM44+1+$B$18,1,0))</f>
        <v>0</v>
      </c>
      <c r="BN62" s="387" t="n">
        <f aca="false">IF(62&lt;5,0,IF(MAX(BI39:BN39)&gt;BN44+1+$B$18,1,0))</f>
        <v>0</v>
      </c>
      <c r="BO62" s="387" t="n">
        <f aca="false">IF(63&lt;5,0,IF(MAX(BJ39:BO39)&gt;BO44+1+$B$18,1,0))</f>
        <v>0</v>
      </c>
      <c r="BP62" s="387" t="n">
        <f aca="false">IF(64&lt;5,0,IF(MAX(BK39:BP39)&gt;BP44+1+$B$18,1,0))</f>
        <v>0</v>
      </c>
      <c r="BQ62" s="387" t="n">
        <f aca="false">IF(65&lt;5,0,IF(MAX(BL39:BQ39)&gt;BQ44+1+$B$18,1,0))</f>
        <v>0</v>
      </c>
      <c r="BR62" s="387" t="n">
        <f aca="false">IF(66&lt;5,0,IF(MAX(BM39:BR39)&gt;BR44+1+$B$18,1,0))</f>
        <v>0</v>
      </c>
      <c r="BS62" s="387" t="n">
        <f aca="false">IF(67&lt;5,0,IF(MAX(BN39:BS39)&gt;BS44+1+$B$18,1,0))</f>
        <v>0</v>
      </c>
      <c r="BT62" s="387" t="n">
        <f aca="false">IF(68&lt;5,0,IF(MAX(BO39:BT39)&gt;BT44+1+$B$18,1,0))</f>
        <v>0</v>
      </c>
      <c r="BU62" s="387" t="n">
        <f aca="false">IF(69&lt;5,0,IF(MAX(BP39:BU39)&gt;BU44+1+$B$18,1,0))</f>
        <v>0</v>
      </c>
      <c r="BV62" s="387" t="n">
        <f aca="false">IF(70&lt;5,0,IF(MAX(BQ39:BV39)&gt;BV44+1+$B$18,1,0))</f>
        <v>0</v>
      </c>
      <c r="BW62" s="387" t="n">
        <f aca="false">IF(71&lt;5,0,IF(MAX(BR39:BW39)&gt;BW44+1+$B$18,1,0))</f>
        <v>0</v>
      </c>
      <c r="BX62" s="387" t="n">
        <f aca="false">IF(72&lt;5,0,IF(MAX(BS39:BX39)&gt;BX44+1+$B$18,1,0))</f>
        <v>0</v>
      </c>
      <c r="BY62" s="387" t="n">
        <f aca="false">IF(73&lt;5,0,IF(MAX(BT39:BY39)&gt;BY44+1+$B$18,1,0))</f>
        <v>0</v>
      </c>
      <c r="BZ62" s="387" t="n">
        <f aca="false">IF(74&lt;5,0,IF(MAX(BU39:BZ39)&gt;BZ44+1+$B$18,1,0))</f>
        <v>0</v>
      </c>
      <c r="CA62" s="387" t="n">
        <f aca="false">IF(75&lt;5,0,IF(MAX(BV39:CA39)&gt;CA44+1+$B$18,1,0))</f>
        <v>0</v>
      </c>
      <c r="CB62" s="387" t="n">
        <f aca="false">IF(76&lt;5,0,IF(MAX(BW39:CB39)&gt;CB44+1+$B$18,1,0))</f>
        <v>0</v>
      </c>
      <c r="CC62" s="387" t="n">
        <f aca="false">IF(77&lt;5,0,IF(MAX(BX39:CC39)&gt;CC44+1+$B$18,1,0))</f>
        <v>0</v>
      </c>
      <c r="CD62" s="387" t="n">
        <f aca="false">IF(78&lt;5,0,IF(MAX(BY39:CD39)&gt;CD44+1+$B$18,1,0))</f>
        <v>0</v>
      </c>
      <c r="CE62" s="387" t="n">
        <f aca="false">IF(79&lt;5,0,IF(MAX(BZ39:CE39)&gt;CE44+1+$B$18,1,0))</f>
        <v>0</v>
      </c>
      <c r="CF62" s="387" t="n">
        <f aca="false">IF(80&lt;5,0,IF(MAX(CA39:CF39)&gt;CF44+1+$B$18,1,0))</f>
        <v>0</v>
      </c>
      <c r="CG62" s="387" t="n">
        <f aca="false">IF(81&lt;5,0,IF(MAX(CB39:CG39)&gt;CG44+1+$B$18,1,0))</f>
        <v>0</v>
      </c>
      <c r="CH62" s="387" t="n">
        <f aca="false">IF(82&lt;5,0,IF(MAX(CC39:CH39)&gt;CH44+1+$B$18,1,0))</f>
        <v>0</v>
      </c>
      <c r="CI62" s="387" t="n">
        <f aca="false">IF(83&lt;5,0,IF(MAX(CD39:CI39)&gt;CI44+1+$B$18,1,0))</f>
        <v>0</v>
      </c>
      <c r="CJ62" s="387" t="n">
        <f aca="false">IF(84&lt;5,0,IF(MAX(CE39:CJ39)&gt;CJ44+1+$B$18,1,0))</f>
        <v>0</v>
      </c>
      <c r="CK62" s="387" t="n">
        <f aca="false">IF(85&lt;5,0,IF(MAX(CF39:CK39)&gt;CK44+1+$B$18,1,0))</f>
        <v>0</v>
      </c>
      <c r="CL62" s="387" t="n">
        <f aca="false">IF(86&lt;5,0,IF(MAX(CG39:CL39)&gt;CL44+1+$B$18,1,0))</f>
        <v>0</v>
      </c>
      <c r="CM62" s="387" t="n">
        <f aca="false">IF(87&lt;5,0,IF(MAX(CH39:CM39)&gt;CM44+1+$B$18,1,0))</f>
        <v>0</v>
      </c>
      <c r="CN62" s="387" t="n">
        <f aca="false">IF(88&lt;5,0,IF(MAX(CI39:CN39)&gt;CN44+1+$B$18,1,0))</f>
        <v>0</v>
      </c>
      <c r="CO62" s="387" t="n">
        <f aca="false">IF(89&lt;5,0,IF(MAX(CJ39:CO39)&gt;CO44+1+$B$18,1,0))</f>
        <v>0</v>
      </c>
      <c r="CP62" s="387" t="n">
        <f aca="false">IF(90&lt;5,0,IF(MAX(CK39:CP39)&gt;CP44+1+$B$18,1,0))</f>
        <v>0</v>
      </c>
      <c r="CQ62" s="387" t="n">
        <f aca="false">IF(91&lt;5,0,IF(MAX(CL39:CQ39)&gt;CQ44+1+$B$18,1,0))</f>
        <v>0</v>
      </c>
      <c r="CR62" s="387" t="n">
        <f aca="false">IF(92&lt;5,0,IF(MAX(CM39:CR39)&gt;CR44+1+$B$18,1,0))</f>
        <v>0</v>
      </c>
      <c r="CS62" s="387" t="n">
        <f aca="false">IF(93&lt;5,0,IF(MAX(CN39:CS39)&gt;CS44+1+$B$18,1,0))</f>
        <v>0</v>
      </c>
      <c r="CT62" s="387" t="n">
        <f aca="false">IF(94&lt;5,0,IF(MAX(CO39:CT39)&gt;CT44+1+$B$18,1,0))</f>
        <v>0</v>
      </c>
      <c r="CU62" s="387" t="n">
        <f aca="false">IF(95&lt;5,0,IF(MAX(CP39:CU39)&gt;CU44+1+$B$18,1,0))</f>
        <v>0</v>
      </c>
      <c r="CV62" s="387" t="n">
        <f aca="false">IF(96&lt;5,0,IF(MAX(CQ39:CV39)&gt;CV44+1+$B$18,1,0))</f>
        <v>0</v>
      </c>
      <c r="CW62" s="387" t="n">
        <f aca="false">IF(97&lt;5,0,IF(MAX(CR39:CW39)&gt;CW44+1+$B$18,1,0))</f>
        <v>0</v>
      </c>
      <c r="CX62" s="387" t="n">
        <f aca="false">IF(98&lt;5,0,IF(MAX(CS39:CX39)&gt;CX44+1+$B$18,1,0))</f>
        <v>0</v>
      </c>
      <c r="CY62" s="387" t="n">
        <f aca="false">IF(99&lt;5,0,IF(MAX(CT39:CY39)&gt;CY44+1+$B$18,1,0))</f>
        <v>0</v>
      </c>
      <c r="CZ62" s="387" t="n">
        <f aca="false">IF(100&lt;5,0,IF(MAX(CU39:CZ39)&gt;CZ44+1+$B$18,1,0))</f>
        <v>0</v>
      </c>
      <c r="DA62" s="387" t="n">
        <f aca="false">IF(101&lt;5,0,IF(MAX(CV39:DA39)&gt;DA44+1+$B$18,1,0))</f>
        <v>0</v>
      </c>
      <c r="DB62" s="387" t="n">
        <f aca="false">IF(102&lt;5,0,IF(MAX(CW39:DB39)&gt;DB44+1+$B$18,1,0))</f>
        <v>0</v>
      </c>
      <c r="DC62" s="387" t="n">
        <f aca="false">IF(103&lt;5,0,IF(MAX(CX39:DC39)&gt;DC44+1+$B$18,1,0))</f>
        <v>0</v>
      </c>
      <c r="DD62" s="387" t="n">
        <f aca="false">IF(104&lt;5,0,IF(MAX(CY39:DD39)&gt;DD44+1+$B$18,1,0))</f>
        <v>0</v>
      </c>
      <c r="DE62" s="387" t="n">
        <f aca="false">IF(105&lt;5,0,IF(MAX(CZ39:DE39)&gt;DE44+1+$B$18,1,0))</f>
        <v>0</v>
      </c>
    </row>
    <row r="63" customFormat="false" ht="13.5" hidden="false" customHeight="true" outlineLevel="0" collapsed="false">
      <c r="A63" s="110" t="s">
        <v>1399</v>
      </c>
      <c r="B63" s="213" t="n">
        <f aca="false">$B$28</f>
        <v>130000</v>
      </c>
      <c r="E63" s="387" t="n">
        <f aca="false">IF(1&lt;5,0,IF(MAX(E39:E39)&gt;E44+2+$B$18,1,0))</f>
        <v>0</v>
      </c>
      <c r="F63" s="387" t="n">
        <f aca="false">IF(2&lt;5,0,IF(MAX(E39:F39)&gt;F44+2+$B$18,1,0))</f>
        <v>0</v>
      </c>
      <c r="G63" s="387" t="n">
        <f aca="false">IF(3&lt;5,0,IF(MAX(E39:G39)&gt;G44+2+$B$18,1,0))</f>
        <v>0</v>
      </c>
      <c r="H63" s="387" t="n">
        <f aca="false">IF(4&lt;5,0,IF(MAX(E39:H39)&gt;H44+2+$B$18,1,0))</f>
        <v>0</v>
      </c>
      <c r="I63" s="387" t="n">
        <f aca="false">IF(5&lt;5,0,IF(MAX(E39:I39)&gt;I44+2+$B$18,1,0))</f>
        <v>0</v>
      </c>
      <c r="J63" s="387" t="n">
        <f aca="false">IF(6&lt;5,0,IF(MAX(E39:J39)&gt;J44+2+$B$18,1,0))</f>
        <v>0</v>
      </c>
      <c r="K63" s="387" t="n">
        <f aca="false">IF(7&lt;5,0,IF(MAX(F39:K39)&gt;K44+2+$B$18,1,0))</f>
        <v>0</v>
      </c>
      <c r="L63" s="387" t="n">
        <f aca="false">IF(8&lt;5,0,IF(MAX(G39:L39)&gt;L44+2+$B$18,1,0))</f>
        <v>0</v>
      </c>
      <c r="M63" s="387" t="n">
        <f aca="false">IF(9&lt;5,0,IF(MAX(H39:M39)&gt;M44+2+$B$18,1,0))</f>
        <v>0</v>
      </c>
      <c r="N63" s="387" t="n">
        <f aca="false">IF(10&lt;5,0,IF(MAX(I39:N39)&gt;N44+2+$B$18,1,0))</f>
        <v>0</v>
      </c>
      <c r="O63" s="387" t="n">
        <f aca="false">IF(11&lt;5,0,IF(MAX(J39:O39)&gt;O44+2+$B$18,1,0))</f>
        <v>0</v>
      </c>
      <c r="P63" s="387" t="n">
        <f aca="false">IF(12&lt;5,0,IF(MAX(K39:P39)&gt;P44+2+$B$18,1,0))</f>
        <v>0</v>
      </c>
      <c r="Q63" s="387" t="n">
        <f aca="false">IF(13&lt;5,0,IF(MAX(L39:Q39)&gt;Q44+2+$B$18,1,0))</f>
        <v>0</v>
      </c>
      <c r="R63" s="387" t="n">
        <f aca="false">IF(14&lt;5,0,IF(MAX(M39:R39)&gt;R44+2+$B$18,1,0))</f>
        <v>0</v>
      </c>
      <c r="S63" s="387" t="n">
        <f aca="false">IF(15&lt;5,0,IF(MAX(N39:S39)&gt;S44+2+$B$18,1,0))</f>
        <v>0</v>
      </c>
      <c r="T63" s="387" t="n">
        <f aca="false">IF(16&lt;5,0,IF(MAX(O39:T39)&gt;T44+2+$B$18,1,0))</f>
        <v>0</v>
      </c>
      <c r="U63" s="387" t="n">
        <f aca="false">IF(17&lt;5,0,IF(MAX(P39:U39)&gt;U44+2+$B$18,1,0))</f>
        <v>0</v>
      </c>
      <c r="V63" s="387" t="n">
        <f aca="false">IF(18&lt;5,0,IF(MAX(Q39:V39)&gt;V44+2+$B$18,1,0))</f>
        <v>0</v>
      </c>
      <c r="W63" s="387" t="n">
        <f aca="false">IF(19&lt;5,0,IF(MAX(R39:W39)&gt;W44+2+$B$18,1,0))</f>
        <v>0</v>
      </c>
      <c r="X63" s="387" t="n">
        <f aca="false">IF(20&lt;5,0,IF(MAX(S39:X39)&gt;X44+2+$B$18,1,0))</f>
        <v>0</v>
      </c>
      <c r="Y63" s="387" t="n">
        <f aca="false">IF(21&lt;5,0,IF(MAX(T39:Y39)&gt;Y44+2+$B$18,1,0))</f>
        <v>0</v>
      </c>
      <c r="Z63" s="387" t="n">
        <f aca="false">IF(22&lt;5,0,IF(MAX(U39:Z39)&gt;Z44+2+$B$18,1,0))</f>
        <v>0</v>
      </c>
      <c r="AA63" s="387" t="n">
        <f aca="false">IF(23&lt;5,0,IF(MAX(V39:AA39)&gt;AA44+2+$B$18,1,0))</f>
        <v>0</v>
      </c>
      <c r="AB63" s="387" t="n">
        <f aca="false">IF(24&lt;5,0,IF(MAX(W39:AB39)&gt;AB44+2+$B$18,1,0))</f>
        <v>0</v>
      </c>
      <c r="AC63" s="387" t="n">
        <f aca="false">IF(25&lt;5,0,IF(MAX(X39:AC39)&gt;AC44+2+$B$18,1,0))</f>
        <v>0</v>
      </c>
      <c r="AD63" s="387" t="n">
        <f aca="false">IF(26&lt;5,0,IF(MAX(Y39:AD39)&gt;AD44+2+$B$18,1,0))</f>
        <v>0</v>
      </c>
      <c r="AE63" s="387" t="n">
        <f aca="false">IF(27&lt;5,0,IF(MAX(Z39:AE39)&gt;AE44+2+$B$18,1,0))</f>
        <v>0</v>
      </c>
      <c r="AF63" s="387" t="n">
        <f aca="false">IF(28&lt;5,0,IF(MAX(AA39:AF39)&gt;AF44+2+$B$18,1,0))</f>
        <v>0</v>
      </c>
      <c r="AG63" s="387" t="n">
        <f aca="false">IF(29&lt;5,0,IF(MAX(AB39:AG39)&gt;AG44+2+$B$18,1,0))</f>
        <v>0</v>
      </c>
      <c r="AH63" s="387" t="n">
        <f aca="false">IF(30&lt;5,0,IF(MAX(AC39:AH39)&gt;AH44+2+$B$18,1,0))</f>
        <v>0</v>
      </c>
      <c r="AI63" s="387" t="n">
        <f aca="false">IF(31&lt;5,0,IF(MAX(AD39:AI39)&gt;AI44+2+$B$18,1,0))</f>
        <v>0</v>
      </c>
      <c r="AJ63" s="387" t="n">
        <f aca="false">IF(32&lt;5,0,IF(MAX(AE39:AJ39)&gt;AJ44+2+$B$18,1,0))</f>
        <v>0</v>
      </c>
      <c r="AK63" s="387" t="n">
        <f aca="false">IF(33&lt;5,0,IF(MAX(AF39:AK39)&gt;AK44+2+$B$18,1,0))</f>
        <v>0</v>
      </c>
      <c r="AL63" s="387" t="n">
        <f aca="false">IF(34&lt;5,0,IF(MAX(AG39:AL39)&gt;AL44+2+$B$18,1,0))</f>
        <v>0</v>
      </c>
      <c r="AM63" s="387" t="n">
        <f aca="false">IF(35&lt;5,0,IF(MAX(AH39:AM39)&gt;AM44+2+$B$18,1,0))</f>
        <v>0</v>
      </c>
      <c r="AN63" s="387" t="n">
        <f aca="false">IF(36&lt;5,0,IF(MAX(AI39:AN39)&gt;AN44+2+$B$18,1,0))</f>
        <v>0</v>
      </c>
      <c r="AO63" s="387" t="n">
        <f aca="false">IF(37&lt;5,0,IF(MAX(AJ39:AO39)&gt;AO44+2+$B$18,1,0))</f>
        <v>0</v>
      </c>
      <c r="AP63" s="387" t="n">
        <f aca="false">IF(38&lt;5,0,IF(MAX(AK39:AP39)&gt;AP44+2+$B$18,1,0))</f>
        <v>0</v>
      </c>
      <c r="AQ63" s="387" t="n">
        <f aca="false">IF(39&lt;5,0,IF(MAX(AL39:AQ39)&gt;AQ44+2+$B$18,1,0))</f>
        <v>0</v>
      </c>
      <c r="AR63" s="387" t="n">
        <f aca="false">IF(40&lt;5,0,IF(MAX(AM39:AR39)&gt;AR44+2+$B$18,1,0))</f>
        <v>0</v>
      </c>
      <c r="AS63" s="387" t="n">
        <f aca="false">IF(41&lt;5,0,IF(MAX(AN39:AS39)&gt;AS44+2+$B$18,1,0))</f>
        <v>0</v>
      </c>
      <c r="AT63" s="387" t="n">
        <f aca="false">IF(42&lt;5,0,IF(MAX(AO39:AT39)&gt;AT44+2+$B$18,1,0))</f>
        <v>0</v>
      </c>
      <c r="AU63" s="387" t="n">
        <f aca="false">IF(43&lt;5,0,IF(MAX(AP39:AU39)&gt;AU44+2+$B$18,1,0))</f>
        <v>0</v>
      </c>
      <c r="AV63" s="387" t="n">
        <f aca="false">IF(44&lt;5,0,IF(MAX(AQ39:AV39)&gt;AV44+2+$B$18,1,0))</f>
        <v>0</v>
      </c>
      <c r="AW63" s="387" t="n">
        <f aca="false">IF(45&lt;5,0,IF(MAX(AR39:AW39)&gt;AW44+2+$B$18,1,0))</f>
        <v>0</v>
      </c>
      <c r="AX63" s="387" t="n">
        <f aca="false">IF(46&lt;5,0,IF(MAX(AS39:AX39)&gt;AX44+2+$B$18,1,0))</f>
        <v>0</v>
      </c>
      <c r="AY63" s="387" t="n">
        <f aca="false">IF(47&lt;5,0,IF(MAX(AT39:AY39)&gt;AY44+2+$B$18,1,0))</f>
        <v>0</v>
      </c>
      <c r="AZ63" s="387" t="n">
        <f aca="false">IF(48&lt;5,0,IF(MAX(AU39:AZ39)&gt;AZ44+2+$B$18,1,0))</f>
        <v>0</v>
      </c>
      <c r="BA63" s="387" t="n">
        <f aca="false">IF(49&lt;5,0,IF(MAX(AV39:BA39)&gt;BA44+2+$B$18,1,0))</f>
        <v>0</v>
      </c>
      <c r="BB63" s="387" t="n">
        <f aca="false">IF(50&lt;5,0,IF(MAX(AW39:BB39)&gt;BB44+2+$B$18,1,0))</f>
        <v>0</v>
      </c>
      <c r="BC63" s="387" t="n">
        <f aca="false">IF(51&lt;5,0,IF(MAX(AX39:BC39)&gt;BC44+2+$B$18,1,0))</f>
        <v>0</v>
      </c>
      <c r="BD63" s="387" t="n">
        <f aca="false">IF(52&lt;5,0,IF(MAX(AY39:BD39)&gt;BD44+2+$B$18,1,0))</f>
        <v>0</v>
      </c>
      <c r="BE63" s="387" t="n">
        <f aca="false">IF(53&lt;5,0,IF(MAX(AZ39:BE39)&gt;BE44+2+$B$18,1,0))</f>
        <v>0</v>
      </c>
      <c r="BF63" s="387" t="n">
        <f aca="false">IF(54&lt;5,0,IF(MAX(BA39:BF39)&gt;BF44+2+$B$18,1,0))</f>
        <v>0</v>
      </c>
      <c r="BG63" s="387" t="n">
        <f aca="false">IF(55&lt;5,0,IF(MAX(BB39:BG39)&gt;BG44+2+$B$18,1,0))</f>
        <v>0</v>
      </c>
      <c r="BH63" s="387" t="n">
        <f aca="false">IF(56&lt;5,0,IF(MAX(BC39:BH39)&gt;BH44+2+$B$18,1,0))</f>
        <v>0</v>
      </c>
      <c r="BI63" s="387" t="n">
        <f aca="false">IF(57&lt;5,0,IF(MAX(BD39:BI39)&gt;BI44+2+$B$18,1,0))</f>
        <v>0</v>
      </c>
      <c r="BJ63" s="387" t="n">
        <f aca="false">IF(58&lt;5,0,IF(MAX(BE39:BJ39)&gt;BJ44+2+$B$18,1,0))</f>
        <v>0</v>
      </c>
      <c r="BK63" s="387" t="n">
        <f aca="false">IF(59&lt;5,0,IF(MAX(BF39:BK39)&gt;BK44+2+$B$18,1,0))</f>
        <v>0</v>
      </c>
      <c r="BL63" s="387" t="n">
        <f aca="false">IF(60&lt;5,0,IF(MAX(BG39:BL39)&gt;BL44+2+$B$18,1,0))</f>
        <v>0</v>
      </c>
      <c r="BM63" s="387" t="n">
        <f aca="false">IF(61&lt;5,0,IF(MAX(BH39:BM39)&gt;BM44+2+$B$18,1,0))</f>
        <v>0</v>
      </c>
      <c r="BN63" s="387" t="n">
        <f aca="false">IF(62&lt;5,0,IF(MAX(BI39:BN39)&gt;BN44+2+$B$18,1,0))</f>
        <v>0</v>
      </c>
      <c r="BO63" s="387" t="n">
        <f aca="false">IF(63&lt;5,0,IF(MAX(BJ39:BO39)&gt;BO44+2+$B$18,1,0))</f>
        <v>0</v>
      </c>
      <c r="BP63" s="387" t="n">
        <f aca="false">IF(64&lt;5,0,IF(MAX(BK39:BP39)&gt;BP44+2+$B$18,1,0))</f>
        <v>0</v>
      </c>
      <c r="BQ63" s="387" t="n">
        <f aca="false">IF(65&lt;5,0,IF(MAX(BL39:BQ39)&gt;BQ44+2+$B$18,1,0))</f>
        <v>0</v>
      </c>
      <c r="BR63" s="387" t="n">
        <f aca="false">IF(66&lt;5,0,IF(MAX(BM39:BR39)&gt;BR44+2+$B$18,1,0))</f>
        <v>0</v>
      </c>
      <c r="BS63" s="387" t="n">
        <f aca="false">IF(67&lt;5,0,IF(MAX(BN39:BS39)&gt;BS44+2+$B$18,1,0))</f>
        <v>0</v>
      </c>
      <c r="BT63" s="387" t="n">
        <f aca="false">IF(68&lt;5,0,IF(MAX(BO39:BT39)&gt;BT44+2+$B$18,1,0))</f>
        <v>0</v>
      </c>
      <c r="BU63" s="387" t="n">
        <f aca="false">IF(69&lt;5,0,IF(MAX(BP39:BU39)&gt;BU44+2+$B$18,1,0))</f>
        <v>0</v>
      </c>
      <c r="BV63" s="387" t="n">
        <f aca="false">IF(70&lt;5,0,IF(MAX(BQ39:BV39)&gt;BV44+2+$B$18,1,0))</f>
        <v>0</v>
      </c>
      <c r="BW63" s="387" t="n">
        <f aca="false">IF(71&lt;5,0,IF(MAX(BR39:BW39)&gt;BW44+2+$B$18,1,0))</f>
        <v>0</v>
      </c>
      <c r="BX63" s="387" t="n">
        <f aca="false">IF(72&lt;5,0,IF(MAX(BS39:BX39)&gt;BX44+2+$B$18,1,0))</f>
        <v>0</v>
      </c>
      <c r="BY63" s="387" t="n">
        <f aca="false">IF(73&lt;5,0,IF(MAX(BT39:BY39)&gt;BY44+2+$B$18,1,0))</f>
        <v>0</v>
      </c>
      <c r="BZ63" s="387" t="n">
        <f aca="false">IF(74&lt;5,0,IF(MAX(BU39:BZ39)&gt;BZ44+2+$B$18,1,0))</f>
        <v>0</v>
      </c>
      <c r="CA63" s="387" t="n">
        <f aca="false">IF(75&lt;5,0,IF(MAX(BV39:CA39)&gt;CA44+2+$B$18,1,0))</f>
        <v>0</v>
      </c>
      <c r="CB63" s="387" t="n">
        <f aca="false">IF(76&lt;5,0,IF(MAX(BW39:CB39)&gt;CB44+2+$B$18,1,0))</f>
        <v>0</v>
      </c>
      <c r="CC63" s="387" t="n">
        <f aca="false">IF(77&lt;5,0,IF(MAX(BX39:CC39)&gt;CC44+2+$B$18,1,0))</f>
        <v>0</v>
      </c>
      <c r="CD63" s="387" t="n">
        <f aca="false">IF(78&lt;5,0,IF(MAX(BY39:CD39)&gt;CD44+2+$B$18,1,0))</f>
        <v>0</v>
      </c>
      <c r="CE63" s="387" t="n">
        <f aca="false">IF(79&lt;5,0,IF(MAX(BZ39:CE39)&gt;CE44+2+$B$18,1,0))</f>
        <v>0</v>
      </c>
      <c r="CF63" s="387" t="n">
        <f aca="false">IF(80&lt;5,0,IF(MAX(CA39:CF39)&gt;CF44+2+$B$18,1,0))</f>
        <v>0</v>
      </c>
      <c r="CG63" s="387" t="n">
        <f aca="false">IF(81&lt;5,0,IF(MAX(CB39:CG39)&gt;CG44+2+$B$18,1,0))</f>
        <v>0</v>
      </c>
      <c r="CH63" s="387" t="n">
        <f aca="false">IF(82&lt;5,0,IF(MAX(CC39:CH39)&gt;CH44+2+$B$18,1,0))</f>
        <v>0</v>
      </c>
      <c r="CI63" s="387" t="n">
        <f aca="false">IF(83&lt;5,0,IF(MAX(CD39:CI39)&gt;CI44+2+$B$18,1,0))</f>
        <v>0</v>
      </c>
      <c r="CJ63" s="387" t="n">
        <f aca="false">IF(84&lt;5,0,IF(MAX(CE39:CJ39)&gt;CJ44+2+$B$18,1,0))</f>
        <v>0</v>
      </c>
      <c r="CK63" s="387" t="n">
        <f aca="false">IF(85&lt;5,0,IF(MAX(CF39:CK39)&gt;CK44+2+$B$18,1,0))</f>
        <v>0</v>
      </c>
      <c r="CL63" s="387" t="n">
        <f aca="false">IF(86&lt;5,0,IF(MAX(CG39:CL39)&gt;CL44+2+$B$18,1,0))</f>
        <v>0</v>
      </c>
      <c r="CM63" s="387" t="n">
        <f aca="false">IF(87&lt;5,0,IF(MAX(CH39:CM39)&gt;CM44+2+$B$18,1,0))</f>
        <v>0</v>
      </c>
      <c r="CN63" s="387" t="n">
        <f aca="false">IF(88&lt;5,0,IF(MAX(CI39:CN39)&gt;CN44+2+$B$18,1,0))</f>
        <v>0</v>
      </c>
      <c r="CO63" s="387" t="n">
        <f aca="false">IF(89&lt;5,0,IF(MAX(CJ39:CO39)&gt;CO44+2+$B$18,1,0))</f>
        <v>0</v>
      </c>
      <c r="CP63" s="387" t="n">
        <f aca="false">IF(90&lt;5,0,IF(MAX(CK39:CP39)&gt;CP44+2+$B$18,1,0))</f>
        <v>0</v>
      </c>
      <c r="CQ63" s="387" t="n">
        <f aca="false">IF(91&lt;5,0,IF(MAX(CL39:CQ39)&gt;CQ44+2+$B$18,1,0))</f>
        <v>0</v>
      </c>
      <c r="CR63" s="387" t="n">
        <f aca="false">IF(92&lt;5,0,IF(MAX(CM39:CR39)&gt;CR44+2+$B$18,1,0))</f>
        <v>0</v>
      </c>
      <c r="CS63" s="387" t="n">
        <f aca="false">IF(93&lt;5,0,IF(MAX(CN39:CS39)&gt;CS44+2+$B$18,1,0))</f>
        <v>0</v>
      </c>
      <c r="CT63" s="387" t="n">
        <f aca="false">IF(94&lt;5,0,IF(MAX(CO39:CT39)&gt;CT44+2+$B$18,1,0))</f>
        <v>0</v>
      </c>
      <c r="CU63" s="387" t="n">
        <f aca="false">IF(95&lt;5,0,IF(MAX(CP39:CU39)&gt;CU44+2+$B$18,1,0))</f>
        <v>0</v>
      </c>
      <c r="CV63" s="387" t="n">
        <f aca="false">IF(96&lt;5,0,IF(MAX(CQ39:CV39)&gt;CV44+2+$B$18,1,0))</f>
        <v>0</v>
      </c>
      <c r="CW63" s="387" t="n">
        <f aca="false">IF(97&lt;5,0,IF(MAX(CR39:CW39)&gt;CW44+2+$B$18,1,0))</f>
        <v>0</v>
      </c>
      <c r="CX63" s="387" t="n">
        <f aca="false">IF(98&lt;5,0,IF(MAX(CS39:CX39)&gt;CX44+2+$B$18,1,0))</f>
        <v>0</v>
      </c>
      <c r="CY63" s="387" t="n">
        <f aca="false">IF(99&lt;5,0,IF(MAX(CT39:CY39)&gt;CY44+2+$B$18,1,0))</f>
        <v>0</v>
      </c>
      <c r="CZ63" s="387" t="n">
        <f aca="false">IF(100&lt;5,0,IF(MAX(CU39:CZ39)&gt;CZ44+2+$B$18,1,0))</f>
        <v>0</v>
      </c>
      <c r="DA63" s="387" t="n">
        <f aca="false">IF(101&lt;5,0,IF(MAX(CV39:DA39)&gt;DA44+2+$B$18,1,0))</f>
        <v>0</v>
      </c>
      <c r="DB63" s="387" t="n">
        <f aca="false">IF(102&lt;5,0,IF(MAX(CW39:DB39)&gt;DB44+2+$B$18,1,0))</f>
        <v>0</v>
      </c>
      <c r="DC63" s="387" t="n">
        <f aca="false">IF(103&lt;5,0,IF(MAX(CX39:DC39)&gt;DC44+2+$B$18,1,0))</f>
        <v>0</v>
      </c>
      <c r="DD63" s="387" t="n">
        <f aca="false">IF(104&lt;5,0,IF(MAX(CY39:DD39)&gt;DD44+2+$B$18,1,0))</f>
        <v>0</v>
      </c>
      <c r="DE63" s="387" t="n">
        <f aca="false">IF(105&lt;5,0,IF(MAX(CZ39:DE39)&gt;DE44+2+$B$18,1,0))</f>
        <v>0</v>
      </c>
    </row>
    <row r="64" customFormat="false" ht="13.5" hidden="false" customHeight="true" outlineLevel="0" collapsed="false">
      <c r="A64" s="110" t="s">
        <v>1400</v>
      </c>
      <c r="B64" s="213" t="n">
        <f aca="false">$B$28</f>
        <v>130000</v>
      </c>
      <c r="E64" s="387" t="n">
        <f aca="false">IF(1&lt;5,0,IF(MAX(E39:E39)&gt;E44+3+$B$18,1,0))</f>
        <v>0</v>
      </c>
      <c r="F64" s="387" t="n">
        <f aca="false">IF(2&lt;5,0,IF(MAX(E39:F39)&gt;F44+3+$B$18,1,0))</f>
        <v>0</v>
      </c>
      <c r="G64" s="387" t="n">
        <f aca="false">IF(3&lt;5,0,IF(MAX(E39:G39)&gt;G44+3+$B$18,1,0))</f>
        <v>0</v>
      </c>
      <c r="H64" s="387" t="n">
        <f aca="false">IF(4&lt;5,0,IF(MAX(E39:H39)&gt;H44+3+$B$18,1,0))</f>
        <v>0</v>
      </c>
      <c r="I64" s="387" t="n">
        <f aca="false">IF(5&lt;5,0,IF(MAX(E39:I39)&gt;I44+3+$B$18,1,0))</f>
        <v>0</v>
      </c>
      <c r="J64" s="387" t="n">
        <f aca="false">IF(6&lt;5,0,IF(MAX(E39:J39)&gt;J44+3+$B$18,1,0))</f>
        <v>0</v>
      </c>
      <c r="K64" s="387" t="n">
        <f aca="false">IF(7&lt;5,0,IF(MAX(F39:K39)&gt;K44+3+$B$18,1,0))</f>
        <v>0</v>
      </c>
      <c r="L64" s="387" t="n">
        <f aca="false">IF(8&lt;5,0,IF(MAX(G39:L39)&gt;L44+3+$B$18,1,0))</f>
        <v>0</v>
      </c>
      <c r="M64" s="387" t="n">
        <f aca="false">IF(9&lt;5,0,IF(MAX(H39:M39)&gt;M44+3+$B$18,1,0))</f>
        <v>0</v>
      </c>
      <c r="N64" s="387" t="n">
        <f aca="false">IF(10&lt;5,0,IF(MAX(I39:N39)&gt;N44+3+$B$18,1,0))</f>
        <v>0</v>
      </c>
      <c r="O64" s="387" t="n">
        <f aca="false">IF(11&lt;5,0,IF(MAX(J39:O39)&gt;O44+3+$B$18,1,0))</f>
        <v>0</v>
      </c>
      <c r="P64" s="387" t="n">
        <f aca="false">IF(12&lt;5,0,IF(MAX(K39:P39)&gt;P44+3+$B$18,1,0))</f>
        <v>0</v>
      </c>
      <c r="Q64" s="387" t="n">
        <f aca="false">IF(13&lt;5,0,IF(MAX(L39:Q39)&gt;Q44+3+$B$18,1,0))</f>
        <v>0</v>
      </c>
      <c r="R64" s="387" t="n">
        <f aca="false">IF(14&lt;5,0,IF(MAX(M39:R39)&gt;R44+3+$B$18,1,0))</f>
        <v>0</v>
      </c>
      <c r="S64" s="387" t="n">
        <f aca="false">IF(15&lt;5,0,IF(MAX(N39:S39)&gt;S44+3+$B$18,1,0))</f>
        <v>0</v>
      </c>
      <c r="T64" s="387" t="n">
        <f aca="false">IF(16&lt;5,0,IF(MAX(O39:T39)&gt;T44+3+$B$18,1,0))</f>
        <v>0</v>
      </c>
      <c r="U64" s="387" t="n">
        <f aca="false">IF(17&lt;5,0,IF(MAX(P39:U39)&gt;U44+3+$B$18,1,0))</f>
        <v>0</v>
      </c>
      <c r="V64" s="387" t="n">
        <f aca="false">IF(18&lt;5,0,IF(MAX(Q39:V39)&gt;V44+3+$B$18,1,0))</f>
        <v>0</v>
      </c>
      <c r="W64" s="387" t="n">
        <f aca="false">IF(19&lt;5,0,IF(MAX(R39:W39)&gt;W44+3+$B$18,1,0))</f>
        <v>0</v>
      </c>
      <c r="X64" s="387" t="n">
        <f aca="false">IF(20&lt;5,0,IF(MAX(S39:X39)&gt;X44+3+$B$18,1,0))</f>
        <v>0</v>
      </c>
      <c r="Y64" s="387" t="n">
        <f aca="false">IF(21&lt;5,0,IF(MAX(T39:Y39)&gt;Y44+3+$B$18,1,0))</f>
        <v>0</v>
      </c>
      <c r="Z64" s="387" t="n">
        <f aca="false">IF(22&lt;5,0,IF(MAX(U39:Z39)&gt;Z44+3+$B$18,1,0))</f>
        <v>0</v>
      </c>
      <c r="AA64" s="387" t="n">
        <f aca="false">IF(23&lt;5,0,IF(MAX(V39:AA39)&gt;AA44+3+$B$18,1,0))</f>
        <v>0</v>
      </c>
      <c r="AB64" s="387" t="n">
        <f aca="false">IF(24&lt;5,0,IF(MAX(W39:AB39)&gt;AB44+3+$B$18,1,0))</f>
        <v>0</v>
      </c>
      <c r="AC64" s="387" t="n">
        <f aca="false">IF(25&lt;5,0,IF(MAX(X39:AC39)&gt;AC44+3+$B$18,1,0))</f>
        <v>0</v>
      </c>
      <c r="AD64" s="387" t="n">
        <f aca="false">IF(26&lt;5,0,IF(MAX(Y39:AD39)&gt;AD44+3+$B$18,1,0))</f>
        <v>0</v>
      </c>
      <c r="AE64" s="387" t="n">
        <f aca="false">IF(27&lt;5,0,IF(MAX(Z39:AE39)&gt;AE44+3+$B$18,1,0))</f>
        <v>0</v>
      </c>
      <c r="AF64" s="387" t="n">
        <f aca="false">IF(28&lt;5,0,IF(MAX(AA39:AF39)&gt;AF44+3+$B$18,1,0))</f>
        <v>0</v>
      </c>
      <c r="AG64" s="387" t="n">
        <f aca="false">IF(29&lt;5,0,IF(MAX(AB39:AG39)&gt;AG44+3+$B$18,1,0))</f>
        <v>0</v>
      </c>
      <c r="AH64" s="387" t="n">
        <f aca="false">IF(30&lt;5,0,IF(MAX(AC39:AH39)&gt;AH44+3+$B$18,1,0))</f>
        <v>0</v>
      </c>
      <c r="AI64" s="387" t="n">
        <f aca="false">IF(31&lt;5,0,IF(MAX(AD39:AI39)&gt;AI44+3+$B$18,1,0))</f>
        <v>0</v>
      </c>
      <c r="AJ64" s="387" t="n">
        <f aca="false">IF(32&lt;5,0,IF(MAX(AE39:AJ39)&gt;AJ44+3+$B$18,1,0))</f>
        <v>0</v>
      </c>
      <c r="AK64" s="387" t="n">
        <f aca="false">IF(33&lt;5,0,IF(MAX(AF39:AK39)&gt;AK44+3+$B$18,1,0))</f>
        <v>0</v>
      </c>
      <c r="AL64" s="387" t="n">
        <f aca="false">IF(34&lt;5,0,IF(MAX(AG39:AL39)&gt;AL44+3+$B$18,1,0))</f>
        <v>0</v>
      </c>
      <c r="AM64" s="387" t="n">
        <f aca="false">IF(35&lt;5,0,IF(MAX(AH39:AM39)&gt;AM44+3+$B$18,1,0))</f>
        <v>0</v>
      </c>
      <c r="AN64" s="387" t="n">
        <f aca="false">IF(36&lt;5,0,IF(MAX(AI39:AN39)&gt;AN44+3+$B$18,1,0))</f>
        <v>0</v>
      </c>
      <c r="AO64" s="387" t="n">
        <f aca="false">IF(37&lt;5,0,IF(MAX(AJ39:AO39)&gt;AO44+3+$B$18,1,0))</f>
        <v>0</v>
      </c>
      <c r="AP64" s="387" t="n">
        <f aca="false">IF(38&lt;5,0,IF(MAX(AK39:AP39)&gt;AP44+3+$B$18,1,0))</f>
        <v>0</v>
      </c>
      <c r="AQ64" s="387" t="n">
        <f aca="false">IF(39&lt;5,0,IF(MAX(AL39:AQ39)&gt;AQ44+3+$B$18,1,0))</f>
        <v>0</v>
      </c>
      <c r="AR64" s="387" t="n">
        <f aca="false">IF(40&lt;5,0,IF(MAX(AM39:AR39)&gt;AR44+3+$B$18,1,0))</f>
        <v>0</v>
      </c>
      <c r="AS64" s="387" t="n">
        <f aca="false">IF(41&lt;5,0,IF(MAX(AN39:AS39)&gt;AS44+3+$B$18,1,0))</f>
        <v>0</v>
      </c>
      <c r="AT64" s="387" t="n">
        <f aca="false">IF(42&lt;5,0,IF(MAX(AO39:AT39)&gt;AT44+3+$B$18,1,0))</f>
        <v>0</v>
      </c>
      <c r="AU64" s="387" t="n">
        <f aca="false">IF(43&lt;5,0,IF(MAX(AP39:AU39)&gt;AU44+3+$B$18,1,0))</f>
        <v>0</v>
      </c>
      <c r="AV64" s="387" t="n">
        <f aca="false">IF(44&lt;5,0,IF(MAX(AQ39:AV39)&gt;AV44+3+$B$18,1,0))</f>
        <v>0</v>
      </c>
      <c r="AW64" s="387" t="n">
        <f aca="false">IF(45&lt;5,0,IF(MAX(AR39:AW39)&gt;AW44+3+$B$18,1,0))</f>
        <v>0</v>
      </c>
      <c r="AX64" s="387" t="n">
        <f aca="false">IF(46&lt;5,0,IF(MAX(AS39:AX39)&gt;AX44+3+$B$18,1,0))</f>
        <v>0</v>
      </c>
      <c r="AY64" s="387" t="n">
        <f aca="false">IF(47&lt;5,0,IF(MAX(AT39:AY39)&gt;AY44+3+$B$18,1,0))</f>
        <v>0</v>
      </c>
      <c r="AZ64" s="387" t="n">
        <f aca="false">IF(48&lt;5,0,IF(MAX(AU39:AZ39)&gt;AZ44+3+$B$18,1,0))</f>
        <v>0</v>
      </c>
      <c r="BA64" s="387" t="n">
        <f aca="false">IF(49&lt;5,0,IF(MAX(AV39:BA39)&gt;BA44+3+$B$18,1,0))</f>
        <v>0</v>
      </c>
      <c r="BB64" s="387" t="n">
        <f aca="false">IF(50&lt;5,0,IF(MAX(AW39:BB39)&gt;BB44+3+$B$18,1,0))</f>
        <v>0</v>
      </c>
      <c r="BC64" s="387" t="n">
        <f aca="false">IF(51&lt;5,0,IF(MAX(AX39:BC39)&gt;BC44+3+$B$18,1,0))</f>
        <v>0</v>
      </c>
      <c r="BD64" s="387" t="n">
        <f aca="false">IF(52&lt;5,0,IF(MAX(AY39:BD39)&gt;BD44+3+$B$18,1,0))</f>
        <v>0</v>
      </c>
      <c r="BE64" s="387" t="n">
        <f aca="false">IF(53&lt;5,0,IF(MAX(AZ39:BE39)&gt;BE44+3+$B$18,1,0))</f>
        <v>0</v>
      </c>
      <c r="BF64" s="387" t="n">
        <f aca="false">IF(54&lt;5,0,IF(MAX(BA39:BF39)&gt;BF44+3+$B$18,1,0))</f>
        <v>0</v>
      </c>
      <c r="BG64" s="387" t="n">
        <f aca="false">IF(55&lt;5,0,IF(MAX(BB39:BG39)&gt;BG44+3+$B$18,1,0))</f>
        <v>0</v>
      </c>
      <c r="BH64" s="387" t="n">
        <f aca="false">IF(56&lt;5,0,IF(MAX(BC39:BH39)&gt;BH44+3+$B$18,1,0))</f>
        <v>0</v>
      </c>
      <c r="BI64" s="387" t="n">
        <f aca="false">IF(57&lt;5,0,IF(MAX(BD39:BI39)&gt;BI44+3+$B$18,1,0))</f>
        <v>0</v>
      </c>
      <c r="BJ64" s="387" t="n">
        <f aca="false">IF(58&lt;5,0,IF(MAX(BE39:BJ39)&gt;BJ44+3+$B$18,1,0))</f>
        <v>0</v>
      </c>
      <c r="BK64" s="387" t="n">
        <f aca="false">IF(59&lt;5,0,IF(MAX(BF39:BK39)&gt;BK44+3+$B$18,1,0))</f>
        <v>0</v>
      </c>
      <c r="BL64" s="387" t="n">
        <f aca="false">IF(60&lt;5,0,IF(MAX(BG39:BL39)&gt;BL44+3+$B$18,1,0))</f>
        <v>0</v>
      </c>
      <c r="BM64" s="387" t="n">
        <f aca="false">IF(61&lt;5,0,IF(MAX(BH39:BM39)&gt;BM44+3+$B$18,1,0))</f>
        <v>0</v>
      </c>
      <c r="BN64" s="387" t="n">
        <f aca="false">IF(62&lt;5,0,IF(MAX(BI39:BN39)&gt;BN44+3+$B$18,1,0))</f>
        <v>0</v>
      </c>
      <c r="BO64" s="387" t="n">
        <f aca="false">IF(63&lt;5,0,IF(MAX(BJ39:BO39)&gt;BO44+3+$B$18,1,0))</f>
        <v>0</v>
      </c>
      <c r="BP64" s="387" t="n">
        <f aca="false">IF(64&lt;5,0,IF(MAX(BK39:BP39)&gt;BP44+3+$B$18,1,0))</f>
        <v>0</v>
      </c>
      <c r="BQ64" s="387" t="n">
        <f aca="false">IF(65&lt;5,0,IF(MAX(BL39:BQ39)&gt;BQ44+3+$B$18,1,0))</f>
        <v>0</v>
      </c>
      <c r="BR64" s="387" t="n">
        <f aca="false">IF(66&lt;5,0,IF(MAX(BM39:BR39)&gt;BR44+3+$B$18,1,0))</f>
        <v>0</v>
      </c>
      <c r="BS64" s="387" t="n">
        <f aca="false">IF(67&lt;5,0,IF(MAX(BN39:BS39)&gt;BS44+3+$B$18,1,0))</f>
        <v>0</v>
      </c>
      <c r="BT64" s="387" t="n">
        <f aca="false">IF(68&lt;5,0,IF(MAX(BO39:BT39)&gt;BT44+3+$B$18,1,0))</f>
        <v>0</v>
      </c>
      <c r="BU64" s="387" t="n">
        <f aca="false">IF(69&lt;5,0,IF(MAX(BP39:BU39)&gt;BU44+3+$B$18,1,0))</f>
        <v>0</v>
      </c>
      <c r="BV64" s="387" t="n">
        <f aca="false">IF(70&lt;5,0,IF(MAX(BQ39:BV39)&gt;BV44+3+$B$18,1,0))</f>
        <v>0</v>
      </c>
      <c r="BW64" s="387" t="n">
        <f aca="false">IF(71&lt;5,0,IF(MAX(BR39:BW39)&gt;BW44+3+$B$18,1,0))</f>
        <v>0</v>
      </c>
      <c r="BX64" s="387" t="n">
        <f aca="false">IF(72&lt;5,0,IF(MAX(BS39:BX39)&gt;BX44+3+$B$18,1,0))</f>
        <v>0</v>
      </c>
      <c r="BY64" s="387" t="n">
        <f aca="false">IF(73&lt;5,0,IF(MAX(BT39:BY39)&gt;BY44+3+$B$18,1,0))</f>
        <v>0</v>
      </c>
      <c r="BZ64" s="387" t="n">
        <f aca="false">IF(74&lt;5,0,IF(MAX(BU39:BZ39)&gt;BZ44+3+$B$18,1,0))</f>
        <v>0</v>
      </c>
      <c r="CA64" s="387" t="n">
        <f aca="false">IF(75&lt;5,0,IF(MAX(BV39:CA39)&gt;CA44+3+$B$18,1,0))</f>
        <v>0</v>
      </c>
      <c r="CB64" s="387" t="n">
        <f aca="false">IF(76&lt;5,0,IF(MAX(BW39:CB39)&gt;CB44+3+$B$18,1,0))</f>
        <v>0</v>
      </c>
      <c r="CC64" s="387" t="n">
        <f aca="false">IF(77&lt;5,0,IF(MAX(BX39:CC39)&gt;CC44+3+$B$18,1,0))</f>
        <v>0</v>
      </c>
      <c r="CD64" s="387" t="n">
        <f aca="false">IF(78&lt;5,0,IF(MAX(BY39:CD39)&gt;CD44+3+$B$18,1,0))</f>
        <v>0</v>
      </c>
      <c r="CE64" s="387" t="n">
        <f aca="false">IF(79&lt;5,0,IF(MAX(BZ39:CE39)&gt;CE44+3+$B$18,1,0))</f>
        <v>0</v>
      </c>
      <c r="CF64" s="387" t="n">
        <f aca="false">IF(80&lt;5,0,IF(MAX(CA39:CF39)&gt;CF44+3+$B$18,1,0))</f>
        <v>0</v>
      </c>
      <c r="CG64" s="387" t="n">
        <f aca="false">IF(81&lt;5,0,IF(MAX(CB39:CG39)&gt;CG44+3+$B$18,1,0))</f>
        <v>0</v>
      </c>
      <c r="CH64" s="387" t="n">
        <f aca="false">IF(82&lt;5,0,IF(MAX(CC39:CH39)&gt;CH44+3+$B$18,1,0))</f>
        <v>0</v>
      </c>
      <c r="CI64" s="387" t="n">
        <f aca="false">IF(83&lt;5,0,IF(MAX(CD39:CI39)&gt;CI44+3+$B$18,1,0))</f>
        <v>0</v>
      </c>
      <c r="CJ64" s="387" t="n">
        <f aca="false">IF(84&lt;5,0,IF(MAX(CE39:CJ39)&gt;CJ44+3+$B$18,1,0))</f>
        <v>0</v>
      </c>
      <c r="CK64" s="387" t="n">
        <f aca="false">IF(85&lt;5,0,IF(MAX(CF39:CK39)&gt;CK44+3+$B$18,1,0))</f>
        <v>0</v>
      </c>
      <c r="CL64" s="387" t="n">
        <f aca="false">IF(86&lt;5,0,IF(MAX(CG39:CL39)&gt;CL44+3+$B$18,1,0))</f>
        <v>0</v>
      </c>
      <c r="CM64" s="387" t="n">
        <f aca="false">IF(87&lt;5,0,IF(MAX(CH39:CM39)&gt;CM44+3+$B$18,1,0))</f>
        <v>0</v>
      </c>
      <c r="CN64" s="387" t="n">
        <f aca="false">IF(88&lt;5,0,IF(MAX(CI39:CN39)&gt;CN44+3+$B$18,1,0))</f>
        <v>0</v>
      </c>
      <c r="CO64" s="387" t="n">
        <f aca="false">IF(89&lt;5,0,IF(MAX(CJ39:CO39)&gt;CO44+3+$B$18,1,0))</f>
        <v>0</v>
      </c>
      <c r="CP64" s="387" t="n">
        <f aca="false">IF(90&lt;5,0,IF(MAX(CK39:CP39)&gt;CP44+3+$B$18,1,0))</f>
        <v>0</v>
      </c>
      <c r="CQ64" s="387" t="n">
        <f aca="false">IF(91&lt;5,0,IF(MAX(CL39:CQ39)&gt;CQ44+3+$B$18,1,0))</f>
        <v>0</v>
      </c>
      <c r="CR64" s="387" t="n">
        <f aca="false">IF(92&lt;5,0,IF(MAX(CM39:CR39)&gt;CR44+3+$B$18,1,0))</f>
        <v>0</v>
      </c>
      <c r="CS64" s="387" t="n">
        <f aca="false">IF(93&lt;5,0,IF(MAX(CN39:CS39)&gt;CS44+3+$B$18,1,0))</f>
        <v>0</v>
      </c>
      <c r="CT64" s="387" t="n">
        <f aca="false">IF(94&lt;5,0,IF(MAX(CO39:CT39)&gt;CT44+3+$B$18,1,0))</f>
        <v>0</v>
      </c>
      <c r="CU64" s="387" t="n">
        <f aca="false">IF(95&lt;5,0,IF(MAX(CP39:CU39)&gt;CU44+3+$B$18,1,0))</f>
        <v>0</v>
      </c>
      <c r="CV64" s="387" t="n">
        <f aca="false">IF(96&lt;5,0,IF(MAX(CQ39:CV39)&gt;CV44+3+$B$18,1,0))</f>
        <v>0</v>
      </c>
      <c r="CW64" s="387" t="n">
        <f aca="false">IF(97&lt;5,0,IF(MAX(CR39:CW39)&gt;CW44+3+$B$18,1,0))</f>
        <v>0</v>
      </c>
      <c r="CX64" s="387" t="n">
        <f aca="false">IF(98&lt;5,0,IF(MAX(CS39:CX39)&gt;CX44+3+$B$18,1,0))</f>
        <v>0</v>
      </c>
      <c r="CY64" s="387" t="n">
        <f aca="false">IF(99&lt;5,0,IF(MAX(CT39:CY39)&gt;CY44+3+$B$18,1,0))</f>
        <v>0</v>
      </c>
      <c r="CZ64" s="387" t="n">
        <f aca="false">IF(100&lt;5,0,IF(MAX(CU39:CZ39)&gt;CZ44+3+$B$18,1,0))</f>
        <v>0</v>
      </c>
      <c r="DA64" s="387" t="n">
        <f aca="false">IF(101&lt;5,0,IF(MAX(CV39:DA39)&gt;DA44+3+$B$18,1,0))</f>
        <v>0</v>
      </c>
      <c r="DB64" s="387" t="n">
        <f aca="false">IF(102&lt;5,0,IF(MAX(CW39:DB39)&gt;DB44+3+$B$18,1,0))</f>
        <v>0</v>
      </c>
      <c r="DC64" s="387" t="n">
        <f aca="false">IF(103&lt;5,0,IF(MAX(CX39:DC39)&gt;DC44+3+$B$18,1,0))</f>
        <v>0</v>
      </c>
      <c r="DD64" s="387" t="n">
        <f aca="false">IF(104&lt;5,0,IF(MAX(CY39:DD39)&gt;DD44+3+$B$18,1,0))</f>
        <v>0</v>
      </c>
      <c r="DE64" s="387" t="n">
        <f aca="false">IF(105&lt;5,0,IF(MAX(CZ39:DE39)&gt;DE44+3+$B$18,1,0))</f>
        <v>0</v>
      </c>
    </row>
    <row r="65" customFormat="false" ht="13.5" hidden="false" customHeight="true" outlineLevel="0" collapsed="false">
      <c r="A65" s="110" t="s">
        <v>1401</v>
      </c>
      <c r="B65" s="213" t="n">
        <f aca="false">$B$28</f>
        <v>130000</v>
      </c>
      <c r="E65" s="387" t="n">
        <f aca="false">IF(1&lt;5,0,IF(MAX(E39:E39)&gt;E44+4+$B$18,1,0))</f>
        <v>0</v>
      </c>
      <c r="F65" s="387" t="n">
        <f aca="false">IF(2&lt;5,0,IF(MAX(E39:F39)&gt;F44+4+$B$18,1,0))</f>
        <v>0</v>
      </c>
      <c r="G65" s="387" t="n">
        <f aca="false">IF(3&lt;5,0,IF(MAX(E39:G39)&gt;G44+4+$B$18,1,0))</f>
        <v>0</v>
      </c>
      <c r="H65" s="387" t="n">
        <f aca="false">IF(4&lt;5,0,IF(MAX(E39:H39)&gt;H44+4+$B$18,1,0))</f>
        <v>0</v>
      </c>
      <c r="I65" s="387" t="n">
        <f aca="false">IF(5&lt;5,0,IF(MAX(E39:I39)&gt;I44+4+$B$18,1,0))</f>
        <v>0</v>
      </c>
      <c r="J65" s="387" t="n">
        <f aca="false">IF(6&lt;5,0,IF(MAX(E39:J39)&gt;J44+4+$B$18,1,0))</f>
        <v>0</v>
      </c>
      <c r="K65" s="387" t="n">
        <f aca="false">IF(7&lt;5,0,IF(MAX(F39:K39)&gt;K44+4+$B$18,1,0))</f>
        <v>0</v>
      </c>
      <c r="L65" s="387" t="n">
        <f aca="false">IF(8&lt;5,0,IF(MAX(G39:L39)&gt;L44+4+$B$18,1,0))</f>
        <v>0</v>
      </c>
      <c r="M65" s="387" t="n">
        <f aca="false">IF(9&lt;5,0,IF(MAX(H39:M39)&gt;M44+4+$B$18,1,0))</f>
        <v>0</v>
      </c>
      <c r="N65" s="387" t="n">
        <f aca="false">IF(10&lt;5,0,IF(MAX(I39:N39)&gt;N44+4+$B$18,1,0))</f>
        <v>0</v>
      </c>
      <c r="O65" s="387" t="n">
        <f aca="false">IF(11&lt;5,0,IF(MAX(J39:O39)&gt;O44+4+$B$18,1,0))</f>
        <v>0</v>
      </c>
      <c r="P65" s="387" t="n">
        <f aca="false">IF(12&lt;5,0,IF(MAX(K39:P39)&gt;P44+4+$B$18,1,0))</f>
        <v>0</v>
      </c>
      <c r="Q65" s="387" t="n">
        <f aca="false">IF(13&lt;5,0,IF(MAX(L39:Q39)&gt;Q44+4+$B$18,1,0))</f>
        <v>0</v>
      </c>
      <c r="R65" s="387" t="n">
        <f aca="false">IF(14&lt;5,0,IF(MAX(M39:R39)&gt;R44+4+$B$18,1,0))</f>
        <v>0</v>
      </c>
      <c r="S65" s="387" t="n">
        <f aca="false">IF(15&lt;5,0,IF(MAX(N39:S39)&gt;S44+4+$B$18,1,0))</f>
        <v>0</v>
      </c>
      <c r="T65" s="387" t="n">
        <f aca="false">IF(16&lt;5,0,IF(MAX(O39:T39)&gt;T44+4+$B$18,1,0))</f>
        <v>0</v>
      </c>
      <c r="U65" s="387" t="n">
        <f aca="false">IF(17&lt;5,0,IF(MAX(P39:U39)&gt;U44+4+$B$18,1,0))</f>
        <v>0</v>
      </c>
      <c r="V65" s="387" t="n">
        <f aca="false">IF(18&lt;5,0,IF(MAX(Q39:V39)&gt;V44+4+$B$18,1,0))</f>
        <v>0</v>
      </c>
      <c r="W65" s="387" t="n">
        <f aca="false">IF(19&lt;5,0,IF(MAX(R39:W39)&gt;W44+4+$B$18,1,0))</f>
        <v>0</v>
      </c>
      <c r="X65" s="387" t="n">
        <f aca="false">IF(20&lt;5,0,IF(MAX(S39:X39)&gt;X44+4+$B$18,1,0))</f>
        <v>0</v>
      </c>
      <c r="Y65" s="387" t="n">
        <f aca="false">IF(21&lt;5,0,IF(MAX(T39:Y39)&gt;Y44+4+$B$18,1,0))</f>
        <v>0</v>
      </c>
      <c r="Z65" s="387" t="n">
        <f aca="false">IF(22&lt;5,0,IF(MAX(U39:Z39)&gt;Z44+4+$B$18,1,0))</f>
        <v>0</v>
      </c>
      <c r="AA65" s="387" t="n">
        <f aca="false">IF(23&lt;5,0,IF(MAX(V39:AA39)&gt;AA44+4+$B$18,1,0))</f>
        <v>0</v>
      </c>
      <c r="AB65" s="387" t="n">
        <f aca="false">IF(24&lt;5,0,IF(MAX(W39:AB39)&gt;AB44+4+$B$18,1,0))</f>
        <v>0</v>
      </c>
      <c r="AC65" s="387" t="n">
        <f aca="false">IF(25&lt;5,0,IF(MAX(X39:AC39)&gt;AC44+4+$B$18,1,0))</f>
        <v>0</v>
      </c>
      <c r="AD65" s="387" t="n">
        <f aca="false">IF(26&lt;5,0,IF(MAX(Y39:AD39)&gt;AD44+4+$B$18,1,0))</f>
        <v>0</v>
      </c>
      <c r="AE65" s="387" t="n">
        <f aca="false">IF(27&lt;5,0,IF(MAX(Z39:AE39)&gt;AE44+4+$B$18,1,0))</f>
        <v>0</v>
      </c>
      <c r="AF65" s="387" t="n">
        <f aca="false">IF(28&lt;5,0,IF(MAX(AA39:AF39)&gt;AF44+4+$B$18,1,0))</f>
        <v>0</v>
      </c>
      <c r="AG65" s="387" t="n">
        <f aca="false">IF(29&lt;5,0,IF(MAX(AB39:AG39)&gt;AG44+4+$B$18,1,0))</f>
        <v>0</v>
      </c>
      <c r="AH65" s="387" t="n">
        <f aca="false">IF(30&lt;5,0,IF(MAX(AC39:AH39)&gt;AH44+4+$B$18,1,0))</f>
        <v>0</v>
      </c>
      <c r="AI65" s="387" t="n">
        <f aca="false">IF(31&lt;5,0,IF(MAX(AD39:AI39)&gt;AI44+4+$B$18,1,0))</f>
        <v>0</v>
      </c>
      <c r="AJ65" s="387" t="n">
        <f aca="false">IF(32&lt;5,0,IF(MAX(AE39:AJ39)&gt;AJ44+4+$B$18,1,0))</f>
        <v>0</v>
      </c>
      <c r="AK65" s="387" t="n">
        <f aca="false">IF(33&lt;5,0,IF(MAX(AF39:AK39)&gt;AK44+4+$B$18,1,0))</f>
        <v>0</v>
      </c>
      <c r="AL65" s="387" t="n">
        <f aca="false">IF(34&lt;5,0,IF(MAX(AG39:AL39)&gt;AL44+4+$B$18,1,0))</f>
        <v>0</v>
      </c>
      <c r="AM65" s="387" t="n">
        <f aca="false">IF(35&lt;5,0,IF(MAX(AH39:AM39)&gt;AM44+4+$B$18,1,0))</f>
        <v>0</v>
      </c>
      <c r="AN65" s="387" t="n">
        <f aca="false">IF(36&lt;5,0,IF(MAX(AI39:AN39)&gt;AN44+4+$B$18,1,0))</f>
        <v>0</v>
      </c>
      <c r="AO65" s="387" t="n">
        <f aca="false">IF(37&lt;5,0,IF(MAX(AJ39:AO39)&gt;AO44+4+$B$18,1,0))</f>
        <v>0</v>
      </c>
      <c r="AP65" s="387" t="n">
        <f aca="false">IF(38&lt;5,0,IF(MAX(AK39:AP39)&gt;AP44+4+$B$18,1,0))</f>
        <v>0</v>
      </c>
      <c r="AQ65" s="387" t="n">
        <f aca="false">IF(39&lt;5,0,IF(MAX(AL39:AQ39)&gt;AQ44+4+$B$18,1,0))</f>
        <v>0</v>
      </c>
      <c r="AR65" s="387" t="n">
        <f aca="false">IF(40&lt;5,0,IF(MAX(AM39:AR39)&gt;AR44+4+$B$18,1,0))</f>
        <v>0</v>
      </c>
      <c r="AS65" s="387" t="n">
        <f aca="false">IF(41&lt;5,0,IF(MAX(AN39:AS39)&gt;AS44+4+$B$18,1,0))</f>
        <v>0</v>
      </c>
      <c r="AT65" s="387" t="n">
        <f aca="false">IF(42&lt;5,0,IF(MAX(AO39:AT39)&gt;AT44+4+$B$18,1,0))</f>
        <v>0</v>
      </c>
      <c r="AU65" s="387" t="n">
        <f aca="false">IF(43&lt;5,0,IF(MAX(AP39:AU39)&gt;AU44+4+$B$18,1,0))</f>
        <v>0</v>
      </c>
      <c r="AV65" s="387" t="n">
        <f aca="false">IF(44&lt;5,0,IF(MAX(AQ39:AV39)&gt;AV44+4+$B$18,1,0))</f>
        <v>0</v>
      </c>
      <c r="AW65" s="387" t="n">
        <f aca="false">IF(45&lt;5,0,IF(MAX(AR39:AW39)&gt;AW44+4+$B$18,1,0))</f>
        <v>0</v>
      </c>
      <c r="AX65" s="387" t="n">
        <f aca="false">IF(46&lt;5,0,IF(MAX(AS39:AX39)&gt;AX44+4+$B$18,1,0))</f>
        <v>0</v>
      </c>
      <c r="AY65" s="387" t="n">
        <f aca="false">IF(47&lt;5,0,IF(MAX(AT39:AY39)&gt;AY44+4+$B$18,1,0))</f>
        <v>0</v>
      </c>
      <c r="AZ65" s="387" t="n">
        <f aca="false">IF(48&lt;5,0,IF(MAX(AU39:AZ39)&gt;AZ44+4+$B$18,1,0))</f>
        <v>0</v>
      </c>
      <c r="BA65" s="387" t="n">
        <f aca="false">IF(49&lt;5,0,IF(MAX(AV39:BA39)&gt;BA44+4+$B$18,1,0))</f>
        <v>0</v>
      </c>
      <c r="BB65" s="387" t="n">
        <f aca="false">IF(50&lt;5,0,IF(MAX(AW39:BB39)&gt;BB44+4+$B$18,1,0))</f>
        <v>0</v>
      </c>
      <c r="BC65" s="387" t="n">
        <f aca="false">IF(51&lt;5,0,IF(MAX(AX39:BC39)&gt;BC44+4+$B$18,1,0))</f>
        <v>0</v>
      </c>
      <c r="BD65" s="387" t="n">
        <f aca="false">IF(52&lt;5,0,IF(MAX(AY39:BD39)&gt;BD44+4+$B$18,1,0))</f>
        <v>0</v>
      </c>
      <c r="BE65" s="387" t="n">
        <f aca="false">IF(53&lt;5,0,IF(MAX(AZ39:BE39)&gt;BE44+4+$B$18,1,0))</f>
        <v>0</v>
      </c>
      <c r="BF65" s="387" t="n">
        <f aca="false">IF(54&lt;5,0,IF(MAX(BA39:BF39)&gt;BF44+4+$B$18,1,0))</f>
        <v>0</v>
      </c>
      <c r="BG65" s="387" t="n">
        <f aca="false">IF(55&lt;5,0,IF(MAX(BB39:BG39)&gt;BG44+4+$B$18,1,0))</f>
        <v>0</v>
      </c>
      <c r="BH65" s="387" t="n">
        <f aca="false">IF(56&lt;5,0,IF(MAX(BC39:BH39)&gt;BH44+4+$B$18,1,0))</f>
        <v>0</v>
      </c>
      <c r="BI65" s="387" t="n">
        <f aca="false">IF(57&lt;5,0,IF(MAX(BD39:BI39)&gt;BI44+4+$B$18,1,0))</f>
        <v>0</v>
      </c>
      <c r="BJ65" s="387" t="n">
        <f aca="false">IF(58&lt;5,0,IF(MAX(BE39:BJ39)&gt;BJ44+4+$B$18,1,0))</f>
        <v>0</v>
      </c>
      <c r="BK65" s="387" t="n">
        <f aca="false">IF(59&lt;5,0,IF(MAX(BF39:BK39)&gt;BK44+4+$B$18,1,0))</f>
        <v>0</v>
      </c>
      <c r="BL65" s="387" t="n">
        <f aca="false">IF(60&lt;5,0,IF(MAX(BG39:BL39)&gt;BL44+4+$B$18,1,0))</f>
        <v>0</v>
      </c>
      <c r="BM65" s="387" t="n">
        <f aca="false">IF(61&lt;5,0,IF(MAX(BH39:BM39)&gt;BM44+4+$B$18,1,0))</f>
        <v>0</v>
      </c>
      <c r="BN65" s="387" t="n">
        <f aca="false">IF(62&lt;5,0,IF(MAX(BI39:BN39)&gt;BN44+4+$B$18,1,0))</f>
        <v>0</v>
      </c>
      <c r="BO65" s="387" t="n">
        <f aca="false">IF(63&lt;5,0,IF(MAX(BJ39:BO39)&gt;BO44+4+$B$18,1,0))</f>
        <v>0</v>
      </c>
      <c r="BP65" s="387" t="n">
        <f aca="false">IF(64&lt;5,0,IF(MAX(BK39:BP39)&gt;BP44+4+$B$18,1,0))</f>
        <v>0</v>
      </c>
      <c r="BQ65" s="387" t="n">
        <f aca="false">IF(65&lt;5,0,IF(MAX(BL39:BQ39)&gt;BQ44+4+$B$18,1,0))</f>
        <v>0</v>
      </c>
      <c r="BR65" s="387" t="n">
        <f aca="false">IF(66&lt;5,0,IF(MAX(BM39:BR39)&gt;BR44+4+$B$18,1,0))</f>
        <v>0</v>
      </c>
      <c r="BS65" s="387" t="n">
        <f aca="false">IF(67&lt;5,0,IF(MAX(BN39:BS39)&gt;BS44+4+$B$18,1,0))</f>
        <v>0</v>
      </c>
      <c r="BT65" s="387" t="n">
        <f aca="false">IF(68&lt;5,0,IF(MAX(BO39:BT39)&gt;BT44+4+$B$18,1,0))</f>
        <v>0</v>
      </c>
      <c r="BU65" s="387" t="n">
        <f aca="false">IF(69&lt;5,0,IF(MAX(BP39:BU39)&gt;BU44+4+$B$18,1,0))</f>
        <v>0</v>
      </c>
      <c r="BV65" s="387" t="n">
        <f aca="false">IF(70&lt;5,0,IF(MAX(BQ39:BV39)&gt;BV44+4+$B$18,1,0))</f>
        <v>0</v>
      </c>
      <c r="BW65" s="387" t="n">
        <f aca="false">IF(71&lt;5,0,IF(MAX(BR39:BW39)&gt;BW44+4+$B$18,1,0))</f>
        <v>0</v>
      </c>
      <c r="BX65" s="387" t="n">
        <f aca="false">IF(72&lt;5,0,IF(MAX(BS39:BX39)&gt;BX44+4+$B$18,1,0))</f>
        <v>0</v>
      </c>
      <c r="BY65" s="387" t="n">
        <f aca="false">IF(73&lt;5,0,IF(MAX(BT39:BY39)&gt;BY44+4+$B$18,1,0))</f>
        <v>0</v>
      </c>
      <c r="BZ65" s="387" t="n">
        <f aca="false">IF(74&lt;5,0,IF(MAX(BU39:BZ39)&gt;BZ44+4+$B$18,1,0))</f>
        <v>0</v>
      </c>
      <c r="CA65" s="387" t="n">
        <f aca="false">IF(75&lt;5,0,IF(MAX(BV39:CA39)&gt;CA44+4+$B$18,1,0))</f>
        <v>0</v>
      </c>
      <c r="CB65" s="387" t="n">
        <f aca="false">IF(76&lt;5,0,IF(MAX(BW39:CB39)&gt;CB44+4+$B$18,1,0))</f>
        <v>0</v>
      </c>
      <c r="CC65" s="387" t="n">
        <f aca="false">IF(77&lt;5,0,IF(MAX(BX39:CC39)&gt;CC44+4+$B$18,1,0))</f>
        <v>0</v>
      </c>
      <c r="CD65" s="387" t="n">
        <f aca="false">IF(78&lt;5,0,IF(MAX(BY39:CD39)&gt;CD44+4+$B$18,1,0))</f>
        <v>0</v>
      </c>
      <c r="CE65" s="387" t="n">
        <f aca="false">IF(79&lt;5,0,IF(MAX(BZ39:CE39)&gt;CE44+4+$B$18,1,0))</f>
        <v>0</v>
      </c>
      <c r="CF65" s="387" t="n">
        <f aca="false">IF(80&lt;5,0,IF(MAX(CA39:CF39)&gt;CF44+4+$B$18,1,0))</f>
        <v>0</v>
      </c>
      <c r="CG65" s="387" t="n">
        <f aca="false">IF(81&lt;5,0,IF(MAX(CB39:CG39)&gt;CG44+4+$B$18,1,0))</f>
        <v>0</v>
      </c>
      <c r="CH65" s="387" t="n">
        <f aca="false">IF(82&lt;5,0,IF(MAX(CC39:CH39)&gt;CH44+4+$B$18,1,0))</f>
        <v>0</v>
      </c>
      <c r="CI65" s="387" t="n">
        <f aca="false">IF(83&lt;5,0,IF(MAX(CD39:CI39)&gt;CI44+4+$B$18,1,0))</f>
        <v>0</v>
      </c>
      <c r="CJ65" s="387" t="n">
        <f aca="false">IF(84&lt;5,0,IF(MAX(CE39:CJ39)&gt;CJ44+4+$B$18,1,0))</f>
        <v>0</v>
      </c>
      <c r="CK65" s="387" t="n">
        <f aca="false">IF(85&lt;5,0,IF(MAX(CF39:CK39)&gt;CK44+4+$B$18,1,0))</f>
        <v>0</v>
      </c>
      <c r="CL65" s="387" t="n">
        <f aca="false">IF(86&lt;5,0,IF(MAX(CG39:CL39)&gt;CL44+4+$B$18,1,0))</f>
        <v>0</v>
      </c>
      <c r="CM65" s="387" t="n">
        <f aca="false">IF(87&lt;5,0,IF(MAX(CH39:CM39)&gt;CM44+4+$B$18,1,0))</f>
        <v>0</v>
      </c>
      <c r="CN65" s="387" t="n">
        <f aca="false">IF(88&lt;5,0,IF(MAX(CI39:CN39)&gt;CN44+4+$B$18,1,0))</f>
        <v>0</v>
      </c>
      <c r="CO65" s="387" t="n">
        <f aca="false">IF(89&lt;5,0,IF(MAX(CJ39:CO39)&gt;CO44+4+$B$18,1,0))</f>
        <v>0</v>
      </c>
      <c r="CP65" s="387" t="n">
        <f aca="false">IF(90&lt;5,0,IF(MAX(CK39:CP39)&gt;CP44+4+$B$18,1,0))</f>
        <v>0</v>
      </c>
      <c r="CQ65" s="387" t="n">
        <f aca="false">IF(91&lt;5,0,IF(MAX(CL39:CQ39)&gt;CQ44+4+$B$18,1,0))</f>
        <v>0</v>
      </c>
      <c r="CR65" s="387" t="n">
        <f aca="false">IF(92&lt;5,0,IF(MAX(CM39:CR39)&gt;CR44+4+$B$18,1,0))</f>
        <v>0</v>
      </c>
      <c r="CS65" s="387" t="n">
        <f aca="false">IF(93&lt;5,0,IF(MAX(CN39:CS39)&gt;CS44+4+$B$18,1,0))</f>
        <v>0</v>
      </c>
      <c r="CT65" s="387" t="n">
        <f aca="false">IF(94&lt;5,0,IF(MAX(CO39:CT39)&gt;CT44+4+$B$18,1,0))</f>
        <v>0</v>
      </c>
      <c r="CU65" s="387" t="n">
        <f aca="false">IF(95&lt;5,0,IF(MAX(CP39:CU39)&gt;CU44+4+$B$18,1,0))</f>
        <v>0</v>
      </c>
      <c r="CV65" s="387" t="n">
        <f aca="false">IF(96&lt;5,0,IF(MAX(CQ39:CV39)&gt;CV44+4+$B$18,1,0))</f>
        <v>0</v>
      </c>
      <c r="CW65" s="387" t="n">
        <f aca="false">IF(97&lt;5,0,IF(MAX(CR39:CW39)&gt;CW44+4+$B$18,1,0))</f>
        <v>0</v>
      </c>
      <c r="CX65" s="387" t="n">
        <f aca="false">IF(98&lt;5,0,IF(MAX(CS39:CX39)&gt;CX44+4+$B$18,1,0))</f>
        <v>0</v>
      </c>
      <c r="CY65" s="387" t="n">
        <f aca="false">IF(99&lt;5,0,IF(MAX(CT39:CY39)&gt;CY44+4+$B$18,1,0))</f>
        <v>0</v>
      </c>
      <c r="CZ65" s="387" t="n">
        <f aca="false">IF(100&lt;5,0,IF(MAX(CU39:CZ39)&gt;CZ44+4+$B$18,1,0))</f>
        <v>0</v>
      </c>
      <c r="DA65" s="387" t="n">
        <f aca="false">IF(101&lt;5,0,IF(MAX(CV39:DA39)&gt;DA44+4+$B$18,1,0))</f>
        <v>0</v>
      </c>
      <c r="DB65" s="387" t="n">
        <f aca="false">IF(102&lt;5,0,IF(MAX(CW39:DB39)&gt;DB44+4+$B$18,1,0))</f>
        <v>0</v>
      </c>
      <c r="DC65" s="387" t="n">
        <f aca="false">IF(103&lt;5,0,IF(MAX(CX39:DC39)&gt;DC44+4+$B$18,1,0))</f>
        <v>0</v>
      </c>
      <c r="DD65" s="387" t="n">
        <f aca="false">IF(104&lt;5,0,IF(MAX(CY39:DD39)&gt;DD44+4+$B$18,1,0))</f>
        <v>0</v>
      </c>
      <c r="DE65" s="387" t="n">
        <f aca="false">IF(105&lt;5,0,IF(MAX(CZ39:DE39)&gt;DE44+4+$B$18,1,0))</f>
        <v>0</v>
      </c>
    </row>
    <row r="66" customFormat="false" ht="13.5" hidden="false" customHeight="true" outlineLevel="0" collapsed="false">
      <c r="A66" s="110" t="s">
        <v>1402</v>
      </c>
      <c r="B66" s="213" t="n">
        <f aca="false">$B$28</f>
        <v>130000</v>
      </c>
      <c r="E66" s="387" t="n">
        <f aca="false">IF(1&lt;5,0,IF(MAX(E39:E39)&gt;E44+5+$B$18,1,0))</f>
        <v>0</v>
      </c>
      <c r="F66" s="387" t="n">
        <f aca="false">IF(2&lt;5,0,IF(MAX(E39:F39)&gt;F44+5+$B$18,1,0))</f>
        <v>0</v>
      </c>
      <c r="G66" s="387" t="n">
        <f aca="false">IF(3&lt;5,0,IF(MAX(E39:G39)&gt;G44+5+$B$18,1,0))</f>
        <v>0</v>
      </c>
      <c r="H66" s="387" t="n">
        <f aca="false">IF(4&lt;5,0,IF(MAX(E39:H39)&gt;H44+5+$B$18,1,0))</f>
        <v>0</v>
      </c>
      <c r="I66" s="387" t="n">
        <f aca="false">IF(5&lt;5,0,IF(MAX(E39:I39)&gt;I44+5+$B$18,1,0))</f>
        <v>0</v>
      </c>
      <c r="J66" s="387" t="n">
        <f aca="false">IF(6&lt;5,0,IF(MAX(E39:J39)&gt;J44+5+$B$18,1,0))</f>
        <v>0</v>
      </c>
      <c r="K66" s="387" t="n">
        <f aca="false">IF(7&lt;5,0,IF(MAX(F39:K39)&gt;K44+5+$B$18,1,0))</f>
        <v>0</v>
      </c>
      <c r="L66" s="387" t="n">
        <f aca="false">IF(8&lt;5,0,IF(MAX(G39:L39)&gt;L44+5+$B$18,1,0))</f>
        <v>0</v>
      </c>
      <c r="M66" s="387" t="n">
        <f aca="false">IF(9&lt;5,0,IF(MAX(H39:M39)&gt;M44+5+$B$18,1,0))</f>
        <v>0</v>
      </c>
      <c r="N66" s="387" t="n">
        <f aca="false">IF(10&lt;5,0,IF(MAX(I39:N39)&gt;N44+5+$B$18,1,0))</f>
        <v>0</v>
      </c>
      <c r="O66" s="387" t="n">
        <f aca="false">IF(11&lt;5,0,IF(MAX(J39:O39)&gt;O44+5+$B$18,1,0))</f>
        <v>0</v>
      </c>
      <c r="P66" s="387" t="n">
        <f aca="false">IF(12&lt;5,0,IF(MAX(K39:P39)&gt;P44+5+$B$18,1,0))</f>
        <v>0</v>
      </c>
      <c r="Q66" s="387" t="n">
        <f aca="false">IF(13&lt;5,0,IF(MAX(L39:Q39)&gt;Q44+5+$B$18,1,0))</f>
        <v>0</v>
      </c>
      <c r="R66" s="387" t="n">
        <f aca="false">IF(14&lt;5,0,IF(MAX(M39:R39)&gt;R44+5+$B$18,1,0))</f>
        <v>0</v>
      </c>
      <c r="S66" s="387" t="n">
        <f aca="false">IF(15&lt;5,0,IF(MAX(N39:S39)&gt;S44+5+$B$18,1,0))</f>
        <v>0</v>
      </c>
      <c r="T66" s="387" t="n">
        <f aca="false">IF(16&lt;5,0,IF(MAX(O39:T39)&gt;T44+5+$B$18,1,0))</f>
        <v>0</v>
      </c>
      <c r="U66" s="387" t="n">
        <f aca="false">IF(17&lt;5,0,IF(MAX(P39:U39)&gt;U44+5+$B$18,1,0))</f>
        <v>0</v>
      </c>
      <c r="V66" s="387" t="n">
        <f aca="false">IF(18&lt;5,0,IF(MAX(Q39:V39)&gt;V44+5+$B$18,1,0))</f>
        <v>0</v>
      </c>
      <c r="W66" s="387" t="n">
        <f aca="false">IF(19&lt;5,0,IF(MAX(R39:W39)&gt;W44+5+$B$18,1,0))</f>
        <v>0</v>
      </c>
      <c r="X66" s="387" t="n">
        <f aca="false">IF(20&lt;5,0,IF(MAX(S39:X39)&gt;X44+5+$B$18,1,0))</f>
        <v>0</v>
      </c>
      <c r="Y66" s="387" t="n">
        <f aca="false">IF(21&lt;5,0,IF(MAX(T39:Y39)&gt;Y44+5+$B$18,1,0))</f>
        <v>0</v>
      </c>
      <c r="Z66" s="387" t="n">
        <f aca="false">IF(22&lt;5,0,IF(MAX(U39:Z39)&gt;Z44+5+$B$18,1,0))</f>
        <v>0</v>
      </c>
      <c r="AA66" s="387" t="n">
        <f aca="false">IF(23&lt;5,0,IF(MAX(V39:AA39)&gt;AA44+5+$B$18,1,0))</f>
        <v>0</v>
      </c>
      <c r="AB66" s="387" t="n">
        <f aca="false">IF(24&lt;5,0,IF(MAX(W39:AB39)&gt;AB44+5+$B$18,1,0))</f>
        <v>0</v>
      </c>
      <c r="AC66" s="387" t="n">
        <f aca="false">IF(25&lt;5,0,IF(MAX(X39:AC39)&gt;AC44+5+$B$18,1,0))</f>
        <v>0</v>
      </c>
      <c r="AD66" s="387" t="n">
        <f aca="false">IF(26&lt;5,0,IF(MAX(Y39:AD39)&gt;AD44+5+$B$18,1,0))</f>
        <v>0</v>
      </c>
      <c r="AE66" s="387" t="n">
        <f aca="false">IF(27&lt;5,0,IF(MAX(Z39:AE39)&gt;AE44+5+$B$18,1,0))</f>
        <v>0</v>
      </c>
      <c r="AF66" s="387" t="n">
        <f aca="false">IF(28&lt;5,0,IF(MAX(AA39:AF39)&gt;AF44+5+$B$18,1,0))</f>
        <v>0</v>
      </c>
      <c r="AG66" s="387" t="n">
        <f aca="false">IF(29&lt;5,0,IF(MAX(AB39:AG39)&gt;AG44+5+$B$18,1,0))</f>
        <v>0</v>
      </c>
      <c r="AH66" s="387" t="n">
        <f aca="false">IF(30&lt;5,0,IF(MAX(AC39:AH39)&gt;AH44+5+$B$18,1,0))</f>
        <v>0</v>
      </c>
      <c r="AI66" s="387" t="n">
        <f aca="false">IF(31&lt;5,0,IF(MAX(AD39:AI39)&gt;AI44+5+$B$18,1,0))</f>
        <v>0</v>
      </c>
      <c r="AJ66" s="387" t="n">
        <f aca="false">IF(32&lt;5,0,IF(MAX(AE39:AJ39)&gt;AJ44+5+$B$18,1,0))</f>
        <v>0</v>
      </c>
      <c r="AK66" s="387" t="n">
        <f aca="false">IF(33&lt;5,0,IF(MAX(AF39:AK39)&gt;AK44+5+$B$18,1,0))</f>
        <v>0</v>
      </c>
      <c r="AL66" s="387" t="n">
        <f aca="false">IF(34&lt;5,0,IF(MAX(AG39:AL39)&gt;AL44+5+$B$18,1,0))</f>
        <v>0</v>
      </c>
      <c r="AM66" s="387" t="n">
        <f aca="false">IF(35&lt;5,0,IF(MAX(AH39:AM39)&gt;AM44+5+$B$18,1,0))</f>
        <v>0</v>
      </c>
      <c r="AN66" s="387" t="n">
        <f aca="false">IF(36&lt;5,0,IF(MAX(AI39:AN39)&gt;AN44+5+$B$18,1,0))</f>
        <v>0</v>
      </c>
      <c r="AO66" s="387" t="n">
        <f aca="false">IF(37&lt;5,0,IF(MAX(AJ39:AO39)&gt;AO44+5+$B$18,1,0))</f>
        <v>0</v>
      </c>
      <c r="AP66" s="387" t="n">
        <f aca="false">IF(38&lt;5,0,IF(MAX(AK39:AP39)&gt;AP44+5+$B$18,1,0))</f>
        <v>0</v>
      </c>
      <c r="AQ66" s="387" t="n">
        <f aca="false">IF(39&lt;5,0,IF(MAX(AL39:AQ39)&gt;AQ44+5+$B$18,1,0))</f>
        <v>0</v>
      </c>
      <c r="AR66" s="387" t="n">
        <f aca="false">IF(40&lt;5,0,IF(MAX(AM39:AR39)&gt;AR44+5+$B$18,1,0))</f>
        <v>0</v>
      </c>
      <c r="AS66" s="387" t="n">
        <f aca="false">IF(41&lt;5,0,IF(MAX(AN39:AS39)&gt;AS44+5+$B$18,1,0))</f>
        <v>0</v>
      </c>
      <c r="AT66" s="387" t="n">
        <f aca="false">IF(42&lt;5,0,IF(MAX(AO39:AT39)&gt;AT44+5+$B$18,1,0))</f>
        <v>0</v>
      </c>
      <c r="AU66" s="387" t="n">
        <f aca="false">IF(43&lt;5,0,IF(MAX(AP39:AU39)&gt;AU44+5+$B$18,1,0))</f>
        <v>0</v>
      </c>
      <c r="AV66" s="387" t="n">
        <f aca="false">IF(44&lt;5,0,IF(MAX(AQ39:AV39)&gt;AV44+5+$B$18,1,0))</f>
        <v>0</v>
      </c>
      <c r="AW66" s="387" t="n">
        <f aca="false">IF(45&lt;5,0,IF(MAX(AR39:AW39)&gt;AW44+5+$B$18,1,0))</f>
        <v>0</v>
      </c>
      <c r="AX66" s="387" t="n">
        <f aca="false">IF(46&lt;5,0,IF(MAX(AS39:AX39)&gt;AX44+5+$B$18,1,0))</f>
        <v>0</v>
      </c>
      <c r="AY66" s="387" t="n">
        <f aca="false">IF(47&lt;5,0,IF(MAX(AT39:AY39)&gt;AY44+5+$B$18,1,0))</f>
        <v>0</v>
      </c>
      <c r="AZ66" s="387" t="n">
        <f aca="false">IF(48&lt;5,0,IF(MAX(AU39:AZ39)&gt;AZ44+5+$B$18,1,0))</f>
        <v>0</v>
      </c>
      <c r="BA66" s="387" t="n">
        <f aca="false">IF(49&lt;5,0,IF(MAX(AV39:BA39)&gt;BA44+5+$B$18,1,0))</f>
        <v>0</v>
      </c>
      <c r="BB66" s="387" t="n">
        <f aca="false">IF(50&lt;5,0,IF(MAX(AW39:BB39)&gt;BB44+5+$B$18,1,0))</f>
        <v>0</v>
      </c>
      <c r="BC66" s="387" t="n">
        <f aca="false">IF(51&lt;5,0,IF(MAX(AX39:BC39)&gt;BC44+5+$B$18,1,0))</f>
        <v>0</v>
      </c>
      <c r="BD66" s="387" t="n">
        <f aca="false">IF(52&lt;5,0,IF(MAX(AY39:BD39)&gt;BD44+5+$B$18,1,0))</f>
        <v>0</v>
      </c>
      <c r="BE66" s="387" t="n">
        <f aca="false">IF(53&lt;5,0,IF(MAX(AZ39:BE39)&gt;BE44+5+$B$18,1,0))</f>
        <v>0</v>
      </c>
      <c r="BF66" s="387" t="n">
        <f aca="false">IF(54&lt;5,0,IF(MAX(BA39:BF39)&gt;BF44+5+$B$18,1,0))</f>
        <v>0</v>
      </c>
      <c r="BG66" s="387" t="n">
        <f aca="false">IF(55&lt;5,0,IF(MAX(BB39:BG39)&gt;BG44+5+$B$18,1,0))</f>
        <v>0</v>
      </c>
      <c r="BH66" s="387" t="n">
        <f aca="false">IF(56&lt;5,0,IF(MAX(BC39:BH39)&gt;BH44+5+$B$18,1,0))</f>
        <v>0</v>
      </c>
      <c r="BI66" s="387" t="n">
        <f aca="false">IF(57&lt;5,0,IF(MAX(BD39:BI39)&gt;BI44+5+$B$18,1,0))</f>
        <v>0</v>
      </c>
      <c r="BJ66" s="387" t="n">
        <f aca="false">IF(58&lt;5,0,IF(MAX(BE39:BJ39)&gt;BJ44+5+$B$18,1,0))</f>
        <v>0</v>
      </c>
      <c r="BK66" s="387" t="n">
        <f aca="false">IF(59&lt;5,0,IF(MAX(BF39:BK39)&gt;BK44+5+$B$18,1,0))</f>
        <v>0</v>
      </c>
      <c r="BL66" s="387" t="n">
        <f aca="false">IF(60&lt;5,0,IF(MAX(BG39:BL39)&gt;BL44+5+$B$18,1,0))</f>
        <v>0</v>
      </c>
      <c r="BM66" s="387" t="n">
        <f aca="false">IF(61&lt;5,0,IF(MAX(BH39:BM39)&gt;BM44+5+$B$18,1,0))</f>
        <v>0</v>
      </c>
      <c r="BN66" s="387" t="n">
        <f aca="false">IF(62&lt;5,0,IF(MAX(BI39:BN39)&gt;BN44+5+$B$18,1,0))</f>
        <v>0</v>
      </c>
      <c r="BO66" s="387" t="n">
        <f aca="false">IF(63&lt;5,0,IF(MAX(BJ39:BO39)&gt;BO44+5+$B$18,1,0))</f>
        <v>0</v>
      </c>
      <c r="BP66" s="387" t="n">
        <f aca="false">IF(64&lt;5,0,IF(MAX(BK39:BP39)&gt;BP44+5+$B$18,1,0))</f>
        <v>0</v>
      </c>
      <c r="BQ66" s="387" t="n">
        <f aca="false">IF(65&lt;5,0,IF(MAX(BL39:BQ39)&gt;BQ44+5+$B$18,1,0))</f>
        <v>0</v>
      </c>
      <c r="BR66" s="387" t="n">
        <f aca="false">IF(66&lt;5,0,IF(MAX(BM39:BR39)&gt;BR44+5+$B$18,1,0))</f>
        <v>0</v>
      </c>
      <c r="BS66" s="387" t="n">
        <f aca="false">IF(67&lt;5,0,IF(MAX(BN39:BS39)&gt;BS44+5+$B$18,1,0))</f>
        <v>0</v>
      </c>
      <c r="BT66" s="387" t="n">
        <f aca="false">IF(68&lt;5,0,IF(MAX(BO39:BT39)&gt;BT44+5+$B$18,1,0))</f>
        <v>0</v>
      </c>
      <c r="BU66" s="387" t="n">
        <f aca="false">IF(69&lt;5,0,IF(MAX(BP39:BU39)&gt;BU44+5+$B$18,1,0))</f>
        <v>0</v>
      </c>
      <c r="BV66" s="387" t="n">
        <f aca="false">IF(70&lt;5,0,IF(MAX(BQ39:BV39)&gt;BV44+5+$B$18,1,0))</f>
        <v>0</v>
      </c>
      <c r="BW66" s="387" t="n">
        <f aca="false">IF(71&lt;5,0,IF(MAX(BR39:BW39)&gt;BW44+5+$B$18,1,0))</f>
        <v>0</v>
      </c>
      <c r="BX66" s="387" t="n">
        <f aca="false">IF(72&lt;5,0,IF(MAX(BS39:BX39)&gt;BX44+5+$B$18,1,0))</f>
        <v>0</v>
      </c>
      <c r="BY66" s="387" t="n">
        <f aca="false">IF(73&lt;5,0,IF(MAX(BT39:BY39)&gt;BY44+5+$B$18,1,0))</f>
        <v>0</v>
      </c>
      <c r="BZ66" s="387" t="n">
        <f aca="false">IF(74&lt;5,0,IF(MAX(BU39:BZ39)&gt;BZ44+5+$B$18,1,0))</f>
        <v>0</v>
      </c>
      <c r="CA66" s="387" t="n">
        <f aca="false">IF(75&lt;5,0,IF(MAX(BV39:CA39)&gt;CA44+5+$B$18,1,0))</f>
        <v>0</v>
      </c>
      <c r="CB66" s="387" t="n">
        <f aca="false">IF(76&lt;5,0,IF(MAX(BW39:CB39)&gt;CB44+5+$B$18,1,0))</f>
        <v>0</v>
      </c>
      <c r="CC66" s="387" t="n">
        <f aca="false">IF(77&lt;5,0,IF(MAX(BX39:CC39)&gt;CC44+5+$B$18,1,0))</f>
        <v>0</v>
      </c>
      <c r="CD66" s="387" t="n">
        <f aca="false">IF(78&lt;5,0,IF(MAX(BY39:CD39)&gt;CD44+5+$B$18,1,0))</f>
        <v>0</v>
      </c>
      <c r="CE66" s="387" t="n">
        <f aca="false">IF(79&lt;5,0,IF(MAX(BZ39:CE39)&gt;CE44+5+$B$18,1,0))</f>
        <v>0</v>
      </c>
      <c r="CF66" s="387" t="n">
        <f aca="false">IF(80&lt;5,0,IF(MAX(CA39:CF39)&gt;CF44+5+$B$18,1,0))</f>
        <v>0</v>
      </c>
      <c r="CG66" s="387" t="n">
        <f aca="false">IF(81&lt;5,0,IF(MAX(CB39:CG39)&gt;CG44+5+$B$18,1,0))</f>
        <v>0</v>
      </c>
      <c r="CH66" s="387" t="n">
        <f aca="false">IF(82&lt;5,0,IF(MAX(CC39:CH39)&gt;CH44+5+$B$18,1,0))</f>
        <v>0</v>
      </c>
      <c r="CI66" s="387" t="n">
        <f aca="false">IF(83&lt;5,0,IF(MAX(CD39:CI39)&gt;CI44+5+$B$18,1,0))</f>
        <v>0</v>
      </c>
      <c r="CJ66" s="387" t="n">
        <f aca="false">IF(84&lt;5,0,IF(MAX(CE39:CJ39)&gt;CJ44+5+$B$18,1,0))</f>
        <v>0</v>
      </c>
      <c r="CK66" s="387" t="n">
        <f aca="false">IF(85&lt;5,0,IF(MAX(CF39:CK39)&gt;CK44+5+$B$18,1,0))</f>
        <v>0</v>
      </c>
      <c r="CL66" s="387" t="n">
        <f aca="false">IF(86&lt;5,0,IF(MAX(CG39:CL39)&gt;CL44+5+$B$18,1,0))</f>
        <v>0</v>
      </c>
      <c r="CM66" s="387" t="n">
        <f aca="false">IF(87&lt;5,0,IF(MAX(CH39:CM39)&gt;CM44+5+$B$18,1,0))</f>
        <v>0</v>
      </c>
      <c r="CN66" s="387" t="n">
        <f aca="false">IF(88&lt;5,0,IF(MAX(CI39:CN39)&gt;CN44+5+$B$18,1,0))</f>
        <v>0</v>
      </c>
      <c r="CO66" s="387" t="n">
        <f aca="false">IF(89&lt;5,0,IF(MAX(CJ39:CO39)&gt;CO44+5+$B$18,1,0))</f>
        <v>0</v>
      </c>
      <c r="CP66" s="387" t="n">
        <f aca="false">IF(90&lt;5,0,IF(MAX(CK39:CP39)&gt;CP44+5+$B$18,1,0))</f>
        <v>0</v>
      </c>
      <c r="CQ66" s="387" t="n">
        <f aca="false">IF(91&lt;5,0,IF(MAX(CL39:CQ39)&gt;CQ44+5+$B$18,1,0))</f>
        <v>0</v>
      </c>
      <c r="CR66" s="387" t="n">
        <f aca="false">IF(92&lt;5,0,IF(MAX(CM39:CR39)&gt;CR44+5+$B$18,1,0))</f>
        <v>0</v>
      </c>
      <c r="CS66" s="387" t="n">
        <f aca="false">IF(93&lt;5,0,IF(MAX(CN39:CS39)&gt;CS44+5+$B$18,1,0))</f>
        <v>0</v>
      </c>
      <c r="CT66" s="387" t="n">
        <f aca="false">IF(94&lt;5,0,IF(MAX(CO39:CT39)&gt;CT44+5+$B$18,1,0))</f>
        <v>0</v>
      </c>
      <c r="CU66" s="387" t="n">
        <f aca="false">IF(95&lt;5,0,IF(MAX(CP39:CU39)&gt;CU44+5+$B$18,1,0))</f>
        <v>0</v>
      </c>
      <c r="CV66" s="387" t="n">
        <f aca="false">IF(96&lt;5,0,IF(MAX(CQ39:CV39)&gt;CV44+5+$B$18,1,0))</f>
        <v>0</v>
      </c>
      <c r="CW66" s="387" t="n">
        <f aca="false">IF(97&lt;5,0,IF(MAX(CR39:CW39)&gt;CW44+5+$B$18,1,0))</f>
        <v>0</v>
      </c>
      <c r="CX66" s="387" t="n">
        <f aca="false">IF(98&lt;5,0,IF(MAX(CS39:CX39)&gt;CX44+5+$B$18,1,0))</f>
        <v>0</v>
      </c>
      <c r="CY66" s="387" t="n">
        <f aca="false">IF(99&lt;5,0,IF(MAX(CT39:CY39)&gt;CY44+5+$B$18,1,0))</f>
        <v>0</v>
      </c>
      <c r="CZ66" s="387" t="n">
        <f aca="false">IF(100&lt;5,0,IF(MAX(CU39:CZ39)&gt;CZ44+5+$B$18,1,0))</f>
        <v>0</v>
      </c>
      <c r="DA66" s="387" t="n">
        <f aca="false">IF(101&lt;5,0,IF(MAX(CV39:DA39)&gt;DA44+5+$B$18,1,0))</f>
        <v>0</v>
      </c>
      <c r="DB66" s="387" t="n">
        <f aca="false">IF(102&lt;5,0,IF(MAX(CW39:DB39)&gt;DB44+5+$B$18,1,0))</f>
        <v>0</v>
      </c>
      <c r="DC66" s="387" t="n">
        <f aca="false">IF(103&lt;5,0,IF(MAX(CX39:DC39)&gt;DC44+5+$B$18,1,0))</f>
        <v>0</v>
      </c>
      <c r="DD66" s="387" t="n">
        <f aca="false">IF(104&lt;5,0,IF(MAX(CY39:DD39)&gt;DD44+5+$B$18,1,0))</f>
        <v>0</v>
      </c>
      <c r="DE66" s="387" t="n">
        <f aca="false">IF(105&lt;5,0,IF(MAX(CZ39:DE39)&gt;DE44+5+$B$18,1,0))</f>
        <v>0</v>
      </c>
    </row>
    <row r="67" customFormat="false" ht="13.5" hidden="false" customHeight="true" outlineLevel="0" collapsed="false">
      <c r="A67" s="110" t="s">
        <v>1403</v>
      </c>
      <c r="B67" s="213" t="n">
        <f aca="false">$B$28</f>
        <v>130000</v>
      </c>
      <c r="E67" s="387" t="n">
        <f aca="false">IF(1&lt;5,0,IF(MAX(E39:E39)&gt;E44+6+$B$18,1,0))</f>
        <v>0</v>
      </c>
      <c r="F67" s="387" t="n">
        <f aca="false">IF(2&lt;5,0,IF(MAX(E39:F39)&gt;F44+6+$B$18,1,0))</f>
        <v>0</v>
      </c>
      <c r="G67" s="387" t="n">
        <f aca="false">IF(3&lt;5,0,IF(MAX(E39:G39)&gt;G44+6+$B$18,1,0))</f>
        <v>0</v>
      </c>
      <c r="H67" s="387" t="n">
        <f aca="false">IF(4&lt;5,0,IF(MAX(E39:H39)&gt;H44+6+$B$18,1,0))</f>
        <v>0</v>
      </c>
      <c r="I67" s="387" t="n">
        <f aca="false">IF(5&lt;5,0,IF(MAX(E39:I39)&gt;I44+6+$B$18,1,0))</f>
        <v>0</v>
      </c>
      <c r="J67" s="387" t="n">
        <f aca="false">IF(6&lt;5,0,IF(MAX(E39:J39)&gt;J44+6+$B$18,1,0))</f>
        <v>0</v>
      </c>
      <c r="K67" s="387" t="n">
        <f aca="false">IF(7&lt;5,0,IF(MAX(F39:K39)&gt;K44+6+$B$18,1,0))</f>
        <v>0</v>
      </c>
      <c r="L67" s="387" t="n">
        <f aca="false">IF(8&lt;5,0,IF(MAX(G39:L39)&gt;L44+6+$B$18,1,0))</f>
        <v>0</v>
      </c>
      <c r="M67" s="387" t="n">
        <f aca="false">IF(9&lt;5,0,IF(MAX(H39:M39)&gt;M44+6+$B$18,1,0))</f>
        <v>0</v>
      </c>
      <c r="N67" s="387" t="n">
        <f aca="false">IF(10&lt;5,0,IF(MAX(I39:N39)&gt;N44+6+$B$18,1,0))</f>
        <v>0</v>
      </c>
      <c r="O67" s="387" t="n">
        <f aca="false">IF(11&lt;5,0,IF(MAX(J39:O39)&gt;O44+6+$B$18,1,0))</f>
        <v>0</v>
      </c>
      <c r="P67" s="387" t="n">
        <f aca="false">IF(12&lt;5,0,IF(MAX(K39:P39)&gt;P44+6+$B$18,1,0))</f>
        <v>0</v>
      </c>
      <c r="Q67" s="387" t="n">
        <f aca="false">IF(13&lt;5,0,IF(MAX(L39:Q39)&gt;Q44+6+$B$18,1,0))</f>
        <v>0</v>
      </c>
      <c r="R67" s="387" t="n">
        <f aca="false">IF(14&lt;5,0,IF(MAX(M39:R39)&gt;R44+6+$B$18,1,0))</f>
        <v>0</v>
      </c>
      <c r="S67" s="387" t="n">
        <f aca="false">IF(15&lt;5,0,IF(MAX(N39:S39)&gt;S44+6+$B$18,1,0))</f>
        <v>0</v>
      </c>
      <c r="T67" s="387" t="n">
        <f aca="false">IF(16&lt;5,0,IF(MAX(O39:T39)&gt;T44+6+$B$18,1,0))</f>
        <v>0</v>
      </c>
      <c r="U67" s="387" t="n">
        <f aca="false">IF(17&lt;5,0,IF(MAX(P39:U39)&gt;U44+6+$B$18,1,0))</f>
        <v>0</v>
      </c>
      <c r="V67" s="387" t="n">
        <f aca="false">IF(18&lt;5,0,IF(MAX(Q39:V39)&gt;V44+6+$B$18,1,0))</f>
        <v>0</v>
      </c>
      <c r="W67" s="387" t="n">
        <f aca="false">IF(19&lt;5,0,IF(MAX(R39:W39)&gt;W44+6+$B$18,1,0))</f>
        <v>0</v>
      </c>
      <c r="X67" s="387" t="n">
        <f aca="false">IF(20&lt;5,0,IF(MAX(S39:X39)&gt;X44+6+$B$18,1,0))</f>
        <v>0</v>
      </c>
      <c r="Y67" s="387" t="n">
        <f aca="false">IF(21&lt;5,0,IF(MAX(T39:Y39)&gt;Y44+6+$B$18,1,0))</f>
        <v>0</v>
      </c>
      <c r="Z67" s="387" t="n">
        <f aca="false">IF(22&lt;5,0,IF(MAX(U39:Z39)&gt;Z44+6+$B$18,1,0))</f>
        <v>0</v>
      </c>
      <c r="AA67" s="387" t="n">
        <f aca="false">IF(23&lt;5,0,IF(MAX(V39:AA39)&gt;AA44+6+$B$18,1,0))</f>
        <v>0</v>
      </c>
      <c r="AB67" s="387" t="n">
        <f aca="false">IF(24&lt;5,0,IF(MAX(W39:AB39)&gt;AB44+6+$B$18,1,0))</f>
        <v>0</v>
      </c>
      <c r="AC67" s="387" t="n">
        <f aca="false">IF(25&lt;5,0,IF(MAX(X39:AC39)&gt;AC44+6+$B$18,1,0))</f>
        <v>0</v>
      </c>
      <c r="AD67" s="387" t="n">
        <f aca="false">IF(26&lt;5,0,IF(MAX(Y39:AD39)&gt;AD44+6+$B$18,1,0))</f>
        <v>0</v>
      </c>
      <c r="AE67" s="387" t="n">
        <f aca="false">IF(27&lt;5,0,IF(MAX(Z39:AE39)&gt;AE44+6+$B$18,1,0))</f>
        <v>0</v>
      </c>
      <c r="AF67" s="387" t="n">
        <f aca="false">IF(28&lt;5,0,IF(MAX(AA39:AF39)&gt;AF44+6+$B$18,1,0))</f>
        <v>0</v>
      </c>
      <c r="AG67" s="387" t="n">
        <f aca="false">IF(29&lt;5,0,IF(MAX(AB39:AG39)&gt;AG44+6+$B$18,1,0))</f>
        <v>0</v>
      </c>
      <c r="AH67" s="387" t="n">
        <f aca="false">IF(30&lt;5,0,IF(MAX(AC39:AH39)&gt;AH44+6+$B$18,1,0))</f>
        <v>0</v>
      </c>
      <c r="AI67" s="387" t="n">
        <f aca="false">IF(31&lt;5,0,IF(MAX(AD39:AI39)&gt;AI44+6+$B$18,1,0))</f>
        <v>0</v>
      </c>
      <c r="AJ67" s="387" t="n">
        <f aca="false">IF(32&lt;5,0,IF(MAX(AE39:AJ39)&gt;AJ44+6+$B$18,1,0))</f>
        <v>0</v>
      </c>
      <c r="AK67" s="387" t="n">
        <f aca="false">IF(33&lt;5,0,IF(MAX(AF39:AK39)&gt;AK44+6+$B$18,1,0))</f>
        <v>0</v>
      </c>
      <c r="AL67" s="387" t="n">
        <f aca="false">IF(34&lt;5,0,IF(MAX(AG39:AL39)&gt;AL44+6+$B$18,1,0))</f>
        <v>0</v>
      </c>
      <c r="AM67" s="387" t="n">
        <f aca="false">IF(35&lt;5,0,IF(MAX(AH39:AM39)&gt;AM44+6+$B$18,1,0))</f>
        <v>0</v>
      </c>
      <c r="AN67" s="387" t="n">
        <f aca="false">IF(36&lt;5,0,IF(MAX(AI39:AN39)&gt;AN44+6+$B$18,1,0))</f>
        <v>0</v>
      </c>
      <c r="AO67" s="387" t="n">
        <f aca="false">IF(37&lt;5,0,IF(MAX(AJ39:AO39)&gt;AO44+6+$B$18,1,0))</f>
        <v>0</v>
      </c>
      <c r="AP67" s="387" t="n">
        <f aca="false">IF(38&lt;5,0,IF(MAX(AK39:AP39)&gt;AP44+6+$B$18,1,0))</f>
        <v>0</v>
      </c>
      <c r="AQ67" s="387" t="n">
        <f aca="false">IF(39&lt;5,0,IF(MAX(AL39:AQ39)&gt;AQ44+6+$B$18,1,0))</f>
        <v>0</v>
      </c>
      <c r="AR67" s="387" t="n">
        <f aca="false">IF(40&lt;5,0,IF(MAX(AM39:AR39)&gt;AR44+6+$B$18,1,0))</f>
        <v>0</v>
      </c>
      <c r="AS67" s="387" t="n">
        <f aca="false">IF(41&lt;5,0,IF(MAX(AN39:AS39)&gt;AS44+6+$B$18,1,0))</f>
        <v>0</v>
      </c>
      <c r="AT67" s="387" t="n">
        <f aca="false">IF(42&lt;5,0,IF(MAX(AO39:AT39)&gt;AT44+6+$B$18,1,0))</f>
        <v>0</v>
      </c>
      <c r="AU67" s="387" t="n">
        <f aca="false">IF(43&lt;5,0,IF(MAX(AP39:AU39)&gt;AU44+6+$B$18,1,0))</f>
        <v>0</v>
      </c>
      <c r="AV67" s="387" t="n">
        <f aca="false">IF(44&lt;5,0,IF(MAX(AQ39:AV39)&gt;AV44+6+$B$18,1,0))</f>
        <v>0</v>
      </c>
      <c r="AW67" s="387" t="n">
        <f aca="false">IF(45&lt;5,0,IF(MAX(AR39:AW39)&gt;AW44+6+$B$18,1,0))</f>
        <v>0</v>
      </c>
      <c r="AX67" s="387" t="n">
        <f aca="false">IF(46&lt;5,0,IF(MAX(AS39:AX39)&gt;AX44+6+$B$18,1,0))</f>
        <v>0</v>
      </c>
      <c r="AY67" s="387" t="n">
        <f aca="false">IF(47&lt;5,0,IF(MAX(AT39:AY39)&gt;AY44+6+$B$18,1,0))</f>
        <v>0</v>
      </c>
      <c r="AZ67" s="387" t="n">
        <f aca="false">IF(48&lt;5,0,IF(MAX(AU39:AZ39)&gt;AZ44+6+$B$18,1,0))</f>
        <v>0</v>
      </c>
      <c r="BA67" s="387" t="n">
        <f aca="false">IF(49&lt;5,0,IF(MAX(AV39:BA39)&gt;BA44+6+$B$18,1,0))</f>
        <v>0</v>
      </c>
      <c r="BB67" s="387" t="n">
        <f aca="false">IF(50&lt;5,0,IF(MAX(AW39:BB39)&gt;BB44+6+$B$18,1,0))</f>
        <v>0</v>
      </c>
      <c r="BC67" s="387" t="n">
        <f aca="false">IF(51&lt;5,0,IF(MAX(AX39:BC39)&gt;BC44+6+$B$18,1,0))</f>
        <v>0</v>
      </c>
      <c r="BD67" s="387" t="n">
        <f aca="false">IF(52&lt;5,0,IF(MAX(AY39:BD39)&gt;BD44+6+$B$18,1,0))</f>
        <v>0</v>
      </c>
      <c r="BE67" s="387" t="n">
        <f aca="false">IF(53&lt;5,0,IF(MAX(AZ39:BE39)&gt;BE44+6+$B$18,1,0))</f>
        <v>0</v>
      </c>
      <c r="BF67" s="387" t="n">
        <f aca="false">IF(54&lt;5,0,IF(MAX(BA39:BF39)&gt;BF44+6+$B$18,1,0))</f>
        <v>0</v>
      </c>
      <c r="BG67" s="387" t="n">
        <f aca="false">IF(55&lt;5,0,IF(MAX(BB39:BG39)&gt;BG44+6+$B$18,1,0))</f>
        <v>0</v>
      </c>
      <c r="BH67" s="387" t="n">
        <f aca="false">IF(56&lt;5,0,IF(MAX(BC39:BH39)&gt;BH44+6+$B$18,1,0))</f>
        <v>0</v>
      </c>
      <c r="BI67" s="387" t="n">
        <f aca="false">IF(57&lt;5,0,IF(MAX(BD39:BI39)&gt;BI44+6+$B$18,1,0))</f>
        <v>0</v>
      </c>
      <c r="BJ67" s="387" t="n">
        <f aca="false">IF(58&lt;5,0,IF(MAX(BE39:BJ39)&gt;BJ44+6+$B$18,1,0))</f>
        <v>0</v>
      </c>
      <c r="BK67" s="387" t="n">
        <f aca="false">IF(59&lt;5,0,IF(MAX(BF39:BK39)&gt;BK44+6+$B$18,1,0))</f>
        <v>0</v>
      </c>
      <c r="BL67" s="387" t="n">
        <f aca="false">IF(60&lt;5,0,IF(MAX(BG39:BL39)&gt;BL44+6+$B$18,1,0))</f>
        <v>0</v>
      </c>
      <c r="BM67" s="387" t="n">
        <f aca="false">IF(61&lt;5,0,IF(MAX(BH39:BM39)&gt;BM44+6+$B$18,1,0))</f>
        <v>0</v>
      </c>
      <c r="BN67" s="387" t="n">
        <f aca="false">IF(62&lt;5,0,IF(MAX(BI39:BN39)&gt;BN44+6+$B$18,1,0))</f>
        <v>0</v>
      </c>
      <c r="BO67" s="387" t="n">
        <f aca="false">IF(63&lt;5,0,IF(MAX(BJ39:BO39)&gt;BO44+6+$B$18,1,0))</f>
        <v>0</v>
      </c>
      <c r="BP67" s="387" t="n">
        <f aca="false">IF(64&lt;5,0,IF(MAX(BK39:BP39)&gt;BP44+6+$B$18,1,0))</f>
        <v>0</v>
      </c>
      <c r="BQ67" s="387" t="n">
        <f aca="false">IF(65&lt;5,0,IF(MAX(BL39:BQ39)&gt;BQ44+6+$B$18,1,0))</f>
        <v>0</v>
      </c>
      <c r="BR67" s="387" t="n">
        <f aca="false">IF(66&lt;5,0,IF(MAX(BM39:BR39)&gt;BR44+6+$B$18,1,0))</f>
        <v>0</v>
      </c>
      <c r="BS67" s="387" t="n">
        <f aca="false">IF(67&lt;5,0,IF(MAX(BN39:BS39)&gt;BS44+6+$B$18,1,0))</f>
        <v>0</v>
      </c>
      <c r="BT67" s="387" t="n">
        <f aca="false">IF(68&lt;5,0,IF(MAX(BO39:BT39)&gt;BT44+6+$B$18,1,0))</f>
        <v>0</v>
      </c>
      <c r="BU67" s="387" t="n">
        <f aca="false">IF(69&lt;5,0,IF(MAX(BP39:BU39)&gt;BU44+6+$B$18,1,0))</f>
        <v>0</v>
      </c>
      <c r="BV67" s="387" t="n">
        <f aca="false">IF(70&lt;5,0,IF(MAX(BQ39:BV39)&gt;BV44+6+$B$18,1,0))</f>
        <v>0</v>
      </c>
      <c r="BW67" s="387" t="n">
        <f aca="false">IF(71&lt;5,0,IF(MAX(BR39:BW39)&gt;BW44+6+$B$18,1,0))</f>
        <v>0</v>
      </c>
      <c r="BX67" s="387" t="n">
        <f aca="false">IF(72&lt;5,0,IF(MAX(BS39:BX39)&gt;BX44+6+$B$18,1,0))</f>
        <v>0</v>
      </c>
      <c r="BY67" s="387" t="n">
        <f aca="false">IF(73&lt;5,0,IF(MAX(BT39:BY39)&gt;BY44+6+$B$18,1,0))</f>
        <v>0</v>
      </c>
      <c r="BZ67" s="387" t="n">
        <f aca="false">IF(74&lt;5,0,IF(MAX(BU39:BZ39)&gt;BZ44+6+$B$18,1,0))</f>
        <v>0</v>
      </c>
      <c r="CA67" s="387" t="n">
        <f aca="false">IF(75&lt;5,0,IF(MAX(BV39:CA39)&gt;CA44+6+$B$18,1,0))</f>
        <v>0</v>
      </c>
      <c r="CB67" s="387" t="n">
        <f aca="false">IF(76&lt;5,0,IF(MAX(BW39:CB39)&gt;CB44+6+$B$18,1,0))</f>
        <v>0</v>
      </c>
      <c r="CC67" s="387" t="n">
        <f aca="false">IF(77&lt;5,0,IF(MAX(BX39:CC39)&gt;CC44+6+$B$18,1,0))</f>
        <v>0</v>
      </c>
      <c r="CD67" s="387" t="n">
        <f aca="false">IF(78&lt;5,0,IF(MAX(BY39:CD39)&gt;CD44+6+$B$18,1,0))</f>
        <v>0</v>
      </c>
      <c r="CE67" s="387" t="n">
        <f aca="false">IF(79&lt;5,0,IF(MAX(BZ39:CE39)&gt;CE44+6+$B$18,1,0))</f>
        <v>0</v>
      </c>
      <c r="CF67" s="387" t="n">
        <f aca="false">IF(80&lt;5,0,IF(MAX(CA39:CF39)&gt;CF44+6+$B$18,1,0))</f>
        <v>0</v>
      </c>
      <c r="CG67" s="387" t="n">
        <f aca="false">IF(81&lt;5,0,IF(MAX(CB39:CG39)&gt;CG44+6+$B$18,1,0))</f>
        <v>0</v>
      </c>
      <c r="CH67" s="387" t="n">
        <f aca="false">IF(82&lt;5,0,IF(MAX(CC39:CH39)&gt;CH44+6+$B$18,1,0))</f>
        <v>0</v>
      </c>
      <c r="CI67" s="387" t="n">
        <f aca="false">IF(83&lt;5,0,IF(MAX(CD39:CI39)&gt;CI44+6+$B$18,1,0))</f>
        <v>0</v>
      </c>
      <c r="CJ67" s="387" t="n">
        <f aca="false">IF(84&lt;5,0,IF(MAX(CE39:CJ39)&gt;CJ44+6+$B$18,1,0))</f>
        <v>0</v>
      </c>
      <c r="CK67" s="387" t="n">
        <f aca="false">IF(85&lt;5,0,IF(MAX(CF39:CK39)&gt;CK44+6+$B$18,1,0))</f>
        <v>0</v>
      </c>
      <c r="CL67" s="387" t="n">
        <f aca="false">IF(86&lt;5,0,IF(MAX(CG39:CL39)&gt;CL44+6+$B$18,1,0))</f>
        <v>0</v>
      </c>
      <c r="CM67" s="387" t="n">
        <f aca="false">IF(87&lt;5,0,IF(MAX(CH39:CM39)&gt;CM44+6+$B$18,1,0))</f>
        <v>0</v>
      </c>
      <c r="CN67" s="387" t="n">
        <f aca="false">IF(88&lt;5,0,IF(MAX(CI39:CN39)&gt;CN44+6+$B$18,1,0))</f>
        <v>0</v>
      </c>
      <c r="CO67" s="387" t="n">
        <f aca="false">IF(89&lt;5,0,IF(MAX(CJ39:CO39)&gt;CO44+6+$B$18,1,0))</f>
        <v>0</v>
      </c>
      <c r="CP67" s="387" t="n">
        <f aca="false">IF(90&lt;5,0,IF(MAX(CK39:CP39)&gt;CP44+6+$B$18,1,0))</f>
        <v>0</v>
      </c>
      <c r="CQ67" s="387" t="n">
        <f aca="false">IF(91&lt;5,0,IF(MAX(CL39:CQ39)&gt;CQ44+6+$B$18,1,0))</f>
        <v>0</v>
      </c>
      <c r="CR67" s="387" t="n">
        <f aca="false">IF(92&lt;5,0,IF(MAX(CM39:CR39)&gt;CR44+6+$B$18,1,0))</f>
        <v>0</v>
      </c>
      <c r="CS67" s="387" t="n">
        <f aca="false">IF(93&lt;5,0,IF(MAX(CN39:CS39)&gt;CS44+6+$B$18,1,0))</f>
        <v>0</v>
      </c>
      <c r="CT67" s="387" t="n">
        <f aca="false">IF(94&lt;5,0,IF(MAX(CO39:CT39)&gt;CT44+6+$B$18,1,0))</f>
        <v>0</v>
      </c>
      <c r="CU67" s="387" t="n">
        <f aca="false">IF(95&lt;5,0,IF(MAX(CP39:CU39)&gt;CU44+6+$B$18,1,0))</f>
        <v>0</v>
      </c>
      <c r="CV67" s="387" t="n">
        <f aca="false">IF(96&lt;5,0,IF(MAX(CQ39:CV39)&gt;CV44+6+$B$18,1,0))</f>
        <v>0</v>
      </c>
      <c r="CW67" s="387" t="n">
        <f aca="false">IF(97&lt;5,0,IF(MAX(CR39:CW39)&gt;CW44+6+$B$18,1,0))</f>
        <v>0</v>
      </c>
      <c r="CX67" s="387" t="n">
        <f aca="false">IF(98&lt;5,0,IF(MAX(CS39:CX39)&gt;CX44+6+$B$18,1,0))</f>
        <v>0</v>
      </c>
      <c r="CY67" s="387" t="n">
        <f aca="false">IF(99&lt;5,0,IF(MAX(CT39:CY39)&gt;CY44+6+$B$18,1,0))</f>
        <v>0</v>
      </c>
      <c r="CZ67" s="387" t="n">
        <f aca="false">IF(100&lt;5,0,IF(MAX(CU39:CZ39)&gt;CZ44+6+$B$18,1,0))</f>
        <v>0</v>
      </c>
      <c r="DA67" s="387" t="n">
        <f aca="false">IF(101&lt;5,0,IF(MAX(CV39:DA39)&gt;DA44+6+$B$18,1,0))</f>
        <v>0</v>
      </c>
      <c r="DB67" s="387" t="n">
        <f aca="false">IF(102&lt;5,0,IF(MAX(CW39:DB39)&gt;DB44+6+$B$18,1,0))</f>
        <v>0</v>
      </c>
      <c r="DC67" s="387" t="n">
        <f aca="false">IF(103&lt;5,0,IF(MAX(CX39:DC39)&gt;DC44+6+$B$18,1,0))</f>
        <v>0</v>
      </c>
      <c r="DD67" s="387" t="n">
        <f aca="false">IF(104&lt;5,0,IF(MAX(CY39:DD39)&gt;DD44+6+$B$18,1,0))</f>
        <v>0</v>
      </c>
      <c r="DE67" s="387" t="n">
        <f aca="false">IF(105&lt;5,0,IF(MAX(CZ39:DE39)&gt;DE44+6+$B$18,1,0))</f>
        <v>0</v>
      </c>
    </row>
    <row r="68" customFormat="false" ht="13.5" hidden="false" customHeight="true" outlineLevel="0" collapsed="false">
      <c r="A68" s="110" t="s">
        <v>1404</v>
      </c>
      <c r="B68" s="213" t="n">
        <f aca="false">$B$28</f>
        <v>130000</v>
      </c>
      <c r="E68" s="387" t="n">
        <f aca="false">IF(1&lt;5,0,IF(MAX(E39:E39)&gt;E44+7+$B$18,1,0))</f>
        <v>0</v>
      </c>
      <c r="F68" s="387" t="n">
        <f aca="false">IF(2&lt;5,0,IF(MAX(E39:F39)&gt;F44+7+$B$18,1,0))</f>
        <v>0</v>
      </c>
      <c r="G68" s="387" t="n">
        <f aca="false">IF(3&lt;5,0,IF(MAX(E39:G39)&gt;G44+7+$B$18,1,0))</f>
        <v>0</v>
      </c>
      <c r="H68" s="387" t="n">
        <f aca="false">IF(4&lt;5,0,IF(MAX(E39:H39)&gt;H44+7+$B$18,1,0))</f>
        <v>0</v>
      </c>
      <c r="I68" s="387" t="n">
        <f aca="false">IF(5&lt;5,0,IF(MAX(E39:I39)&gt;I44+7+$B$18,1,0))</f>
        <v>0</v>
      </c>
      <c r="J68" s="387" t="n">
        <f aca="false">IF(6&lt;5,0,IF(MAX(E39:J39)&gt;J44+7+$B$18,1,0))</f>
        <v>0</v>
      </c>
      <c r="K68" s="387" t="n">
        <f aca="false">IF(7&lt;5,0,IF(MAX(F39:K39)&gt;K44+7+$B$18,1,0))</f>
        <v>0</v>
      </c>
      <c r="L68" s="387" t="n">
        <f aca="false">IF(8&lt;5,0,IF(MAX(G39:L39)&gt;L44+7+$B$18,1,0))</f>
        <v>0</v>
      </c>
      <c r="M68" s="387" t="n">
        <f aca="false">IF(9&lt;5,0,IF(MAX(H39:M39)&gt;M44+7+$B$18,1,0))</f>
        <v>0</v>
      </c>
      <c r="N68" s="387" t="n">
        <f aca="false">IF(10&lt;5,0,IF(MAX(I39:N39)&gt;N44+7+$B$18,1,0))</f>
        <v>0</v>
      </c>
      <c r="O68" s="387" t="n">
        <f aca="false">IF(11&lt;5,0,IF(MAX(J39:O39)&gt;O44+7+$B$18,1,0))</f>
        <v>0</v>
      </c>
      <c r="P68" s="387" t="n">
        <f aca="false">IF(12&lt;5,0,IF(MAX(K39:P39)&gt;P44+7+$B$18,1,0))</f>
        <v>0</v>
      </c>
      <c r="Q68" s="387" t="n">
        <f aca="false">IF(13&lt;5,0,IF(MAX(L39:Q39)&gt;Q44+7+$B$18,1,0))</f>
        <v>0</v>
      </c>
      <c r="R68" s="387" t="n">
        <f aca="false">IF(14&lt;5,0,IF(MAX(M39:R39)&gt;R44+7+$B$18,1,0))</f>
        <v>0</v>
      </c>
      <c r="S68" s="387" t="n">
        <f aca="false">IF(15&lt;5,0,IF(MAX(N39:S39)&gt;S44+7+$B$18,1,0))</f>
        <v>0</v>
      </c>
      <c r="T68" s="387" t="n">
        <f aca="false">IF(16&lt;5,0,IF(MAX(O39:T39)&gt;T44+7+$B$18,1,0))</f>
        <v>0</v>
      </c>
      <c r="U68" s="387" t="n">
        <f aca="false">IF(17&lt;5,0,IF(MAX(P39:U39)&gt;U44+7+$B$18,1,0))</f>
        <v>0</v>
      </c>
      <c r="V68" s="387" t="n">
        <f aca="false">IF(18&lt;5,0,IF(MAX(Q39:V39)&gt;V44+7+$B$18,1,0))</f>
        <v>0</v>
      </c>
      <c r="W68" s="387" t="n">
        <f aca="false">IF(19&lt;5,0,IF(MAX(R39:W39)&gt;W44+7+$B$18,1,0))</f>
        <v>0</v>
      </c>
      <c r="X68" s="387" t="n">
        <f aca="false">IF(20&lt;5,0,IF(MAX(S39:X39)&gt;X44+7+$B$18,1,0))</f>
        <v>0</v>
      </c>
      <c r="Y68" s="387" t="n">
        <f aca="false">IF(21&lt;5,0,IF(MAX(T39:Y39)&gt;Y44+7+$B$18,1,0))</f>
        <v>0</v>
      </c>
      <c r="Z68" s="387" t="n">
        <f aca="false">IF(22&lt;5,0,IF(MAX(U39:Z39)&gt;Z44+7+$B$18,1,0))</f>
        <v>0</v>
      </c>
      <c r="AA68" s="387" t="n">
        <f aca="false">IF(23&lt;5,0,IF(MAX(V39:AA39)&gt;AA44+7+$B$18,1,0))</f>
        <v>0</v>
      </c>
      <c r="AB68" s="387" t="n">
        <f aca="false">IF(24&lt;5,0,IF(MAX(W39:AB39)&gt;AB44+7+$B$18,1,0))</f>
        <v>0</v>
      </c>
      <c r="AC68" s="387" t="n">
        <f aca="false">IF(25&lt;5,0,IF(MAX(X39:AC39)&gt;AC44+7+$B$18,1,0))</f>
        <v>0</v>
      </c>
      <c r="AD68" s="387" t="n">
        <f aca="false">IF(26&lt;5,0,IF(MAX(Y39:AD39)&gt;AD44+7+$B$18,1,0))</f>
        <v>0</v>
      </c>
      <c r="AE68" s="387" t="n">
        <f aca="false">IF(27&lt;5,0,IF(MAX(Z39:AE39)&gt;AE44+7+$B$18,1,0))</f>
        <v>0</v>
      </c>
      <c r="AF68" s="387" t="n">
        <f aca="false">IF(28&lt;5,0,IF(MAX(AA39:AF39)&gt;AF44+7+$B$18,1,0))</f>
        <v>0</v>
      </c>
      <c r="AG68" s="387" t="n">
        <f aca="false">IF(29&lt;5,0,IF(MAX(AB39:AG39)&gt;AG44+7+$B$18,1,0))</f>
        <v>0</v>
      </c>
      <c r="AH68" s="387" t="n">
        <f aca="false">IF(30&lt;5,0,IF(MAX(AC39:AH39)&gt;AH44+7+$B$18,1,0))</f>
        <v>0</v>
      </c>
      <c r="AI68" s="387" t="n">
        <f aca="false">IF(31&lt;5,0,IF(MAX(AD39:AI39)&gt;AI44+7+$B$18,1,0))</f>
        <v>0</v>
      </c>
      <c r="AJ68" s="387" t="n">
        <f aca="false">IF(32&lt;5,0,IF(MAX(AE39:AJ39)&gt;AJ44+7+$B$18,1,0))</f>
        <v>0</v>
      </c>
      <c r="AK68" s="387" t="n">
        <f aca="false">IF(33&lt;5,0,IF(MAX(AF39:AK39)&gt;AK44+7+$B$18,1,0))</f>
        <v>0</v>
      </c>
      <c r="AL68" s="387" t="n">
        <f aca="false">IF(34&lt;5,0,IF(MAX(AG39:AL39)&gt;AL44+7+$B$18,1,0))</f>
        <v>0</v>
      </c>
      <c r="AM68" s="387" t="n">
        <f aca="false">IF(35&lt;5,0,IF(MAX(AH39:AM39)&gt;AM44+7+$B$18,1,0))</f>
        <v>0</v>
      </c>
      <c r="AN68" s="387" t="n">
        <f aca="false">IF(36&lt;5,0,IF(MAX(AI39:AN39)&gt;AN44+7+$B$18,1,0))</f>
        <v>0</v>
      </c>
      <c r="AO68" s="387" t="n">
        <f aca="false">IF(37&lt;5,0,IF(MAX(AJ39:AO39)&gt;AO44+7+$B$18,1,0))</f>
        <v>0</v>
      </c>
      <c r="AP68" s="387" t="n">
        <f aca="false">IF(38&lt;5,0,IF(MAX(AK39:AP39)&gt;AP44+7+$B$18,1,0))</f>
        <v>0</v>
      </c>
      <c r="AQ68" s="387" t="n">
        <f aca="false">IF(39&lt;5,0,IF(MAX(AL39:AQ39)&gt;AQ44+7+$B$18,1,0))</f>
        <v>0</v>
      </c>
      <c r="AR68" s="387" t="n">
        <f aca="false">IF(40&lt;5,0,IF(MAX(AM39:AR39)&gt;AR44+7+$B$18,1,0))</f>
        <v>0</v>
      </c>
      <c r="AS68" s="387" t="n">
        <f aca="false">IF(41&lt;5,0,IF(MAX(AN39:AS39)&gt;AS44+7+$B$18,1,0))</f>
        <v>0</v>
      </c>
      <c r="AT68" s="387" t="n">
        <f aca="false">IF(42&lt;5,0,IF(MAX(AO39:AT39)&gt;AT44+7+$B$18,1,0))</f>
        <v>0</v>
      </c>
      <c r="AU68" s="387" t="n">
        <f aca="false">IF(43&lt;5,0,IF(MAX(AP39:AU39)&gt;AU44+7+$B$18,1,0))</f>
        <v>0</v>
      </c>
      <c r="AV68" s="387" t="n">
        <f aca="false">IF(44&lt;5,0,IF(MAX(AQ39:AV39)&gt;AV44+7+$B$18,1,0))</f>
        <v>0</v>
      </c>
      <c r="AW68" s="387" t="n">
        <f aca="false">IF(45&lt;5,0,IF(MAX(AR39:AW39)&gt;AW44+7+$B$18,1,0))</f>
        <v>0</v>
      </c>
      <c r="AX68" s="387" t="n">
        <f aca="false">IF(46&lt;5,0,IF(MAX(AS39:AX39)&gt;AX44+7+$B$18,1,0))</f>
        <v>0</v>
      </c>
      <c r="AY68" s="387" t="n">
        <f aca="false">IF(47&lt;5,0,IF(MAX(AT39:AY39)&gt;AY44+7+$B$18,1,0))</f>
        <v>0</v>
      </c>
      <c r="AZ68" s="387" t="n">
        <f aca="false">IF(48&lt;5,0,IF(MAX(AU39:AZ39)&gt;AZ44+7+$B$18,1,0))</f>
        <v>0</v>
      </c>
      <c r="BA68" s="387" t="n">
        <f aca="false">IF(49&lt;5,0,IF(MAX(AV39:BA39)&gt;BA44+7+$B$18,1,0))</f>
        <v>0</v>
      </c>
      <c r="BB68" s="387" t="n">
        <f aca="false">IF(50&lt;5,0,IF(MAX(AW39:BB39)&gt;BB44+7+$B$18,1,0))</f>
        <v>0</v>
      </c>
      <c r="BC68" s="387" t="n">
        <f aca="false">IF(51&lt;5,0,IF(MAX(AX39:BC39)&gt;BC44+7+$B$18,1,0))</f>
        <v>0</v>
      </c>
      <c r="BD68" s="387" t="n">
        <f aca="false">IF(52&lt;5,0,IF(MAX(AY39:BD39)&gt;BD44+7+$B$18,1,0))</f>
        <v>0</v>
      </c>
      <c r="BE68" s="387" t="n">
        <f aca="false">IF(53&lt;5,0,IF(MAX(AZ39:BE39)&gt;BE44+7+$B$18,1,0))</f>
        <v>0</v>
      </c>
      <c r="BF68" s="387" t="n">
        <f aca="false">IF(54&lt;5,0,IF(MAX(BA39:BF39)&gt;BF44+7+$B$18,1,0))</f>
        <v>0</v>
      </c>
      <c r="BG68" s="387" t="n">
        <f aca="false">IF(55&lt;5,0,IF(MAX(BB39:BG39)&gt;BG44+7+$B$18,1,0))</f>
        <v>0</v>
      </c>
      <c r="BH68" s="387" t="n">
        <f aca="false">IF(56&lt;5,0,IF(MAX(BC39:BH39)&gt;BH44+7+$B$18,1,0))</f>
        <v>0</v>
      </c>
      <c r="BI68" s="387" t="n">
        <f aca="false">IF(57&lt;5,0,IF(MAX(BD39:BI39)&gt;BI44+7+$B$18,1,0))</f>
        <v>0</v>
      </c>
      <c r="BJ68" s="387" t="n">
        <f aca="false">IF(58&lt;5,0,IF(MAX(BE39:BJ39)&gt;BJ44+7+$B$18,1,0))</f>
        <v>0</v>
      </c>
      <c r="BK68" s="387" t="n">
        <f aca="false">IF(59&lt;5,0,IF(MAX(BF39:BK39)&gt;BK44+7+$B$18,1,0))</f>
        <v>0</v>
      </c>
      <c r="BL68" s="387" t="n">
        <f aca="false">IF(60&lt;5,0,IF(MAX(BG39:BL39)&gt;BL44+7+$B$18,1,0))</f>
        <v>0</v>
      </c>
      <c r="BM68" s="387" t="n">
        <f aca="false">IF(61&lt;5,0,IF(MAX(BH39:BM39)&gt;BM44+7+$B$18,1,0))</f>
        <v>0</v>
      </c>
      <c r="BN68" s="387" t="n">
        <f aca="false">IF(62&lt;5,0,IF(MAX(BI39:BN39)&gt;BN44+7+$B$18,1,0))</f>
        <v>0</v>
      </c>
      <c r="BO68" s="387" t="n">
        <f aca="false">IF(63&lt;5,0,IF(MAX(BJ39:BO39)&gt;BO44+7+$B$18,1,0))</f>
        <v>0</v>
      </c>
      <c r="BP68" s="387" t="n">
        <f aca="false">IF(64&lt;5,0,IF(MAX(BK39:BP39)&gt;BP44+7+$B$18,1,0))</f>
        <v>0</v>
      </c>
      <c r="BQ68" s="387" t="n">
        <f aca="false">IF(65&lt;5,0,IF(MAX(BL39:BQ39)&gt;BQ44+7+$B$18,1,0))</f>
        <v>0</v>
      </c>
      <c r="BR68" s="387" t="n">
        <f aca="false">IF(66&lt;5,0,IF(MAX(BM39:BR39)&gt;BR44+7+$B$18,1,0))</f>
        <v>0</v>
      </c>
      <c r="BS68" s="387" t="n">
        <f aca="false">IF(67&lt;5,0,IF(MAX(BN39:BS39)&gt;BS44+7+$B$18,1,0))</f>
        <v>0</v>
      </c>
      <c r="BT68" s="387" t="n">
        <f aca="false">IF(68&lt;5,0,IF(MAX(BO39:BT39)&gt;BT44+7+$B$18,1,0))</f>
        <v>0</v>
      </c>
      <c r="BU68" s="387" t="n">
        <f aca="false">IF(69&lt;5,0,IF(MAX(BP39:BU39)&gt;BU44+7+$B$18,1,0))</f>
        <v>0</v>
      </c>
      <c r="BV68" s="387" t="n">
        <f aca="false">IF(70&lt;5,0,IF(MAX(BQ39:BV39)&gt;BV44+7+$B$18,1,0))</f>
        <v>0</v>
      </c>
      <c r="BW68" s="387" t="n">
        <f aca="false">IF(71&lt;5,0,IF(MAX(BR39:BW39)&gt;BW44+7+$B$18,1,0))</f>
        <v>0</v>
      </c>
      <c r="BX68" s="387" t="n">
        <f aca="false">IF(72&lt;5,0,IF(MAX(BS39:BX39)&gt;BX44+7+$B$18,1,0))</f>
        <v>0</v>
      </c>
      <c r="BY68" s="387" t="n">
        <f aca="false">IF(73&lt;5,0,IF(MAX(BT39:BY39)&gt;BY44+7+$B$18,1,0))</f>
        <v>0</v>
      </c>
      <c r="BZ68" s="387" t="n">
        <f aca="false">IF(74&lt;5,0,IF(MAX(BU39:BZ39)&gt;BZ44+7+$B$18,1,0))</f>
        <v>0</v>
      </c>
      <c r="CA68" s="387" t="n">
        <f aca="false">IF(75&lt;5,0,IF(MAX(BV39:CA39)&gt;CA44+7+$B$18,1,0))</f>
        <v>0</v>
      </c>
      <c r="CB68" s="387" t="n">
        <f aca="false">IF(76&lt;5,0,IF(MAX(BW39:CB39)&gt;CB44+7+$B$18,1,0))</f>
        <v>0</v>
      </c>
      <c r="CC68" s="387" t="n">
        <f aca="false">IF(77&lt;5,0,IF(MAX(BX39:CC39)&gt;CC44+7+$B$18,1,0))</f>
        <v>0</v>
      </c>
      <c r="CD68" s="387" t="n">
        <f aca="false">IF(78&lt;5,0,IF(MAX(BY39:CD39)&gt;CD44+7+$B$18,1,0))</f>
        <v>0</v>
      </c>
      <c r="CE68" s="387" t="n">
        <f aca="false">IF(79&lt;5,0,IF(MAX(BZ39:CE39)&gt;CE44+7+$B$18,1,0))</f>
        <v>0</v>
      </c>
      <c r="CF68" s="387" t="n">
        <f aca="false">IF(80&lt;5,0,IF(MAX(CA39:CF39)&gt;CF44+7+$B$18,1,0))</f>
        <v>0</v>
      </c>
      <c r="CG68" s="387" t="n">
        <f aca="false">IF(81&lt;5,0,IF(MAX(CB39:CG39)&gt;CG44+7+$B$18,1,0))</f>
        <v>0</v>
      </c>
      <c r="CH68" s="387" t="n">
        <f aca="false">IF(82&lt;5,0,IF(MAX(CC39:CH39)&gt;CH44+7+$B$18,1,0))</f>
        <v>0</v>
      </c>
      <c r="CI68" s="387" t="n">
        <f aca="false">IF(83&lt;5,0,IF(MAX(CD39:CI39)&gt;CI44+7+$B$18,1,0))</f>
        <v>0</v>
      </c>
      <c r="CJ68" s="387" t="n">
        <f aca="false">IF(84&lt;5,0,IF(MAX(CE39:CJ39)&gt;CJ44+7+$B$18,1,0))</f>
        <v>0</v>
      </c>
      <c r="CK68" s="387" t="n">
        <f aca="false">IF(85&lt;5,0,IF(MAX(CF39:CK39)&gt;CK44+7+$B$18,1,0))</f>
        <v>0</v>
      </c>
      <c r="CL68" s="387" t="n">
        <f aca="false">IF(86&lt;5,0,IF(MAX(CG39:CL39)&gt;CL44+7+$B$18,1,0))</f>
        <v>0</v>
      </c>
      <c r="CM68" s="387" t="n">
        <f aca="false">IF(87&lt;5,0,IF(MAX(CH39:CM39)&gt;CM44+7+$B$18,1,0))</f>
        <v>0</v>
      </c>
      <c r="CN68" s="387" t="n">
        <f aca="false">IF(88&lt;5,0,IF(MAX(CI39:CN39)&gt;CN44+7+$B$18,1,0))</f>
        <v>0</v>
      </c>
      <c r="CO68" s="387" t="n">
        <f aca="false">IF(89&lt;5,0,IF(MAX(CJ39:CO39)&gt;CO44+7+$B$18,1,0))</f>
        <v>0</v>
      </c>
      <c r="CP68" s="387" t="n">
        <f aca="false">IF(90&lt;5,0,IF(MAX(CK39:CP39)&gt;CP44+7+$B$18,1,0))</f>
        <v>0</v>
      </c>
      <c r="CQ68" s="387" t="n">
        <f aca="false">IF(91&lt;5,0,IF(MAX(CL39:CQ39)&gt;CQ44+7+$B$18,1,0))</f>
        <v>0</v>
      </c>
      <c r="CR68" s="387" t="n">
        <f aca="false">IF(92&lt;5,0,IF(MAX(CM39:CR39)&gt;CR44+7+$B$18,1,0))</f>
        <v>0</v>
      </c>
      <c r="CS68" s="387" t="n">
        <f aca="false">IF(93&lt;5,0,IF(MAX(CN39:CS39)&gt;CS44+7+$B$18,1,0))</f>
        <v>0</v>
      </c>
      <c r="CT68" s="387" t="n">
        <f aca="false">IF(94&lt;5,0,IF(MAX(CO39:CT39)&gt;CT44+7+$B$18,1,0))</f>
        <v>0</v>
      </c>
      <c r="CU68" s="387" t="n">
        <f aca="false">IF(95&lt;5,0,IF(MAX(CP39:CU39)&gt;CU44+7+$B$18,1,0))</f>
        <v>0</v>
      </c>
      <c r="CV68" s="387" t="n">
        <f aca="false">IF(96&lt;5,0,IF(MAX(CQ39:CV39)&gt;CV44+7+$B$18,1,0))</f>
        <v>0</v>
      </c>
      <c r="CW68" s="387" t="n">
        <f aca="false">IF(97&lt;5,0,IF(MAX(CR39:CW39)&gt;CW44+7+$B$18,1,0))</f>
        <v>0</v>
      </c>
      <c r="CX68" s="387" t="n">
        <f aca="false">IF(98&lt;5,0,IF(MAX(CS39:CX39)&gt;CX44+7+$B$18,1,0))</f>
        <v>0</v>
      </c>
      <c r="CY68" s="387" t="n">
        <f aca="false">IF(99&lt;5,0,IF(MAX(CT39:CY39)&gt;CY44+7+$B$18,1,0))</f>
        <v>0</v>
      </c>
      <c r="CZ68" s="387" t="n">
        <f aca="false">IF(100&lt;5,0,IF(MAX(CU39:CZ39)&gt;CZ44+7+$B$18,1,0))</f>
        <v>0</v>
      </c>
      <c r="DA68" s="387" t="n">
        <f aca="false">IF(101&lt;5,0,IF(MAX(CV39:DA39)&gt;DA44+7+$B$18,1,0))</f>
        <v>0</v>
      </c>
      <c r="DB68" s="387" t="n">
        <f aca="false">IF(102&lt;5,0,IF(MAX(CW39:DB39)&gt;DB44+7+$B$18,1,0))</f>
        <v>0</v>
      </c>
      <c r="DC68" s="387" t="n">
        <f aca="false">IF(103&lt;5,0,IF(MAX(CX39:DC39)&gt;DC44+7+$B$18,1,0))</f>
        <v>0</v>
      </c>
      <c r="DD68" s="387" t="n">
        <f aca="false">IF(104&lt;5,0,IF(MAX(CY39:DD39)&gt;DD44+7+$B$18,1,0))</f>
        <v>0</v>
      </c>
      <c r="DE68" s="387"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1405</v>
      </c>
      <c r="B71" s="213" t="n">
        <f aca="false">$B$29</f>
        <v>180000</v>
      </c>
      <c r="E71" s="387" t="n">
        <f aca="false">IF(1&lt;5,0,IF(MAX(E40:E40)&gt;E45+0+$B$18,1,0))</f>
        <v>0</v>
      </c>
      <c r="F71" s="387" t="n">
        <f aca="false">IF(2&lt;5,0,IF(MAX(E40:F40)&gt;F45+0+$B$18,1,0))</f>
        <v>0</v>
      </c>
      <c r="G71" s="387" t="n">
        <f aca="false">IF(3&lt;5,0,IF(MAX(E40:G40)&gt;G45+0+$B$18,1,0))</f>
        <v>0</v>
      </c>
      <c r="H71" s="387" t="n">
        <f aca="false">IF(4&lt;5,0,IF(MAX(E40:H40)&gt;H45+0+$B$18,1,0))</f>
        <v>0</v>
      </c>
      <c r="I71" s="387" t="n">
        <f aca="false">IF(5&lt;5,0,IF(MAX(E40:I40)&gt;I45+0+$B$18,1,0))</f>
        <v>0</v>
      </c>
      <c r="J71" s="387" t="n">
        <f aca="false">IF(6&lt;5,0,IF(MAX(E40:J40)&gt;J45+0+$B$18,1,0))</f>
        <v>0</v>
      </c>
      <c r="K71" s="387" t="n">
        <f aca="false">IF(7&lt;5,0,IF(MAX(F40:K40)&gt;K45+0+$B$18,1,0))</f>
        <v>0</v>
      </c>
      <c r="L71" s="387" t="n">
        <f aca="false">IF(8&lt;5,0,IF(MAX(G40:L40)&gt;L45+0+$B$18,1,0))</f>
        <v>0</v>
      </c>
      <c r="M71" s="387" t="n">
        <f aca="false">IF(9&lt;5,0,IF(MAX(H40:M40)&gt;M45+0+$B$18,1,0))</f>
        <v>0</v>
      </c>
      <c r="N71" s="387" t="n">
        <f aca="false">IF(10&lt;5,0,IF(MAX(I40:N40)&gt;N45+0+$B$18,1,0))</f>
        <v>0</v>
      </c>
      <c r="O71" s="387" t="n">
        <f aca="false">IF(11&lt;5,0,IF(MAX(J40:O40)&gt;O45+0+$B$18,1,0))</f>
        <v>1</v>
      </c>
      <c r="P71" s="387" t="n">
        <f aca="false">IF(12&lt;5,0,IF(MAX(K40:P40)&gt;P45+0+$B$18,1,0))</f>
        <v>1</v>
      </c>
      <c r="Q71" s="387" t="n">
        <f aca="false">IF(13&lt;5,0,IF(MAX(L40:Q40)&gt;Q45+0+$B$18,1,0))</f>
        <v>1</v>
      </c>
      <c r="R71" s="387" t="n">
        <f aca="false">IF(14&lt;5,0,IF(MAX(M40:R40)&gt;R45+0+$B$18,1,0))</f>
        <v>1</v>
      </c>
      <c r="S71" s="387" t="n">
        <f aca="false">IF(15&lt;5,0,IF(MAX(N40:S40)&gt;S45+0+$B$18,1,0))</f>
        <v>1</v>
      </c>
      <c r="T71" s="387" t="n">
        <f aca="false">IF(16&lt;5,0,IF(MAX(O40:T40)&gt;T45+0+$B$18,1,0))</f>
        <v>1</v>
      </c>
      <c r="U71" s="387" t="n">
        <f aca="false">IF(17&lt;5,0,IF(MAX(P40:U40)&gt;U45+0+$B$18,1,0))</f>
        <v>1</v>
      </c>
      <c r="V71" s="387" t="n">
        <f aca="false">IF(18&lt;5,0,IF(MAX(Q40:V40)&gt;V45+0+$B$18,1,0))</f>
        <v>1</v>
      </c>
      <c r="W71" s="387" t="n">
        <f aca="false">IF(19&lt;5,0,IF(MAX(R40:W40)&gt;W45+0+$B$18,1,0))</f>
        <v>1</v>
      </c>
      <c r="X71" s="387" t="n">
        <f aca="false">IF(20&lt;5,0,IF(MAX(S40:X40)&gt;X45+0+$B$18,1,0))</f>
        <v>1</v>
      </c>
      <c r="Y71" s="387" t="n">
        <f aca="false">IF(21&lt;5,0,IF(MAX(T40:Y40)&gt;Y45+0+$B$18,1,0))</f>
        <v>1</v>
      </c>
      <c r="Z71" s="387" t="n">
        <f aca="false">IF(22&lt;5,0,IF(MAX(U40:Z40)&gt;Z45+0+$B$18,1,0))</f>
        <v>1</v>
      </c>
      <c r="AA71" s="387" t="n">
        <f aca="false">IF(23&lt;5,0,IF(MAX(V40:AA40)&gt;AA45+0+$B$18,1,0))</f>
        <v>1</v>
      </c>
      <c r="AB71" s="387" t="n">
        <f aca="false">IF(24&lt;5,0,IF(MAX(W40:AB40)&gt;AB45+0+$B$18,1,0))</f>
        <v>1</v>
      </c>
      <c r="AC71" s="387" t="n">
        <f aca="false">IF(25&lt;5,0,IF(MAX(X40:AC40)&gt;AC45+0+$B$18,1,0))</f>
        <v>1</v>
      </c>
      <c r="AD71" s="387" t="n">
        <f aca="false">IF(26&lt;5,0,IF(MAX(Y40:AD40)&gt;AD45+0+$B$18,1,0))</f>
        <v>1</v>
      </c>
      <c r="AE71" s="387" t="n">
        <f aca="false">IF(27&lt;5,0,IF(MAX(Z40:AE40)&gt;AE45+0+$B$18,1,0))</f>
        <v>1</v>
      </c>
      <c r="AF71" s="387" t="n">
        <f aca="false">IF(28&lt;5,0,IF(MAX(AA40:AF40)&gt;AF45+0+$B$18,1,0))</f>
        <v>1</v>
      </c>
      <c r="AG71" s="387" t="n">
        <f aca="false">IF(29&lt;5,0,IF(MAX(AB40:AG40)&gt;AG45+0+$B$18,1,0))</f>
        <v>1</v>
      </c>
      <c r="AH71" s="387" t="n">
        <f aca="false">IF(30&lt;5,0,IF(MAX(AC40:AH40)&gt;AH45+0+$B$18,1,0))</f>
        <v>1</v>
      </c>
      <c r="AI71" s="387" t="n">
        <f aca="false">IF(31&lt;5,0,IF(MAX(AD40:AI40)&gt;AI45+0+$B$18,1,0))</f>
        <v>1</v>
      </c>
      <c r="AJ71" s="387" t="n">
        <f aca="false">IF(32&lt;5,0,IF(MAX(AE40:AJ40)&gt;AJ45+0+$B$18,1,0))</f>
        <v>1</v>
      </c>
      <c r="AK71" s="387" t="n">
        <f aca="false">IF(33&lt;5,0,IF(MAX(AF40:AK40)&gt;AK45+0+$B$18,1,0))</f>
        <v>1</v>
      </c>
      <c r="AL71" s="387" t="n">
        <f aca="false">IF(34&lt;5,0,IF(MAX(AG40:AL40)&gt;AL45+0+$B$18,1,0))</f>
        <v>1</v>
      </c>
      <c r="AM71" s="387" t="n">
        <f aca="false">IF(35&lt;5,0,IF(MAX(AH40:AM40)&gt;AM45+0+$B$18,1,0))</f>
        <v>0</v>
      </c>
      <c r="AN71" s="387" t="n">
        <f aca="false">IF(36&lt;5,0,IF(MAX(AI40:AN40)&gt;AN45+0+$B$18,1,0))</f>
        <v>0</v>
      </c>
      <c r="AO71" s="387" t="n">
        <f aca="false">IF(37&lt;5,0,IF(MAX(AJ40:AO40)&gt;AO45+0+$B$18,1,0))</f>
        <v>0</v>
      </c>
      <c r="AP71" s="387" t="n">
        <f aca="false">IF(38&lt;5,0,IF(MAX(AK40:AP40)&gt;AP45+0+$B$18,1,0))</f>
        <v>0</v>
      </c>
      <c r="AQ71" s="387" t="n">
        <f aca="false">IF(39&lt;5,0,IF(MAX(AL40:AQ40)&gt;AQ45+0+$B$18,1,0))</f>
        <v>0</v>
      </c>
      <c r="AR71" s="387" t="n">
        <f aca="false">IF(40&lt;5,0,IF(MAX(AM40:AR40)&gt;AR45+0+$B$18,1,0))</f>
        <v>0</v>
      </c>
      <c r="AS71" s="387" t="n">
        <f aca="false">IF(41&lt;5,0,IF(MAX(AN40:AS40)&gt;AS45+0+$B$18,1,0))</f>
        <v>0</v>
      </c>
      <c r="AT71" s="387" t="n">
        <f aca="false">IF(42&lt;5,0,IF(MAX(AO40:AT40)&gt;AT45+0+$B$18,1,0))</f>
        <v>0</v>
      </c>
      <c r="AU71" s="387" t="n">
        <f aca="false">IF(43&lt;5,0,IF(MAX(AP40:AU40)&gt;AU45+0+$B$18,1,0))</f>
        <v>0</v>
      </c>
      <c r="AV71" s="387" t="n">
        <f aca="false">IF(44&lt;5,0,IF(MAX(AQ40:AV40)&gt;AV45+0+$B$18,1,0))</f>
        <v>0</v>
      </c>
      <c r="AW71" s="387" t="n">
        <f aca="false">IF(45&lt;5,0,IF(MAX(AR40:AW40)&gt;AW45+0+$B$18,1,0))</f>
        <v>0</v>
      </c>
      <c r="AX71" s="387" t="n">
        <f aca="false">IF(46&lt;5,0,IF(MAX(AS40:AX40)&gt;AX45+0+$B$18,1,0))</f>
        <v>0</v>
      </c>
      <c r="AY71" s="387" t="n">
        <f aca="false">IF(47&lt;5,0,IF(MAX(AT40:AY40)&gt;AY45+0+$B$18,1,0))</f>
        <v>0</v>
      </c>
      <c r="AZ71" s="387" t="n">
        <f aca="false">IF(48&lt;5,0,IF(MAX(AU40:AZ40)&gt;AZ45+0+$B$18,1,0))</f>
        <v>0</v>
      </c>
      <c r="BA71" s="387" t="n">
        <f aca="false">IF(49&lt;5,0,IF(MAX(AV40:BA40)&gt;BA45+0+$B$18,1,0))</f>
        <v>0</v>
      </c>
      <c r="BB71" s="387" t="n">
        <f aca="false">IF(50&lt;5,0,IF(MAX(AW40:BB40)&gt;BB45+0+$B$18,1,0))</f>
        <v>0</v>
      </c>
      <c r="BC71" s="387" t="n">
        <f aca="false">IF(51&lt;5,0,IF(MAX(AX40:BC40)&gt;BC45+0+$B$18,1,0))</f>
        <v>0</v>
      </c>
      <c r="BD71" s="387" t="n">
        <f aca="false">IF(52&lt;5,0,IF(MAX(AY40:BD40)&gt;BD45+0+$B$18,1,0))</f>
        <v>0</v>
      </c>
      <c r="BE71" s="387" t="n">
        <f aca="false">IF(53&lt;5,0,IF(MAX(AZ40:BE40)&gt;BE45+0+$B$18,1,0))</f>
        <v>0</v>
      </c>
      <c r="BF71" s="387" t="n">
        <f aca="false">IF(54&lt;5,0,IF(MAX(BA40:BF40)&gt;BF45+0+$B$18,1,0))</f>
        <v>0</v>
      </c>
      <c r="BG71" s="387" t="n">
        <f aca="false">IF(55&lt;5,0,IF(MAX(BB40:BG40)&gt;BG45+0+$B$18,1,0))</f>
        <v>0</v>
      </c>
      <c r="BH71" s="387" t="n">
        <f aca="false">IF(56&lt;5,0,IF(MAX(BC40:BH40)&gt;BH45+0+$B$18,1,0))</f>
        <v>0</v>
      </c>
      <c r="BI71" s="387" t="n">
        <f aca="false">IF(57&lt;5,0,IF(MAX(BD40:BI40)&gt;BI45+0+$B$18,1,0))</f>
        <v>0</v>
      </c>
      <c r="BJ71" s="387" t="n">
        <f aca="false">IF(58&lt;5,0,IF(MAX(BE40:BJ40)&gt;BJ45+0+$B$18,1,0))</f>
        <v>0</v>
      </c>
      <c r="BK71" s="387" t="n">
        <f aca="false">IF(59&lt;5,0,IF(MAX(BF40:BK40)&gt;BK45+0+$B$18,1,0))</f>
        <v>0</v>
      </c>
      <c r="BL71" s="387" t="n">
        <f aca="false">IF(60&lt;5,0,IF(MAX(BG40:BL40)&gt;BL45+0+$B$18,1,0))</f>
        <v>0</v>
      </c>
      <c r="BM71" s="387" t="n">
        <f aca="false">IF(61&lt;5,0,IF(MAX(BH40:BM40)&gt;BM45+0+$B$18,1,0))</f>
        <v>0</v>
      </c>
      <c r="BN71" s="387" t="n">
        <f aca="false">IF(62&lt;5,0,IF(MAX(BI40:BN40)&gt;BN45+0+$B$18,1,0))</f>
        <v>0</v>
      </c>
      <c r="BO71" s="387" t="n">
        <f aca="false">IF(63&lt;5,0,IF(MAX(BJ40:BO40)&gt;BO45+0+$B$18,1,0))</f>
        <v>0</v>
      </c>
      <c r="BP71" s="387" t="n">
        <f aca="false">IF(64&lt;5,0,IF(MAX(BK40:BP40)&gt;BP45+0+$B$18,1,0))</f>
        <v>0</v>
      </c>
      <c r="BQ71" s="387" t="n">
        <f aca="false">IF(65&lt;5,0,IF(MAX(BL40:BQ40)&gt;BQ45+0+$B$18,1,0))</f>
        <v>0</v>
      </c>
      <c r="BR71" s="387" t="n">
        <f aca="false">IF(66&lt;5,0,IF(MAX(BM40:BR40)&gt;BR45+0+$B$18,1,0))</f>
        <v>0</v>
      </c>
      <c r="BS71" s="387" t="n">
        <f aca="false">IF(67&lt;5,0,IF(MAX(BN40:BS40)&gt;BS45+0+$B$18,1,0))</f>
        <v>0</v>
      </c>
      <c r="BT71" s="387" t="n">
        <f aca="false">IF(68&lt;5,0,IF(MAX(BO40:BT40)&gt;BT45+0+$B$18,1,0))</f>
        <v>0</v>
      </c>
      <c r="BU71" s="387" t="n">
        <f aca="false">IF(69&lt;5,0,IF(MAX(BP40:BU40)&gt;BU45+0+$B$18,1,0))</f>
        <v>0</v>
      </c>
      <c r="BV71" s="387" t="n">
        <f aca="false">IF(70&lt;5,0,IF(MAX(BQ40:BV40)&gt;BV45+0+$B$18,1,0))</f>
        <v>0</v>
      </c>
      <c r="BW71" s="387" t="n">
        <f aca="false">IF(71&lt;5,0,IF(MAX(BR40:BW40)&gt;BW45+0+$B$18,1,0))</f>
        <v>0</v>
      </c>
      <c r="BX71" s="387" t="n">
        <f aca="false">IF(72&lt;5,0,IF(MAX(BS40:BX40)&gt;BX45+0+$B$18,1,0))</f>
        <v>0</v>
      </c>
      <c r="BY71" s="387" t="n">
        <f aca="false">IF(73&lt;5,0,IF(MAX(BT40:BY40)&gt;BY45+0+$B$18,1,0))</f>
        <v>0</v>
      </c>
      <c r="BZ71" s="387" t="n">
        <f aca="false">IF(74&lt;5,0,IF(MAX(BU40:BZ40)&gt;BZ45+0+$B$18,1,0))</f>
        <v>0</v>
      </c>
      <c r="CA71" s="387" t="n">
        <f aca="false">IF(75&lt;5,0,IF(MAX(BV40:CA40)&gt;CA45+0+$B$18,1,0))</f>
        <v>0</v>
      </c>
      <c r="CB71" s="387" t="n">
        <f aca="false">IF(76&lt;5,0,IF(MAX(BW40:CB40)&gt;CB45+0+$B$18,1,0))</f>
        <v>0</v>
      </c>
      <c r="CC71" s="387" t="n">
        <f aca="false">IF(77&lt;5,0,IF(MAX(BX40:CC40)&gt;CC45+0+$B$18,1,0))</f>
        <v>0</v>
      </c>
      <c r="CD71" s="387" t="n">
        <f aca="false">IF(78&lt;5,0,IF(MAX(BY40:CD40)&gt;CD45+0+$B$18,1,0))</f>
        <v>0</v>
      </c>
      <c r="CE71" s="387" t="n">
        <f aca="false">IF(79&lt;5,0,IF(MAX(BZ40:CE40)&gt;CE45+0+$B$18,1,0))</f>
        <v>0</v>
      </c>
      <c r="CF71" s="387" t="n">
        <f aca="false">IF(80&lt;5,0,IF(MAX(CA40:CF40)&gt;CF45+0+$B$18,1,0))</f>
        <v>0</v>
      </c>
      <c r="CG71" s="387" t="n">
        <f aca="false">IF(81&lt;5,0,IF(MAX(CB40:CG40)&gt;CG45+0+$B$18,1,0))</f>
        <v>0</v>
      </c>
      <c r="CH71" s="387" t="n">
        <f aca="false">IF(82&lt;5,0,IF(MAX(CC40:CH40)&gt;CH45+0+$B$18,1,0))</f>
        <v>0</v>
      </c>
      <c r="CI71" s="387" t="n">
        <f aca="false">IF(83&lt;5,0,IF(MAX(CD40:CI40)&gt;CI45+0+$B$18,1,0))</f>
        <v>0</v>
      </c>
      <c r="CJ71" s="387" t="n">
        <f aca="false">IF(84&lt;5,0,IF(MAX(CE40:CJ40)&gt;CJ45+0+$B$18,1,0))</f>
        <v>0</v>
      </c>
      <c r="CK71" s="387" t="n">
        <f aca="false">IF(85&lt;5,0,IF(MAX(CF40:CK40)&gt;CK45+0+$B$18,1,0))</f>
        <v>0</v>
      </c>
      <c r="CL71" s="387" t="n">
        <f aca="false">IF(86&lt;5,0,IF(MAX(CG40:CL40)&gt;CL45+0+$B$18,1,0))</f>
        <v>0</v>
      </c>
      <c r="CM71" s="387" t="n">
        <f aca="false">IF(87&lt;5,0,IF(MAX(CH40:CM40)&gt;CM45+0+$B$18,1,0))</f>
        <v>0</v>
      </c>
      <c r="CN71" s="387" t="n">
        <f aca="false">IF(88&lt;5,0,IF(MAX(CI40:CN40)&gt;CN45+0+$B$18,1,0))</f>
        <v>0</v>
      </c>
      <c r="CO71" s="387" t="n">
        <f aca="false">IF(89&lt;5,0,IF(MAX(CJ40:CO40)&gt;CO45+0+$B$18,1,0))</f>
        <v>0</v>
      </c>
      <c r="CP71" s="387" t="n">
        <f aca="false">IF(90&lt;5,0,IF(MAX(CK40:CP40)&gt;CP45+0+$B$18,1,0))</f>
        <v>0</v>
      </c>
      <c r="CQ71" s="387" t="n">
        <f aca="false">IF(91&lt;5,0,IF(MAX(CL40:CQ40)&gt;CQ45+0+$B$18,1,0))</f>
        <v>0</v>
      </c>
      <c r="CR71" s="387" t="n">
        <f aca="false">IF(92&lt;5,0,IF(MAX(CM40:CR40)&gt;CR45+0+$B$18,1,0))</f>
        <v>0</v>
      </c>
      <c r="CS71" s="387" t="n">
        <f aca="false">IF(93&lt;5,0,IF(MAX(CN40:CS40)&gt;CS45+0+$B$18,1,0))</f>
        <v>0</v>
      </c>
      <c r="CT71" s="387" t="n">
        <f aca="false">IF(94&lt;5,0,IF(MAX(CO40:CT40)&gt;CT45+0+$B$18,1,0))</f>
        <v>0</v>
      </c>
      <c r="CU71" s="387" t="n">
        <f aca="false">IF(95&lt;5,0,IF(MAX(CP40:CU40)&gt;CU45+0+$B$18,1,0))</f>
        <v>0</v>
      </c>
      <c r="CV71" s="387" t="n">
        <f aca="false">IF(96&lt;5,0,IF(MAX(CQ40:CV40)&gt;CV45+0+$B$18,1,0))</f>
        <v>0</v>
      </c>
      <c r="CW71" s="387" t="n">
        <f aca="false">IF(97&lt;5,0,IF(MAX(CR40:CW40)&gt;CW45+0+$B$18,1,0))</f>
        <v>0</v>
      </c>
      <c r="CX71" s="387" t="n">
        <f aca="false">IF(98&lt;5,0,IF(MAX(CS40:CX40)&gt;CX45+0+$B$18,1,0))</f>
        <v>0</v>
      </c>
      <c r="CY71" s="387" t="n">
        <f aca="false">IF(99&lt;5,0,IF(MAX(CT40:CY40)&gt;CY45+0+$B$18,1,0))</f>
        <v>0</v>
      </c>
      <c r="CZ71" s="387" t="n">
        <f aca="false">IF(100&lt;5,0,IF(MAX(CU40:CZ40)&gt;CZ45+0+$B$18,1,0))</f>
        <v>0</v>
      </c>
      <c r="DA71" s="387" t="n">
        <f aca="false">IF(101&lt;5,0,IF(MAX(CV40:DA40)&gt;DA45+0+$B$18,1,0))</f>
        <v>0</v>
      </c>
      <c r="DB71" s="387" t="n">
        <f aca="false">IF(102&lt;5,0,IF(MAX(CW40:DB40)&gt;DB45+0+$B$18,1,0))</f>
        <v>0</v>
      </c>
      <c r="DC71" s="387" t="n">
        <f aca="false">IF(103&lt;5,0,IF(MAX(CX40:DC40)&gt;DC45+0+$B$18,1,0))</f>
        <v>0</v>
      </c>
      <c r="DD71" s="387" t="n">
        <f aca="false">IF(104&lt;5,0,IF(MAX(CY40:DD40)&gt;DD45+0+$B$18,1,0))</f>
        <v>0</v>
      </c>
      <c r="DE71" s="387" t="n">
        <f aca="false">IF(105&lt;5,0,IF(MAX(CZ40:DE40)&gt;DE45+0+$B$18,1,0))</f>
        <v>0</v>
      </c>
    </row>
    <row r="72" customFormat="false" ht="13.5" hidden="false" customHeight="true" outlineLevel="0" collapsed="false">
      <c r="A72" s="110" t="s">
        <v>1406</v>
      </c>
      <c r="B72" s="213" t="n">
        <f aca="false">$B$29</f>
        <v>180000</v>
      </c>
      <c r="E72" s="387" t="n">
        <f aca="false">IF(1&lt;5,0,IF(MAX(E40:E40)&gt;E45+1+$B$18,1,0))</f>
        <v>0</v>
      </c>
      <c r="F72" s="387" t="n">
        <f aca="false">IF(2&lt;5,0,IF(MAX(E40:F40)&gt;F45+1+$B$18,1,0))</f>
        <v>0</v>
      </c>
      <c r="G72" s="387" t="n">
        <f aca="false">IF(3&lt;5,0,IF(MAX(E40:G40)&gt;G45+1+$B$18,1,0))</f>
        <v>0</v>
      </c>
      <c r="H72" s="387" t="n">
        <f aca="false">IF(4&lt;5,0,IF(MAX(E40:H40)&gt;H45+1+$B$18,1,0))</f>
        <v>0</v>
      </c>
      <c r="I72" s="387" t="n">
        <f aca="false">IF(5&lt;5,0,IF(MAX(E40:I40)&gt;I45+1+$B$18,1,0))</f>
        <v>0</v>
      </c>
      <c r="J72" s="387" t="n">
        <f aca="false">IF(6&lt;5,0,IF(MAX(E40:J40)&gt;J45+1+$B$18,1,0))</f>
        <v>0</v>
      </c>
      <c r="K72" s="387" t="n">
        <f aca="false">IF(7&lt;5,0,IF(MAX(F40:K40)&gt;K45+1+$B$18,1,0))</f>
        <v>0</v>
      </c>
      <c r="L72" s="387" t="n">
        <f aca="false">IF(8&lt;5,0,IF(MAX(G40:L40)&gt;L45+1+$B$18,1,0))</f>
        <v>0</v>
      </c>
      <c r="M72" s="387" t="n">
        <f aca="false">IF(9&lt;5,0,IF(MAX(H40:M40)&gt;M45+1+$B$18,1,0))</f>
        <v>0</v>
      </c>
      <c r="N72" s="387" t="n">
        <f aca="false">IF(10&lt;5,0,IF(MAX(I40:N40)&gt;N45+1+$B$18,1,0))</f>
        <v>0</v>
      </c>
      <c r="O72" s="387" t="n">
        <f aca="false">IF(11&lt;5,0,IF(MAX(J40:O40)&gt;O45+1+$B$18,1,0))</f>
        <v>0</v>
      </c>
      <c r="P72" s="387" t="n">
        <f aca="false">IF(12&lt;5,0,IF(MAX(K40:P40)&gt;P45+1+$B$18,1,0))</f>
        <v>0</v>
      </c>
      <c r="Q72" s="387" t="n">
        <f aca="false">IF(13&lt;5,0,IF(MAX(L40:Q40)&gt;Q45+1+$B$18,1,0))</f>
        <v>0</v>
      </c>
      <c r="R72" s="387" t="n">
        <f aca="false">IF(14&lt;5,0,IF(MAX(M40:R40)&gt;R45+1+$B$18,1,0))</f>
        <v>0</v>
      </c>
      <c r="S72" s="387" t="n">
        <f aca="false">IF(15&lt;5,0,IF(MAX(N40:S40)&gt;S45+1+$B$18,1,0))</f>
        <v>0</v>
      </c>
      <c r="T72" s="387" t="n">
        <f aca="false">IF(16&lt;5,0,IF(MAX(O40:T40)&gt;T45+1+$B$18,1,0))</f>
        <v>0</v>
      </c>
      <c r="U72" s="387" t="n">
        <f aca="false">IF(17&lt;5,0,IF(MAX(P40:U40)&gt;U45+1+$B$18,1,0))</f>
        <v>0</v>
      </c>
      <c r="V72" s="387" t="n">
        <f aca="false">IF(18&lt;5,0,IF(MAX(Q40:V40)&gt;V45+1+$B$18,1,0))</f>
        <v>0</v>
      </c>
      <c r="W72" s="387" t="n">
        <f aca="false">IF(19&lt;5,0,IF(MAX(R40:W40)&gt;W45+1+$B$18,1,0))</f>
        <v>0</v>
      </c>
      <c r="X72" s="387" t="n">
        <f aca="false">IF(20&lt;5,0,IF(MAX(S40:X40)&gt;X45+1+$B$18,1,0))</f>
        <v>0</v>
      </c>
      <c r="Y72" s="387" t="n">
        <f aca="false">IF(21&lt;5,0,IF(MAX(T40:Y40)&gt;Y45+1+$B$18,1,0))</f>
        <v>0</v>
      </c>
      <c r="Z72" s="387" t="n">
        <f aca="false">IF(22&lt;5,0,IF(MAX(U40:Z40)&gt;Z45+1+$B$18,1,0))</f>
        <v>0</v>
      </c>
      <c r="AA72" s="387" t="n">
        <f aca="false">IF(23&lt;5,0,IF(MAX(V40:AA40)&gt;AA45+1+$B$18,1,0))</f>
        <v>0</v>
      </c>
      <c r="AB72" s="387" t="n">
        <f aca="false">IF(24&lt;5,0,IF(MAX(W40:AB40)&gt;AB45+1+$B$18,1,0))</f>
        <v>0</v>
      </c>
      <c r="AC72" s="387" t="n">
        <f aca="false">IF(25&lt;5,0,IF(MAX(X40:AC40)&gt;AC45+1+$B$18,1,0))</f>
        <v>0</v>
      </c>
      <c r="AD72" s="387" t="n">
        <f aca="false">IF(26&lt;5,0,IF(MAX(Y40:AD40)&gt;AD45+1+$B$18,1,0))</f>
        <v>0</v>
      </c>
      <c r="AE72" s="387" t="n">
        <f aca="false">IF(27&lt;5,0,IF(MAX(Z40:AE40)&gt;AE45+1+$B$18,1,0))</f>
        <v>0</v>
      </c>
      <c r="AF72" s="387" t="n">
        <f aca="false">IF(28&lt;5,0,IF(MAX(AA40:AF40)&gt;AF45+1+$B$18,1,0))</f>
        <v>0</v>
      </c>
      <c r="AG72" s="387" t="n">
        <f aca="false">IF(29&lt;5,0,IF(MAX(AB40:AG40)&gt;AG45+1+$B$18,1,0))</f>
        <v>0</v>
      </c>
      <c r="AH72" s="387" t="n">
        <f aca="false">IF(30&lt;5,0,IF(MAX(AC40:AH40)&gt;AH45+1+$B$18,1,0))</f>
        <v>0</v>
      </c>
      <c r="AI72" s="387" t="n">
        <f aca="false">IF(31&lt;5,0,IF(MAX(AD40:AI40)&gt;AI45+1+$B$18,1,0))</f>
        <v>0</v>
      </c>
      <c r="AJ72" s="387" t="n">
        <f aca="false">IF(32&lt;5,0,IF(MAX(AE40:AJ40)&gt;AJ45+1+$B$18,1,0))</f>
        <v>0</v>
      </c>
      <c r="AK72" s="387" t="n">
        <f aca="false">IF(33&lt;5,0,IF(MAX(AF40:AK40)&gt;AK45+1+$B$18,1,0))</f>
        <v>0</v>
      </c>
      <c r="AL72" s="387" t="n">
        <f aca="false">IF(34&lt;5,0,IF(MAX(AG40:AL40)&gt;AL45+1+$B$18,1,0))</f>
        <v>0</v>
      </c>
      <c r="AM72" s="387" t="n">
        <f aca="false">IF(35&lt;5,0,IF(MAX(AH40:AM40)&gt;AM45+1+$B$18,1,0))</f>
        <v>0</v>
      </c>
      <c r="AN72" s="387" t="n">
        <f aca="false">IF(36&lt;5,0,IF(MAX(AI40:AN40)&gt;AN45+1+$B$18,1,0))</f>
        <v>0</v>
      </c>
      <c r="AO72" s="387" t="n">
        <f aca="false">IF(37&lt;5,0,IF(MAX(AJ40:AO40)&gt;AO45+1+$B$18,1,0))</f>
        <v>0</v>
      </c>
      <c r="AP72" s="387" t="n">
        <f aca="false">IF(38&lt;5,0,IF(MAX(AK40:AP40)&gt;AP45+1+$B$18,1,0))</f>
        <v>0</v>
      </c>
      <c r="AQ72" s="387" t="n">
        <f aca="false">IF(39&lt;5,0,IF(MAX(AL40:AQ40)&gt;AQ45+1+$B$18,1,0))</f>
        <v>0</v>
      </c>
      <c r="AR72" s="387" t="n">
        <f aca="false">IF(40&lt;5,0,IF(MAX(AM40:AR40)&gt;AR45+1+$B$18,1,0))</f>
        <v>0</v>
      </c>
      <c r="AS72" s="387" t="n">
        <f aca="false">IF(41&lt;5,0,IF(MAX(AN40:AS40)&gt;AS45+1+$B$18,1,0))</f>
        <v>0</v>
      </c>
      <c r="AT72" s="387" t="n">
        <f aca="false">IF(42&lt;5,0,IF(MAX(AO40:AT40)&gt;AT45+1+$B$18,1,0))</f>
        <v>0</v>
      </c>
      <c r="AU72" s="387" t="n">
        <f aca="false">IF(43&lt;5,0,IF(MAX(AP40:AU40)&gt;AU45+1+$B$18,1,0))</f>
        <v>0</v>
      </c>
      <c r="AV72" s="387" t="n">
        <f aca="false">IF(44&lt;5,0,IF(MAX(AQ40:AV40)&gt;AV45+1+$B$18,1,0))</f>
        <v>0</v>
      </c>
      <c r="AW72" s="387" t="n">
        <f aca="false">IF(45&lt;5,0,IF(MAX(AR40:AW40)&gt;AW45+1+$B$18,1,0))</f>
        <v>0</v>
      </c>
      <c r="AX72" s="387" t="n">
        <f aca="false">IF(46&lt;5,0,IF(MAX(AS40:AX40)&gt;AX45+1+$B$18,1,0))</f>
        <v>0</v>
      </c>
      <c r="AY72" s="387" t="n">
        <f aca="false">IF(47&lt;5,0,IF(MAX(AT40:AY40)&gt;AY45+1+$B$18,1,0))</f>
        <v>0</v>
      </c>
      <c r="AZ72" s="387" t="n">
        <f aca="false">IF(48&lt;5,0,IF(MAX(AU40:AZ40)&gt;AZ45+1+$B$18,1,0))</f>
        <v>0</v>
      </c>
      <c r="BA72" s="387" t="n">
        <f aca="false">IF(49&lt;5,0,IF(MAX(AV40:BA40)&gt;BA45+1+$B$18,1,0))</f>
        <v>0</v>
      </c>
      <c r="BB72" s="387" t="n">
        <f aca="false">IF(50&lt;5,0,IF(MAX(AW40:BB40)&gt;BB45+1+$B$18,1,0))</f>
        <v>0</v>
      </c>
      <c r="BC72" s="387" t="n">
        <f aca="false">IF(51&lt;5,0,IF(MAX(AX40:BC40)&gt;BC45+1+$B$18,1,0))</f>
        <v>0</v>
      </c>
      <c r="BD72" s="387" t="n">
        <f aca="false">IF(52&lt;5,0,IF(MAX(AY40:BD40)&gt;BD45+1+$B$18,1,0))</f>
        <v>0</v>
      </c>
      <c r="BE72" s="387" t="n">
        <f aca="false">IF(53&lt;5,0,IF(MAX(AZ40:BE40)&gt;BE45+1+$B$18,1,0))</f>
        <v>0</v>
      </c>
      <c r="BF72" s="387" t="n">
        <f aca="false">IF(54&lt;5,0,IF(MAX(BA40:BF40)&gt;BF45+1+$B$18,1,0))</f>
        <v>0</v>
      </c>
      <c r="BG72" s="387" t="n">
        <f aca="false">IF(55&lt;5,0,IF(MAX(BB40:BG40)&gt;BG45+1+$B$18,1,0))</f>
        <v>0</v>
      </c>
      <c r="BH72" s="387" t="n">
        <f aca="false">IF(56&lt;5,0,IF(MAX(BC40:BH40)&gt;BH45+1+$B$18,1,0))</f>
        <v>0</v>
      </c>
      <c r="BI72" s="387" t="n">
        <f aca="false">IF(57&lt;5,0,IF(MAX(BD40:BI40)&gt;BI45+1+$B$18,1,0))</f>
        <v>0</v>
      </c>
      <c r="BJ72" s="387" t="n">
        <f aca="false">IF(58&lt;5,0,IF(MAX(BE40:BJ40)&gt;BJ45+1+$B$18,1,0))</f>
        <v>0</v>
      </c>
      <c r="BK72" s="387" t="n">
        <f aca="false">IF(59&lt;5,0,IF(MAX(BF40:BK40)&gt;BK45+1+$B$18,1,0))</f>
        <v>0</v>
      </c>
      <c r="BL72" s="387" t="n">
        <f aca="false">IF(60&lt;5,0,IF(MAX(BG40:BL40)&gt;BL45+1+$B$18,1,0))</f>
        <v>0</v>
      </c>
      <c r="BM72" s="387" t="n">
        <f aca="false">IF(61&lt;5,0,IF(MAX(BH40:BM40)&gt;BM45+1+$B$18,1,0))</f>
        <v>0</v>
      </c>
      <c r="BN72" s="387" t="n">
        <f aca="false">IF(62&lt;5,0,IF(MAX(BI40:BN40)&gt;BN45+1+$B$18,1,0))</f>
        <v>0</v>
      </c>
      <c r="BO72" s="387" t="n">
        <f aca="false">IF(63&lt;5,0,IF(MAX(BJ40:BO40)&gt;BO45+1+$B$18,1,0))</f>
        <v>0</v>
      </c>
      <c r="BP72" s="387" t="n">
        <f aca="false">IF(64&lt;5,0,IF(MAX(BK40:BP40)&gt;BP45+1+$B$18,1,0))</f>
        <v>0</v>
      </c>
      <c r="BQ72" s="387" t="n">
        <f aca="false">IF(65&lt;5,0,IF(MAX(BL40:BQ40)&gt;BQ45+1+$B$18,1,0))</f>
        <v>0</v>
      </c>
      <c r="BR72" s="387" t="n">
        <f aca="false">IF(66&lt;5,0,IF(MAX(BM40:BR40)&gt;BR45+1+$B$18,1,0))</f>
        <v>0</v>
      </c>
      <c r="BS72" s="387" t="n">
        <f aca="false">IF(67&lt;5,0,IF(MAX(BN40:BS40)&gt;BS45+1+$B$18,1,0))</f>
        <v>0</v>
      </c>
      <c r="BT72" s="387" t="n">
        <f aca="false">IF(68&lt;5,0,IF(MAX(BO40:BT40)&gt;BT45+1+$B$18,1,0))</f>
        <v>0</v>
      </c>
      <c r="BU72" s="387" t="n">
        <f aca="false">IF(69&lt;5,0,IF(MAX(BP40:BU40)&gt;BU45+1+$B$18,1,0))</f>
        <v>0</v>
      </c>
      <c r="BV72" s="387" t="n">
        <f aca="false">IF(70&lt;5,0,IF(MAX(BQ40:BV40)&gt;BV45+1+$B$18,1,0))</f>
        <v>0</v>
      </c>
      <c r="BW72" s="387" t="n">
        <f aca="false">IF(71&lt;5,0,IF(MAX(BR40:BW40)&gt;BW45+1+$B$18,1,0))</f>
        <v>0</v>
      </c>
      <c r="BX72" s="387" t="n">
        <f aca="false">IF(72&lt;5,0,IF(MAX(BS40:BX40)&gt;BX45+1+$B$18,1,0))</f>
        <v>0</v>
      </c>
      <c r="BY72" s="387" t="n">
        <f aca="false">IF(73&lt;5,0,IF(MAX(BT40:BY40)&gt;BY45+1+$B$18,1,0))</f>
        <v>0</v>
      </c>
      <c r="BZ72" s="387" t="n">
        <f aca="false">IF(74&lt;5,0,IF(MAX(BU40:BZ40)&gt;BZ45+1+$B$18,1,0))</f>
        <v>0</v>
      </c>
      <c r="CA72" s="387" t="n">
        <f aca="false">IF(75&lt;5,0,IF(MAX(BV40:CA40)&gt;CA45+1+$B$18,1,0))</f>
        <v>0</v>
      </c>
      <c r="CB72" s="387" t="n">
        <f aca="false">IF(76&lt;5,0,IF(MAX(BW40:CB40)&gt;CB45+1+$B$18,1,0))</f>
        <v>0</v>
      </c>
      <c r="CC72" s="387" t="n">
        <f aca="false">IF(77&lt;5,0,IF(MAX(BX40:CC40)&gt;CC45+1+$B$18,1,0))</f>
        <v>0</v>
      </c>
      <c r="CD72" s="387" t="n">
        <f aca="false">IF(78&lt;5,0,IF(MAX(BY40:CD40)&gt;CD45+1+$B$18,1,0))</f>
        <v>0</v>
      </c>
      <c r="CE72" s="387" t="n">
        <f aca="false">IF(79&lt;5,0,IF(MAX(BZ40:CE40)&gt;CE45+1+$B$18,1,0))</f>
        <v>0</v>
      </c>
      <c r="CF72" s="387" t="n">
        <f aca="false">IF(80&lt;5,0,IF(MAX(CA40:CF40)&gt;CF45+1+$B$18,1,0))</f>
        <v>0</v>
      </c>
      <c r="CG72" s="387" t="n">
        <f aca="false">IF(81&lt;5,0,IF(MAX(CB40:CG40)&gt;CG45+1+$B$18,1,0))</f>
        <v>0</v>
      </c>
      <c r="CH72" s="387" t="n">
        <f aca="false">IF(82&lt;5,0,IF(MAX(CC40:CH40)&gt;CH45+1+$B$18,1,0))</f>
        <v>0</v>
      </c>
      <c r="CI72" s="387" t="n">
        <f aca="false">IF(83&lt;5,0,IF(MAX(CD40:CI40)&gt;CI45+1+$B$18,1,0))</f>
        <v>0</v>
      </c>
      <c r="CJ72" s="387" t="n">
        <f aca="false">IF(84&lt;5,0,IF(MAX(CE40:CJ40)&gt;CJ45+1+$B$18,1,0))</f>
        <v>0</v>
      </c>
      <c r="CK72" s="387" t="n">
        <f aca="false">IF(85&lt;5,0,IF(MAX(CF40:CK40)&gt;CK45+1+$B$18,1,0))</f>
        <v>0</v>
      </c>
      <c r="CL72" s="387" t="n">
        <f aca="false">IF(86&lt;5,0,IF(MAX(CG40:CL40)&gt;CL45+1+$B$18,1,0))</f>
        <v>0</v>
      </c>
      <c r="CM72" s="387" t="n">
        <f aca="false">IF(87&lt;5,0,IF(MAX(CH40:CM40)&gt;CM45+1+$B$18,1,0))</f>
        <v>0</v>
      </c>
      <c r="CN72" s="387" t="n">
        <f aca="false">IF(88&lt;5,0,IF(MAX(CI40:CN40)&gt;CN45+1+$B$18,1,0))</f>
        <v>0</v>
      </c>
      <c r="CO72" s="387" t="n">
        <f aca="false">IF(89&lt;5,0,IF(MAX(CJ40:CO40)&gt;CO45+1+$B$18,1,0))</f>
        <v>0</v>
      </c>
      <c r="CP72" s="387" t="n">
        <f aca="false">IF(90&lt;5,0,IF(MAX(CK40:CP40)&gt;CP45+1+$B$18,1,0))</f>
        <v>0</v>
      </c>
      <c r="CQ72" s="387" t="n">
        <f aca="false">IF(91&lt;5,0,IF(MAX(CL40:CQ40)&gt;CQ45+1+$B$18,1,0))</f>
        <v>0</v>
      </c>
      <c r="CR72" s="387" t="n">
        <f aca="false">IF(92&lt;5,0,IF(MAX(CM40:CR40)&gt;CR45+1+$B$18,1,0))</f>
        <v>0</v>
      </c>
      <c r="CS72" s="387" t="n">
        <f aca="false">IF(93&lt;5,0,IF(MAX(CN40:CS40)&gt;CS45+1+$B$18,1,0))</f>
        <v>0</v>
      </c>
      <c r="CT72" s="387" t="n">
        <f aca="false">IF(94&lt;5,0,IF(MAX(CO40:CT40)&gt;CT45+1+$B$18,1,0))</f>
        <v>0</v>
      </c>
      <c r="CU72" s="387" t="n">
        <f aca="false">IF(95&lt;5,0,IF(MAX(CP40:CU40)&gt;CU45+1+$B$18,1,0))</f>
        <v>0</v>
      </c>
      <c r="CV72" s="387" t="n">
        <f aca="false">IF(96&lt;5,0,IF(MAX(CQ40:CV40)&gt;CV45+1+$B$18,1,0))</f>
        <v>0</v>
      </c>
      <c r="CW72" s="387" t="n">
        <f aca="false">IF(97&lt;5,0,IF(MAX(CR40:CW40)&gt;CW45+1+$B$18,1,0))</f>
        <v>0</v>
      </c>
      <c r="CX72" s="387" t="n">
        <f aca="false">IF(98&lt;5,0,IF(MAX(CS40:CX40)&gt;CX45+1+$B$18,1,0))</f>
        <v>0</v>
      </c>
      <c r="CY72" s="387" t="n">
        <f aca="false">IF(99&lt;5,0,IF(MAX(CT40:CY40)&gt;CY45+1+$B$18,1,0))</f>
        <v>0</v>
      </c>
      <c r="CZ72" s="387" t="n">
        <f aca="false">IF(100&lt;5,0,IF(MAX(CU40:CZ40)&gt;CZ45+1+$B$18,1,0))</f>
        <v>0</v>
      </c>
      <c r="DA72" s="387" t="n">
        <f aca="false">IF(101&lt;5,0,IF(MAX(CV40:DA40)&gt;DA45+1+$B$18,1,0))</f>
        <v>0</v>
      </c>
      <c r="DB72" s="387" t="n">
        <f aca="false">IF(102&lt;5,0,IF(MAX(CW40:DB40)&gt;DB45+1+$B$18,1,0))</f>
        <v>0</v>
      </c>
      <c r="DC72" s="387" t="n">
        <f aca="false">IF(103&lt;5,0,IF(MAX(CX40:DC40)&gt;DC45+1+$B$18,1,0))</f>
        <v>0</v>
      </c>
      <c r="DD72" s="387" t="n">
        <f aca="false">IF(104&lt;5,0,IF(MAX(CY40:DD40)&gt;DD45+1+$B$18,1,0))</f>
        <v>0</v>
      </c>
      <c r="DE72" s="387" t="n">
        <f aca="false">IF(105&lt;5,0,IF(MAX(CZ40:DE40)&gt;DE45+1+$B$18,1,0))</f>
        <v>0</v>
      </c>
    </row>
    <row r="73" customFormat="false" ht="13.5" hidden="false" customHeight="true" outlineLevel="0" collapsed="false">
      <c r="A73" s="110" t="s">
        <v>1407</v>
      </c>
      <c r="B73" s="213" t="n">
        <f aca="false">$B$29</f>
        <v>180000</v>
      </c>
      <c r="E73" s="387" t="n">
        <f aca="false">IF(1&lt;5,0,IF(MAX(E40:E40)&gt;E45+2+$B$18,1,0))</f>
        <v>0</v>
      </c>
      <c r="F73" s="387" t="n">
        <f aca="false">IF(2&lt;5,0,IF(MAX(E40:F40)&gt;F45+2+$B$18,1,0))</f>
        <v>0</v>
      </c>
      <c r="G73" s="387" t="n">
        <f aca="false">IF(3&lt;5,0,IF(MAX(E40:G40)&gt;G45+2+$B$18,1,0))</f>
        <v>0</v>
      </c>
      <c r="H73" s="387" t="n">
        <f aca="false">IF(4&lt;5,0,IF(MAX(E40:H40)&gt;H45+2+$B$18,1,0))</f>
        <v>0</v>
      </c>
      <c r="I73" s="387" t="n">
        <f aca="false">IF(5&lt;5,0,IF(MAX(E40:I40)&gt;I45+2+$B$18,1,0))</f>
        <v>0</v>
      </c>
      <c r="J73" s="387" t="n">
        <f aca="false">IF(6&lt;5,0,IF(MAX(E40:J40)&gt;J45+2+$B$18,1,0))</f>
        <v>0</v>
      </c>
      <c r="K73" s="387" t="n">
        <f aca="false">IF(7&lt;5,0,IF(MAX(F40:K40)&gt;K45+2+$B$18,1,0))</f>
        <v>0</v>
      </c>
      <c r="L73" s="387" t="n">
        <f aca="false">IF(8&lt;5,0,IF(MAX(G40:L40)&gt;L45+2+$B$18,1,0))</f>
        <v>0</v>
      </c>
      <c r="M73" s="387" t="n">
        <f aca="false">IF(9&lt;5,0,IF(MAX(H40:M40)&gt;M45+2+$B$18,1,0))</f>
        <v>0</v>
      </c>
      <c r="N73" s="387" t="n">
        <f aca="false">IF(10&lt;5,0,IF(MAX(I40:N40)&gt;N45+2+$B$18,1,0))</f>
        <v>0</v>
      </c>
      <c r="O73" s="387" t="n">
        <f aca="false">IF(11&lt;5,0,IF(MAX(J40:O40)&gt;O45+2+$B$18,1,0))</f>
        <v>0</v>
      </c>
      <c r="P73" s="387" t="n">
        <f aca="false">IF(12&lt;5,0,IF(MAX(K40:P40)&gt;P45+2+$B$18,1,0))</f>
        <v>0</v>
      </c>
      <c r="Q73" s="387" t="n">
        <f aca="false">IF(13&lt;5,0,IF(MAX(L40:Q40)&gt;Q45+2+$B$18,1,0))</f>
        <v>0</v>
      </c>
      <c r="R73" s="387" t="n">
        <f aca="false">IF(14&lt;5,0,IF(MAX(M40:R40)&gt;R45+2+$B$18,1,0))</f>
        <v>0</v>
      </c>
      <c r="S73" s="387" t="n">
        <f aca="false">IF(15&lt;5,0,IF(MAX(N40:S40)&gt;S45+2+$B$18,1,0))</f>
        <v>0</v>
      </c>
      <c r="T73" s="387" t="n">
        <f aca="false">IF(16&lt;5,0,IF(MAX(O40:T40)&gt;T45+2+$B$18,1,0))</f>
        <v>0</v>
      </c>
      <c r="U73" s="387" t="n">
        <f aca="false">IF(17&lt;5,0,IF(MAX(P40:U40)&gt;U45+2+$B$18,1,0))</f>
        <v>0</v>
      </c>
      <c r="V73" s="387" t="n">
        <f aca="false">IF(18&lt;5,0,IF(MAX(Q40:V40)&gt;V45+2+$B$18,1,0))</f>
        <v>0</v>
      </c>
      <c r="W73" s="387" t="n">
        <f aca="false">IF(19&lt;5,0,IF(MAX(R40:W40)&gt;W45+2+$B$18,1,0))</f>
        <v>0</v>
      </c>
      <c r="X73" s="387" t="n">
        <f aca="false">IF(20&lt;5,0,IF(MAX(S40:X40)&gt;X45+2+$B$18,1,0))</f>
        <v>0</v>
      </c>
      <c r="Y73" s="387" t="n">
        <f aca="false">IF(21&lt;5,0,IF(MAX(T40:Y40)&gt;Y45+2+$B$18,1,0))</f>
        <v>0</v>
      </c>
      <c r="Z73" s="387" t="n">
        <f aca="false">IF(22&lt;5,0,IF(MAX(U40:Z40)&gt;Z45+2+$B$18,1,0))</f>
        <v>0</v>
      </c>
      <c r="AA73" s="387" t="n">
        <f aca="false">IF(23&lt;5,0,IF(MAX(V40:AA40)&gt;AA45+2+$B$18,1,0))</f>
        <v>0</v>
      </c>
      <c r="AB73" s="387" t="n">
        <f aca="false">IF(24&lt;5,0,IF(MAX(W40:AB40)&gt;AB45+2+$B$18,1,0))</f>
        <v>0</v>
      </c>
      <c r="AC73" s="387" t="n">
        <f aca="false">IF(25&lt;5,0,IF(MAX(X40:AC40)&gt;AC45+2+$B$18,1,0))</f>
        <v>0</v>
      </c>
      <c r="AD73" s="387" t="n">
        <f aca="false">IF(26&lt;5,0,IF(MAX(Y40:AD40)&gt;AD45+2+$B$18,1,0))</f>
        <v>0</v>
      </c>
      <c r="AE73" s="387" t="n">
        <f aca="false">IF(27&lt;5,0,IF(MAX(Z40:AE40)&gt;AE45+2+$B$18,1,0))</f>
        <v>0</v>
      </c>
      <c r="AF73" s="387" t="n">
        <f aca="false">IF(28&lt;5,0,IF(MAX(AA40:AF40)&gt;AF45+2+$B$18,1,0))</f>
        <v>0</v>
      </c>
      <c r="AG73" s="387" t="n">
        <f aca="false">IF(29&lt;5,0,IF(MAX(AB40:AG40)&gt;AG45+2+$B$18,1,0))</f>
        <v>0</v>
      </c>
      <c r="AH73" s="387" t="n">
        <f aca="false">IF(30&lt;5,0,IF(MAX(AC40:AH40)&gt;AH45+2+$B$18,1,0))</f>
        <v>0</v>
      </c>
      <c r="AI73" s="387" t="n">
        <f aca="false">IF(31&lt;5,0,IF(MAX(AD40:AI40)&gt;AI45+2+$B$18,1,0))</f>
        <v>0</v>
      </c>
      <c r="AJ73" s="387" t="n">
        <f aca="false">IF(32&lt;5,0,IF(MAX(AE40:AJ40)&gt;AJ45+2+$B$18,1,0))</f>
        <v>0</v>
      </c>
      <c r="AK73" s="387" t="n">
        <f aca="false">IF(33&lt;5,0,IF(MAX(AF40:AK40)&gt;AK45+2+$B$18,1,0))</f>
        <v>0</v>
      </c>
      <c r="AL73" s="387" t="n">
        <f aca="false">IF(34&lt;5,0,IF(MAX(AG40:AL40)&gt;AL45+2+$B$18,1,0))</f>
        <v>0</v>
      </c>
      <c r="AM73" s="387" t="n">
        <f aca="false">IF(35&lt;5,0,IF(MAX(AH40:AM40)&gt;AM45+2+$B$18,1,0))</f>
        <v>0</v>
      </c>
      <c r="AN73" s="387" t="n">
        <f aca="false">IF(36&lt;5,0,IF(MAX(AI40:AN40)&gt;AN45+2+$B$18,1,0))</f>
        <v>0</v>
      </c>
      <c r="AO73" s="387" t="n">
        <f aca="false">IF(37&lt;5,0,IF(MAX(AJ40:AO40)&gt;AO45+2+$B$18,1,0))</f>
        <v>0</v>
      </c>
      <c r="AP73" s="387" t="n">
        <f aca="false">IF(38&lt;5,0,IF(MAX(AK40:AP40)&gt;AP45+2+$B$18,1,0))</f>
        <v>0</v>
      </c>
      <c r="AQ73" s="387" t="n">
        <f aca="false">IF(39&lt;5,0,IF(MAX(AL40:AQ40)&gt;AQ45+2+$B$18,1,0))</f>
        <v>0</v>
      </c>
      <c r="AR73" s="387" t="n">
        <f aca="false">IF(40&lt;5,0,IF(MAX(AM40:AR40)&gt;AR45+2+$B$18,1,0))</f>
        <v>0</v>
      </c>
      <c r="AS73" s="387" t="n">
        <f aca="false">IF(41&lt;5,0,IF(MAX(AN40:AS40)&gt;AS45+2+$B$18,1,0))</f>
        <v>0</v>
      </c>
      <c r="AT73" s="387" t="n">
        <f aca="false">IF(42&lt;5,0,IF(MAX(AO40:AT40)&gt;AT45+2+$B$18,1,0))</f>
        <v>0</v>
      </c>
      <c r="AU73" s="387" t="n">
        <f aca="false">IF(43&lt;5,0,IF(MAX(AP40:AU40)&gt;AU45+2+$B$18,1,0))</f>
        <v>0</v>
      </c>
      <c r="AV73" s="387" t="n">
        <f aca="false">IF(44&lt;5,0,IF(MAX(AQ40:AV40)&gt;AV45+2+$B$18,1,0))</f>
        <v>0</v>
      </c>
      <c r="AW73" s="387" t="n">
        <f aca="false">IF(45&lt;5,0,IF(MAX(AR40:AW40)&gt;AW45+2+$B$18,1,0))</f>
        <v>0</v>
      </c>
      <c r="AX73" s="387" t="n">
        <f aca="false">IF(46&lt;5,0,IF(MAX(AS40:AX40)&gt;AX45+2+$B$18,1,0))</f>
        <v>0</v>
      </c>
      <c r="AY73" s="387" t="n">
        <f aca="false">IF(47&lt;5,0,IF(MAX(AT40:AY40)&gt;AY45+2+$B$18,1,0))</f>
        <v>0</v>
      </c>
      <c r="AZ73" s="387" t="n">
        <f aca="false">IF(48&lt;5,0,IF(MAX(AU40:AZ40)&gt;AZ45+2+$B$18,1,0))</f>
        <v>0</v>
      </c>
      <c r="BA73" s="387" t="n">
        <f aca="false">IF(49&lt;5,0,IF(MAX(AV40:BA40)&gt;BA45+2+$B$18,1,0))</f>
        <v>0</v>
      </c>
      <c r="BB73" s="387" t="n">
        <f aca="false">IF(50&lt;5,0,IF(MAX(AW40:BB40)&gt;BB45+2+$B$18,1,0))</f>
        <v>0</v>
      </c>
      <c r="BC73" s="387" t="n">
        <f aca="false">IF(51&lt;5,0,IF(MAX(AX40:BC40)&gt;BC45+2+$B$18,1,0))</f>
        <v>0</v>
      </c>
      <c r="BD73" s="387" t="n">
        <f aca="false">IF(52&lt;5,0,IF(MAX(AY40:BD40)&gt;BD45+2+$B$18,1,0))</f>
        <v>0</v>
      </c>
      <c r="BE73" s="387" t="n">
        <f aca="false">IF(53&lt;5,0,IF(MAX(AZ40:BE40)&gt;BE45+2+$B$18,1,0))</f>
        <v>0</v>
      </c>
      <c r="BF73" s="387" t="n">
        <f aca="false">IF(54&lt;5,0,IF(MAX(BA40:BF40)&gt;BF45+2+$B$18,1,0))</f>
        <v>0</v>
      </c>
      <c r="BG73" s="387" t="n">
        <f aca="false">IF(55&lt;5,0,IF(MAX(BB40:BG40)&gt;BG45+2+$B$18,1,0))</f>
        <v>0</v>
      </c>
      <c r="BH73" s="387" t="n">
        <f aca="false">IF(56&lt;5,0,IF(MAX(BC40:BH40)&gt;BH45+2+$B$18,1,0))</f>
        <v>0</v>
      </c>
      <c r="BI73" s="387" t="n">
        <f aca="false">IF(57&lt;5,0,IF(MAX(BD40:BI40)&gt;BI45+2+$B$18,1,0))</f>
        <v>0</v>
      </c>
      <c r="BJ73" s="387" t="n">
        <f aca="false">IF(58&lt;5,0,IF(MAX(BE40:BJ40)&gt;BJ45+2+$B$18,1,0))</f>
        <v>0</v>
      </c>
      <c r="BK73" s="387" t="n">
        <f aca="false">IF(59&lt;5,0,IF(MAX(BF40:BK40)&gt;BK45+2+$B$18,1,0))</f>
        <v>0</v>
      </c>
      <c r="BL73" s="387" t="n">
        <f aca="false">IF(60&lt;5,0,IF(MAX(BG40:BL40)&gt;BL45+2+$B$18,1,0))</f>
        <v>0</v>
      </c>
      <c r="BM73" s="387" t="n">
        <f aca="false">IF(61&lt;5,0,IF(MAX(BH40:BM40)&gt;BM45+2+$B$18,1,0))</f>
        <v>0</v>
      </c>
      <c r="BN73" s="387" t="n">
        <f aca="false">IF(62&lt;5,0,IF(MAX(BI40:BN40)&gt;BN45+2+$B$18,1,0))</f>
        <v>0</v>
      </c>
      <c r="BO73" s="387" t="n">
        <f aca="false">IF(63&lt;5,0,IF(MAX(BJ40:BO40)&gt;BO45+2+$B$18,1,0))</f>
        <v>0</v>
      </c>
      <c r="BP73" s="387" t="n">
        <f aca="false">IF(64&lt;5,0,IF(MAX(BK40:BP40)&gt;BP45+2+$B$18,1,0))</f>
        <v>0</v>
      </c>
      <c r="BQ73" s="387" t="n">
        <f aca="false">IF(65&lt;5,0,IF(MAX(BL40:BQ40)&gt;BQ45+2+$B$18,1,0))</f>
        <v>0</v>
      </c>
      <c r="BR73" s="387" t="n">
        <f aca="false">IF(66&lt;5,0,IF(MAX(BM40:BR40)&gt;BR45+2+$B$18,1,0))</f>
        <v>0</v>
      </c>
      <c r="BS73" s="387" t="n">
        <f aca="false">IF(67&lt;5,0,IF(MAX(BN40:BS40)&gt;BS45+2+$B$18,1,0))</f>
        <v>0</v>
      </c>
      <c r="BT73" s="387" t="n">
        <f aca="false">IF(68&lt;5,0,IF(MAX(BO40:BT40)&gt;BT45+2+$B$18,1,0))</f>
        <v>0</v>
      </c>
      <c r="BU73" s="387" t="n">
        <f aca="false">IF(69&lt;5,0,IF(MAX(BP40:BU40)&gt;BU45+2+$B$18,1,0))</f>
        <v>0</v>
      </c>
      <c r="BV73" s="387" t="n">
        <f aca="false">IF(70&lt;5,0,IF(MAX(BQ40:BV40)&gt;BV45+2+$B$18,1,0))</f>
        <v>0</v>
      </c>
      <c r="BW73" s="387" t="n">
        <f aca="false">IF(71&lt;5,0,IF(MAX(BR40:BW40)&gt;BW45+2+$B$18,1,0))</f>
        <v>0</v>
      </c>
      <c r="BX73" s="387" t="n">
        <f aca="false">IF(72&lt;5,0,IF(MAX(BS40:BX40)&gt;BX45+2+$B$18,1,0))</f>
        <v>0</v>
      </c>
      <c r="BY73" s="387" t="n">
        <f aca="false">IF(73&lt;5,0,IF(MAX(BT40:BY40)&gt;BY45+2+$B$18,1,0))</f>
        <v>0</v>
      </c>
      <c r="BZ73" s="387" t="n">
        <f aca="false">IF(74&lt;5,0,IF(MAX(BU40:BZ40)&gt;BZ45+2+$B$18,1,0))</f>
        <v>0</v>
      </c>
      <c r="CA73" s="387" t="n">
        <f aca="false">IF(75&lt;5,0,IF(MAX(BV40:CA40)&gt;CA45+2+$B$18,1,0))</f>
        <v>0</v>
      </c>
      <c r="CB73" s="387" t="n">
        <f aca="false">IF(76&lt;5,0,IF(MAX(BW40:CB40)&gt;CB45+2+$B$18,1,0))</f>
        <v>0</v>
      </c>
      <c r="CC73" s="387" t="n">
        <f aca="false">IF(77&lt;5,0,IF(MAX(BX40:CC40)&gt;CC45+2+$B$18,1,0))</f>
        <v>0</v>
      </c>
      <c r="CD73" s="387" t="n">
        <f aca="false">IF(78&lt;5,0,IF(MAX(BY40:CD40)&gt;CD45+2+$B$18,1,0))</f>
        <v>0</v>
      </c>
      <c r="CE73" s="387" t="n">
        <f aca="false">IF(79&lt;5,0,IF(MAX(BZ40:CE40)&gt;CE45+2+$B$18,1,0))</f>
        <v>0</v>
      </c>
      <c r="CF73" s="387" t="n">
        <f aca="false">IF(80&lt;5,0,IF(MAX(CA40:CF40)&gt;CF45+2+$B$18,1,0))</f>
        <v>0</v>
      </c>
      <c r="CG73" s="387" t="n">
        <f aca="false">IF(81&lt;5,0,IF(MAX(CB40:CG40)&gt;CG45+2+$B$18,1,0))</f>
        <v>0</v>
      </c>
      <c r="CH73" s="387" t="n">
        <f aca="false">IF(82&lt;5,0,IF(MAX(CC40:CH40)&gt;CH45+2+$B$18,1,0))</f>
        <v>0</v>
      </c>
      <c r="CI73" s="387" t="n">
        <f aca="false">IF(83&lt;5,0,IF(MAX(CD40:CI40)&gt;CI45+2+$B$18,1,0))</f>
        <v>0</v>
      </c>
      <c r="CJ73" s="387" t="n">
        <f aca="false">IF(84&lt;5,0,IF(MAX(CE40:CJ40)&gt;CJ45+2+$B$18,1,0))</f>
        <v>0</v>
      </c>
      <c r="CK73" s="387" t="n">
        <f aca="false">IF(85&lt;5,0,IF(MAX(CF40:CK40)&gt;CK45+2+$B$18,1,0))</f>
        <v>0</v>
      </c>
      <c r="CL73" s="387" t="n">
        <f aca="false">IF(86&lt;5,0,IF(MAX(CG40:CL40)&gt;CL45+2+$B$18,1,0))</f>
        <v>0</v>
      </c>
      <c r="CM73" s="387" t="n">
        <f aca="false">IF(87&lt;5,0,IF(MAX(CH40:CM40)&gt;CM45+2+$B$18,1,0))</f>
        <v>0</v>
      </c>
      <c r="CN73" s="387" t="n">
        <f aca="false">IF(88&lt;5,0,IF(MAX(CI40:CN40)&gt;CN45+2+$B$18,1,0))</f>
        <v>0</v>
      </c>
      <c r="CO73" s="387" t="n">
        <f aca="false">IF(89&lt;5,0,IF(MAX(CJ40:CO40)&gt;CO45+2+$B$18,1,0))</f>
        <v>0</v>
      </c>
      <c r="CP73" s="387" t="n">
        <f aca="false">IF(90&lt;5,0,IF(MAX(CK40:CP40)&gt;CP45+2+$B$18,1,0))</f>
        <v>0</v>
      </c>
      <c r="CQ73" s="387" t="n">
        <f aca="false">IF(91&lt;5,0,IF(MAX(CL40:CQ40)&gt;CQ45+2+$B$18,1,0))</f>
        <v>0</v>
      </c>
      <c r="CR73" s="387" t="n">
        <f aca="false">IF(92&lt;5,0,IF(MAX(CM40:CR40)&gt;CR45+2+$B$18,1,0))</f>
        <v>0</v>
      </c>
      <c r="CS73" s="387" t="n">
        <f aca="false">IF(93&lt;5,0,IF(MAX(CN40:CS40)&gt;CS45+2+$B$18,1,0))</f>
        <v>0</v>
      </c>
      <c r="CT73" s="387" t="n">
        <f aca="false">IF(94&lt;5,0,IF(MAX(CO40:CT40)&gt;CT45+2+$B$18,1,0))</f>
        <v>0</v>
      </c>
      <c r="CU73" s="387" t="n">
        <f aca="false">IF(95&lt;5,0,IF(MAX(CP40:CU40)&gt;CU45+2+$B$18,1,0))</f>
        <v>0</v>
      </c>
      <c r="CV73" s="387" t="n">
        <f aca="false">IF(96&lt;5,0,IF(MAX(CQ40:CV40)&gt;CV45+2+$B$18,1,0))</f>
        <v>0</v>
      </c>
      <c r="CW73" s="387" t="n">
        <f aca="false">IF(97&lt;5,0,IF(MAX(CR40:CW40)&gt;CW45+2+$B$18,1,0))</f>
        <v>0</v>
      </c>
      <c r="CX73" s="387" t="n">
        <f aca="false">IF(98&lt;5,0,IF(MAX(CS40:CX40)&gt;CX45+2+$B$18,1,0))</f>
        <v>0</v>
      </c>
      <c r="CY73" s="387" t="n">
        <f aca="false">IF(99&lt;5,0,IF(MAX(CT40:CY40)&gt;CY45+2+$B$18,1,0))</f>
        <v>0</v>
      </c>
      <c r="CZ73" s="387" t="n">
        <f aca="false">IF(100&lt;5,0,IF(MAX(CU40:CZ40)&gt;CZ45+2+$B$18,1,0))</f>
        <v>0</v>
      </c>
      <c r="DA73" s="387" t="n">
        <f aca="false">IF(101&lt;5,0,IF(MAX(CV40:DA40)&gt;DA45+2+$B$18,1,0))</f>
        <v>0</v>
      </c>
      <c r="DB73" s="387" t="n">
        <f aca="false">IF(102&lt;5,0,IF(MAX(CW40:DB40)&gt;DB45+2+$B$18,1,0))</f>
        <v>0</v>
      </c>
      <c r="DC73" s="387" t="n">
        <f aca="false">IF(103&lt;5,0,IF(MAX(CX40:DC40)&gt;DC45+2+$B$18,1,0))</f>
        <v>0</v>
      </c>
      <c r="DD73" s="387" t="n">
        <f aca="false">IF(104&lt;5,0,IF(MAX(CY40:DD40)&gt;DD45+2+$B$18,1,0))</f>
        <v>0</v>
      </c>
      <c r="DE73" s="387" t="n">
        <f aca="false">IF(105&lt;5,0,IF(MAX(CZ40:DE40)&gt;DE45+2+$B$18,1,0))</f>
        <v>0</v>
      </c>
    </row>
    <row r="74" customFormat="false" ht="13.5" hidden="false" customHeight="true" outlineLevel="0" collapsed="false">
      <c r="A74" s="110" t="s">
        <v>1408</v>
      </c>
      <c r="B74" s="213" t="n">
        <f aca="false">$B$29</f>
        <v>180000</v>
      </c>
      <c r="E74" s="387" t="n">
        <f aca="false">IF(1&lt;5,0,IF(MAX(E40:E40)&gt;E45+3+$B$18,1,0))</f>
        <v>0</v>
      </c>
      <c r="F74" s="387" t="n">
        <f aca="false">IF(2&lt;5,0,IF(MAX(E40:F40)&gt;F45+3+$B$18,1,0))</f>
        <v>0</v>
      </c>
      <c r="G74" s="387" t="n">
        <f aca="false">IF(3&lt;5,0,IF(MAX(E40:G40)&gt;G45+3+$B$18,1,0))</f>
        <v>0</v>
      </c>
      <c r="H74" s="387" t="n">
        <f aca="false">IF(4&lt;5,0,IF(MAX(E40:H40)&gt;H45+3+$B$18,1,0))</f>
        <v>0</v>
      </c>
      <c r="I74" s="387" t="n">
        <f aca="false">IF(5&lt;5,0,IF(MAX(E40:I40)&gt;I45+3+$B$18,1,0))</f>
        <v>0</v>
      </c>
      <c r="J74" s="387" t="n">
        <f aca="false">IF(6&lt;5,0,IF(MAX(E40:J40)&gt;J45+3+$B$18,1,0))</f>
        <v>0</v>
      </c>
      <c r="K74" s="387" t="n">
        <f aca="false">IF(7&lt;5,0,IF(MAX(F40:K40)&gt;K45+3+$B$18,1,0))</f>
        <v>0</v>
      </c>
      <c r="L74" s="387" t="n">
        <f aca="false">IF(8&lt;5,0,IF(MAX(G40:L40)&gt;L45+3+$B$18,1,0))</f>
        <v>0</v>
      </c>
      <c r="M74" s="387" t="n">
        <f aca="false">IF(9&lt;5,0,IF(MAX(H40:M40)&gt;M45+3+$B$18,1,0))</f>
        <v>0</v>
      </c>
      <c r="N74" s="387" t="n">
        <f aca="false">IF(10&lt;5,0,IF(MAX(I40:N40)&gt;N45+3+$B$18,1,0))</f>
        <v>0</v>
      </c>
      <c r="O74" s="387" t="n">
        <f aca="false">IF(11&lt;5,0,IF(MAX(J40:O40)&gt;O45+3+$B$18,1,0))</f>
        <v>0</v>
      </c>
      <c r="P74" s="387" t="n">
        <f aca="false">IF(12&lt;5,0,IF(MAX(K40:P40)&gt;P45+3+$B$18,1,0))</f>
        <v>0</v>
      </c>
      <c r="Q74" s="387" t="n">
        <f aca="false">IF(13&lt;5,0,IF(MAX(L40:Q40)&gt;Q45+3+$B$18,1,0))</f>
        <v>0</v>
      </c>
      <c r="R74" s="387" t="n">
        <f aca="false">IF(14&lt;5,0,IF(MAX(M40:R40)&gt;R45+3+$B$18,1,0))</f>
        <v>0</v>
      </c>
      <c r="S74" s="387" t="n">
        <f aca="false">IF(15&lt;5,0,IF(MAX(N40:S40)&gt;S45+3+$B$18,1,0))</f>
        <v>0</v>
      </c>
      <c r="T74" s="387" t="n">
        <f aca="false">IF(16&lt;5,0,IF(MAX(O40:T40)&gt;T45+3+$B$18,1,0))</f>
        <v>0</v>
      </c>
      <c r="U74" s="387" t="n">
        <f aca="false">IF(17&lt;5,0,IF(MAX(P40:U40)&gt;U45+3+$B$18,1,0))</f>
        <v>0</v>
      </c>
      <c r="V74" s="387" t="n">
        <f aca="false">IF(18&lt;5,0,IF(MAX(Q40:V40)&gt;V45+3+$B$18,1,0))</f>
        <v>0</v>
      </c>
      <c r="W74" s="387" t="n">
        <f aca="false">IF(19&lt;5,0,IF(MAX(R40:W40)&gt;W45+3+$B$18,1,0))</f>
        <v>0</v>
      </c>
      <c r="X74" s="387" t="n">
        <f aca="false">IF(20&lt;5,0,IF(MAX(S40:X40)&gt;X45+3+$B$18,1,0))</f>
        <v>0</v>
      </c>
      <c r="Y74" s="387" t="n">
        <f aca="false">IF(21&lt;5,0,IF(MAX(T40:Y40)&gt;Y45+3+$B$18,1,0))</f>
        <v>0</v>
      </c>
      <c r="Z74" s="387" t="n">
        <f aca="false">IF(22&lt;5,0,IF(MAX(U40:Z40)&gt;Z45+3+$B$18,1,0))</f>
        <v>0</v>
      </c>
      <c r="AA74" s="387" t="n">
        <f aca="false">IF(23&lt;5,0,IF(MAX(V40:AA40)&gt;AA45+3+$B$18,1,0))</f>
        <v>0</v>
      </c>
      <c r="AB74" s="387" t="n">
        <f aca="false">IF(24&lt;5,0,IF(MAX(W40:AB40)&gt;AB45+3+$B$18,1,0))</f>
        <v>0</v>
      </c>
      <c r="AC74" s="387" t="n">
        <f aca="false">IF(25&lt;5,0,IF(MAX(X40:AC40)&gt;AC45+3+$B$18,1,0))</f>
        <v>0</v>
      </c>
      <c r="AD74" s="387" t="n">
        <f aca="false">IF(26&lt;5,0,IF(MAX(Y40:AD40)&gt;AD45+3+$B$18,1,0))</f>
        <v>0</v>
      </c>
      <c r="AE74" s="387" t="n">
        <f aca="false">IF(27&lt;5,0,IF(MAX(Z40:AE40)&gt;AE45+3+$B$18,1,0))</f>
        <v>0</v>
      </c>
      <c r="AF74" s="387" t="n">
        <f aca="false">IF(28&lt;5,0,IF(MAX(AA40:AF40)&gt;AF45+3+$B$18,1,0))</f>
        <v>0</v>
      </c>
      <c r="AG74" s="387" t="n">
        <f aca="false">IF(29&lt;5,0,IF(MAX(AB40:AG40)&gt;AG45+3+$B$18,1,0))</f>
        <v>0</v>
      </c>
      <c r="AH74" s="387" t="n">
        <f aca="false">IF(30&lt;5,0,IF(MAX(AC40:AH40)&gt;AH45+3+$B$18,1,0))</f>
        <v>0</v>
      </c>
      <c r="AI74" s="387" t="n">
        <f aca="false">IF(31&lt;5,0,IF(MAX(AD40:AI40)&gt;AI45+3+$B$18,1,0))</f>
        <v>0</v>
      </c>
      <c r="AJ74" s="387" t="n">
        <f aca="false">IF(32&lt;5,0,IF(MAX(AE40:AJ40)&gt;AJ45+3+$B$18,1,0))</f>
        <v>0</v>
      </c>
      <c r="AK74" s="387" t="n">
        <f aca="false">IF(33&lt;5,0,IF(MAX(AF40:AK40)&gt;AK45+3+$B$18,1,0))</f>
        <v>0</v>
      </c>
      <c r="AL74" s="387" t="n">
        <f aca="false">IF(34&lt;5,0,IF(MAX(AG40:AL40)&gt;AL45+3+$B$18,1,0))</f>
        <v>0</v>
      </c>
      <c r="AM74" s="387" t="n">
        <f aca="false">IF(35&lt;5,0,IF(MAX(AH40:AM40)&gt;AM45+3+$B$18,1,0))</f>
        <v>0</v>
      </c>
      <c r="AN74" s="387" t="n">
        <f aca="false">IF(36&lt;5,0,IF(MAX(AI40:AN40)&gt;AN45+3+$B$18,1,0))</f>
        <v>0</v>
      </c>
      <c r="AO74" s="387" t="n">
        <f aca="false">IF(37&lt;5,0,IF(MAX(AJ40:AO40)&gt;AO45+3+$B$18,1,0))</f>
        <v>0</v>
      </c>
      <c r="AP74" s="387" t="n">
        <f aca="false">IF(38&lt;5,0,IF(MAX(AK40:AP40)&gt;AP45+3+$B$18,1,0))</f>
        <v>0</v>
      </c>
      <c r="AQ74" s="387" t="n">
        <f aca="false">IF(39&lt;5,0,IF(MAX(AL40:AQ40)&gt;AQ45+3+$B$18,1,0))</f>
        <v>0</v>
      </c>
      <c r="AR74" s="387" t="n">
        <f aca="false">IF(40&lt;5,0,IF(MAX(AM40:AR40)&gt;AR45+3+$B$18,1,0))</f>
        <v>0</v>
      </c>
      <c r="AS74" s="387" t="n">
        <f aca="false">IF(41&lt;5,0,IF(MAX(AN40:AS40)&gt;AS45+3+$B$18,1,0))</f>
        <v>0</v>
      </c>
      <c r="AT74" s="387" t="n">
        <f aca="false">IF(42&lt;5,0,IF(MAX(AO40:AT40)&gt;AT45+3+$B$18,1,0))</f>
        <v>0</v>
      </c>
      <c r="AU74" s="387" t="n">
        <f aca="false">IF(43&lt;5,0,IF(MAX(AP40:AU40)&gt;AU45+3+$B$18,1,0))</f>
        <v>0</v>
      </c>
      <c r="AV74" s="387" t="n">
        <f aca="false">IF(44&lt;5,0,IF(MAX(AQ40:AV40)&gt;AV45+3+$B$18,1,0))</f>
        <v>0</v>
      </c>
      <c r="AW74" s="387" t="n">
        <f aca="false">IF(45&lt;5,0,IF(MAX(AR40:AW40)&gt;AW45+3+$B$18,1,0))</f>
        <v>0</v>
      </c>
      <c r="AX74" s="387" t="n">
        <f aca="false">IF(46&lt;5,0,IF(MAX(AS40:AX40)&gt;AX45+3+$B$18,1,0))</f>
        <v>0</v>
      </c>
      <c r="AY74" s="387" t="n">
        <f aca="false">IF(47&lt;5,0,IF(MAX(AT40:AY40)&gt;AY45+3+$B$18,1,0))</f>
        <v>0</v>
      </c>
      <c r="AZ74" s="387" t="n">
        <f aca="false">IF(48&lt;5,0,IF(MAX(AU40:AZ40)&gt;AZ45+3+$B$18,1,0))</f>
        <v>0</v>
      </c>
      <c r="BA74" s="387" t="n">
        <f aca="false">IF(49&lt;5,0,IF(MAX(AV40:BA40)&gt;BA45+3+$B$18,1,0))</f>
        <v>0</v>
      </c>
      <c r="BB74" s="387" t="n">
        <f aca="false">IF(50&lt;5,0,IF(MAX(AW40:BB40)&gt;BB45+3+$B$18,1,0))</f>
        <v>0</v>
      </c>
      <c r="BC74" s="387" t="n">
        <f aca="false">IF(51&lt;5,0,IF(MAX(AX40:BC40)&gt;BC45+3+$B$18,1,0))</f>
        <v>0</v>
      </c>
      <c r="BD74" s="387" t="n">
        <f aca="false">IF(52&lt;5,0,IF(MAX(AY40:BD40)&gt;BD45+3+$B$18,1,0))</f>
        <v>0</v>
      </c>
      <c r="BE74" s="387" t="n">
        <f aca="false">IF(53&lt;5,0,IF(MAX(AZ40:BE40)&gt;BE45+3+$B$18,1,0))</f>
        <v>0</v>
      </c>
      <c r="BF74" s="387" t="n">
        <f aca="false">IF(54&lt;5,0,IF(MAX(BA40:BF40)&gt;BF45+3+$B$18,1,0))</f>
        <v>0</v>
      </c>
      <c r="BG74" s="387" t="n">
        <f aca="false">IF(55&lt;5,0,IF(MAX(BB40:BG40)&gt;BG45+3+$B$18,1,0))</f>
        <v>0</v>
      </c>
      <c r="BH74" s="387" t="n">
        <f aca="false">IF(56&lt;5,0,IF(MAX(BC40:BH40)&gt;BH45+3+$B$18,1,0))</f>
        <v>0</v>
      </c>
      <c r="BI74" s="387" t="n">
        <f aca="false">IF(57&lt;5,0,IF(MAX(BD40:BI40)&gt;BI45+3+$B$18,1,0))</f>
        <v>0</v>
      </c>
      <c r="BJ74" s="387" t="n">
        <f aca="false">IF(58&lt;5,0,IF(MAX(BE40:BJ40)&gt;BJ45+3+$B$18,1,0))</f>
        <v>0</v>
      </c>
      <c r="BK74" s="387" t="n">
        <f aca="false">IF(59&lt;5,0,IF(MAX(BF40:BK40)&gt;BK45+3+$B$18,1,0))</f>
        <v>0</v>
      </c>
      <c r="BL74" s="387" t="n">
        <f aca="false">IF(60&lt;5,0,IF(MAX(BG40:BL40)&gt;BL45+3+$B$18,1,0))</f>
        <v>0</v>
      </c>
      <c r="BM74" s="387" t="n">
        <f aca="false">IF(61&lt;5,0,IF(MAX(BH40:BM40)&gt;BM45+3+$B$18,1,0))</f>
        <v>0</v>
      </c>
      <c r="BN74" s="387" t="n">
        <f aca="false">IF(62&lt;5,0,IF(MAX(BI40:BN40)&gt;BN45+3+$B$18,1,0))</f>
        <v>0</v>
      </c>
      <c r="BO74" s="387" t="n">
        <f aca="false">IF(63&lt;5,0,IF(MAX(BJ40:BO40)&gt;BO45+3+$B$18,1,0))</f>
        <v>0</v>
      </c>
      <c r="BP74" s="387" t="n">
        <f aca="false">IF(64&lt;5,0,IF(MAX(BK40:BP40)&gt;BP45+3+$B$18,1,0))</f>
        <v>0</v>
      </c>
      <c r="BQ74" s="387" t="n">
        <f aca="false">IF(65&lt;5,0,IF(MAX(BL40:BQ40)&gt;BQ45+3+$B$18,1,0))</f>
        <v>0</v>
      </c>
      <c r="BR74" s="387" t="n">
        <f aca="false">IF(66&lt;5,0,IF(MAX(BM40:BR40)&gt;BR45+3+$B$18,1,0))</f>
        <v>0</v>
      </c>
      <c r="BS74" s="387" t="n">
        <f aca="false">IF(67&lt;5,0,IF(MAX(BN40:BS40)&gt;BS45+3+$B$18,1,0))</f>
        <v>0</v>
      </c>
      <c r="BT74" s="387" t="n">
        <f aca="false">IF(68&lt;5,0,IF(MAX(BO40:BT40)&gt;BT45+3+$B$18,1,0))</f>
        <v>0</v>
      </c>
      <c r="BU74" s="387" t="n">
        <f aca="false">IF(69&lt;5,0,IF(MAX(BP40:BU40)&gt;BU45+3+$B$18,1,0))</f>
        <v>0</v>
      </c>
      <c r="BV74" s="387" t="n">
        <f aca="false">IF(70&lt;5,0,IF(MAX(BQ40:BV40)&gt;BV45+3+$B$18,1,0))</f>
        <v>0</v>
      </c>
      <c r="BW74" s="387" t="n">
        <f aca="false">IF(71&lt;5,0,IF(MAX(BR40:BW40)&gt;BW45+3+$B$18,1,0))</f>
        <v>0</v>
      </c>
      <c r="BX74" s="387" t="n">
        <f aca="false">IF(72&lt;5,0,IF(MAX(BS40:BX40)&gt;BX45+3+$B$18,1,0))</f>
        <v>0</v>
      </c>
      <c r="BY74" s="387" t="n">
        <f aca="false">IF(73&lt;5,0,IF(MAX(BT40:BY40)&gt;BY45+3+$B$18,1,0))</f>
        <v>0</v>
      </c>
      <c r="BZ74" s="387" t="n">
        <f aca="false">IF(74&lt;5,0,IF(MAX(BU40:BZ40)&gt;BZ45+3+$B$18,1,0))</f>
        <v>0</v>
      </c>
      <c r="CA74" s="387" t="n">
        <f aca="false">IF(75&lt;5,0,IF(MAX(BV40:CA40)&gt;CA45+3+$B$18,1,0))</f>
        <v>0</v>
      </c>
      <c r="CB74" s="387" t="n">
        <f aca="false">IF(76&lt;5,0,IF(MAX(BW40:CB40)&gt;CB45+3+$B$18,1,0))</f>
        <v>0</v>
      </c>
      <c r="CC74" s="387" t="n">
        <f aca="false">IF(77&lt;5,0,IF(MAX(BX40:CC40)&gt;CC45+3+$B$18,1,0))</f>
        <v>0</v>
      </c>
      <c r="CD74" s="387" t="n">
        <f aca="false">IF(78&lt;5,0,IF(MAX(BY40:CD40)&gt;CD45+3+$B$18,1,0))</f>
        <v>0</v>
      </c>
      <c r="CE74" s="387" t="n">
        <f aca="false">IF(79&lt;5,0,IF(MAX(BZ40:CE40)&gt;CE45+3+$B$18,1,0))</f>
        <v>0</v>
      </c>
      <c r="CF74" s="387" t="n">
        <f aca="false">IF(80&lt;5,0,IF(MAX(CA40:CF40)&gt;CF45+3+$B$18,1,0))</f>
        <v>0</v>
      </c>
      <c r="CG74" s="387" t="n">
        <f aca="false">IF(81&lt;5,0,IF(MAX(CB40:CG40)&gt;CG45+3+$B$18,1,0))</f>
        <v>0</v>
      </c>
      <c r="CH74" s="387" t="n">
        <f aca="false">IF(82&lt;5,0,IF(MAX(CC40:CH40)&gt;CH45+3+$B$18,1,0))</f>
        <v>0</v>
      </c>
      <c r="CI74" s="387" t="n">
        <f aca="false">IF(83&lt;5,0,IF(MAX(CD40:CI40)&gt;CI45+3+$B$18,1,0))</f>
        <v>0</v>
      </c>
      <c r="CJ74" s="387" t="n">
        <f aca="false">IF(84&lt;5,0,IF(MAX(CE40:CJ40)&gt;CJ45+3+$B$18,1,0))</f>
        <v>0</v>
      </c>
      <c r="CK74" s="387" t="n">
        <f aca="false">IF(85&lt;5,0,IF(MAX(CF40:CK40)&gt;CK45+3+$B$18,1,0))</f>
        <v>0</v>
      </c>
      <c r="CL74" s="387" t="n">
        <f aca="false">IF(86&lt;5,0,IF(MAX(CG40:CL40)&gt;CL45+3+$B$18,1,0))</f>
        <v>0</v>
      </c>
      <c r="CM74" s="387" t="n">
        <f aca="false">IF(87&lt;5,0,IF(MAX(CH40:CM40)&gt;CM45+3+$B$18,1,0))</f>
        <v>0</v>
      </c>
      <c r="CN74" s="387" t="n">
        <f aca="false">IF(88&lt;5,0,IF(MAX(CI40:CN40)&gt;CN45+3+$B$18,1,0))</f>
        <v>0</v>
      </c>
      <c r="CO74" s="387" t="n">
        <f aca="false">IF(89&lt;5,0,IF(MAX(CJ40:CO40)&gt;CO45+3+$B$18,1,0))</f>
        <v>0</v>
      </c>
      <c r="CP74" s="387" t="n">
        <f aca="false">IF(90&lt;5,0,IF(MAX(CK40:CP40)&gt;CP45+3+$B$18,1,0))</f>
        <v>0</v>
      </c>
      <c r="CQ74" s="387" t="n">
        <f aca="false">IF(91&lt;5,0,IF(MAX(CL40:CQ40)&gt;CQ45+3+$B$18,1,0))</f>
        <v>0</v>
      </c>
      <c r="CR74" s="387" t="n">
        <f aca="false">IF(92&lt;5,0,IF(MAX(CM40:CR40)&gt;CR45+3+$B$18,1,0))</f>
        <v>0</v>
      </c>
      <c r="CS74" s="387" t="n">
        <f aca="false">IF(93&lt;5,0,IF(MAX(CN40:CS40)&gt;CS45+3+$B$18,1,0))</f>
        <v>0</v>
      </c>
      <c r="CT74" s="387" t="n">
        <f aca="false">IF(94&lt;5,0,IF(MAX(CO40:CT40)&gt;CT45+3+$B$18,1,0))</f>
        <v>0</v>
      </c>
      <c r="CU74" s="387" t="n">
        <f aca="false">IF(95&lt;5,0,IF(MAX(CP40:CU40)&gt;CU45+3+$B$18,1,0))</f>
        <v>0</v>
      </c>
      <c r="CV74" s="387" t="n">
        <f aca="false">IF(96&lt;5,0,IF(MAX(CQ40:CV40)&gt;CV45+3+$B$18,1,0))</f>
        <v>0</v>
      </c>
      <c r="CW74" s="387" t="n">
        <f aca="false">IF(97&lt;5,0,IF(MAX(CR40:CW40)&gt;CW45+3+$B$18,1,0))</f>
        <v>0</v>
      </c>
      <c r="CX74" s="387" t="n">
        <f aca="false">IF(98&lt;5,0,IF(MAX(CS40:CX40)&gt;CX45+3+$B$18,1,0))</f>
        <v>0</v>
      </c>
      <c r="CY74" s="387" t="n">
        <f aca="false">IF(99&lt;5,0,IF(MAX(CT40:CY40)&gt;CY45+3+$B$18,1,0))</f>
        <v>0</v>
      </c>
      <c r="CZ74" s="387" t="n">
        <f aca="false">IF(100&lt;5,0,IF(MAX(CU40:CZ40)&gt;CZ45+3+$B$18,1,0))</f>
        <v>0</v>
      </c>
      <c r="DA74" s="387" t="n">
        <f aca="false">IF(101&lt;5,0,IF(MAX(CV40:DA40)&gt;DA45+3+$B$18,1,0))</f>
        <v>0</v>
      </c>
      <c r="DB74" s="387" t="n">
        <f aca="false">IF(102&lt;5,0,IF(MAX(CW40:DB40)&gt;DB45+3+$B$18,1,0))</f>
        <v>0</v>
      </c>
      <c r="DC74" s="387" t="n">
        <f aca="false">IF(103&lt;5,0,IF(MAX(CX40:DC40)&gt;DC45+3+$B$18,1,0))</f>
        <v>0</v>
      </c>
      <c r="DD74" s="387" t="n">
        <f aca="false">IF(104&lt;5,0,IF(MAX(CY40:DD40)&gt;DD45+3+$B$18,1,0))</f>
        <v>0</v>
      </c>
      <c r="DE74" s="387"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1409</v>
      </c>
      <c r="B77" s="213" t="n">
        <f aca="false">$B$30</f>
        <v>80000</v>
      </c>
      <c r="E77" s="387" t="n">
        <f aca="false">IF(1&lt;5,0,IF(MAX(E37:E37)&gt;=$B$22,1,0))</f>
        <v>0</v>
      </c>
      <c r="F77" s="387" t="n">
        <f aca="false">IF(2&lt;5,0,IF(MAX(E37:F37)&gt;=$B$22,1,0))</f>
        <v>0</v>
      </c>
      <c r="G77" s="387" t="n">
        <f aca="false">IF(3&lt;5,0,IF(MAX(E37:G37)&gt;=$B$22,1,0))</f>
        <v>0</v>
      </c>
      <c r="H77" s="387" t="n">
        <f aca="false">IF(4&lt;5,0,IF(MAX(E37:H37)&gt;=$B$22,1,0))</f>
        <v>0</v>
      </c>
      <c r="I77" s="387" t="n">
        <f aca="false">IF(5&lt;5,0,IF(MAX(E37:I37)&gt;=$B$22,1,0))</f>
        <v>0</v>
      </c>
      <c r="J77" s="387" t="n">
        <f aca="false">IF(6&lt;5,0,IF(MAX(E37:J37)&gt;=$B$22,1,0))</f>
        <v>0</v>
      </c>
      <c r="K77" s="387" t="n">
        <f aca="false">IF(7&lt;5,0,IF(MAX(F37:K37)&gt;=$B$22,1,0))</f>
        <v>0</v>
      </c>
      <c r="L77" s="387" t="n">
        <f aca="false">IF(8&lt;5,0,IF(MAX(G37:L37)&gt;=$B$22,1,0))</f>
        <v>0</v>
      </c>
      <c r="M77" s="387" t="n">
        <f aca="false">IF(9&lt;5,0,IF(MAX(H37:M37)&gt;=$B$22,1,0))</f>
        <v>0</v>
      </c>
      <c r="N77" s="387" t="n">
        <f aca="false">IF(10&lt;5,0,IF(MAX(I37:N37)&gt;=$B$22,1,0))</f>
        <v>0</v>
      </c>
      <c r="O77" s="387" t="n">
        <f aca="false">IF(11&lt;5,0,IF(MAX(J37:O37)&gt;=$B$22,1,0))</f>
        <v>1</v>
      </c>
      <c r="P77" s="387" t="n">
        <f aca="false">IF(12&lt;5,0,IF(MAX(K37:P37)&gt;=$B$22,1,0))</f>
        <v>1</v>
      </c>
      <c r="Q77" s="387" t="n">
        <f aca="false">IF(13&lt;5,0,IF(MAX(L37:Q37)&gt;=$B$22,1,0))</f>
        <v>1</v>
      </c>
      <c r="R77" s="387" t="n">
        <f aca="false">IF(14&lt;5,0,IF(MAX(M37:R37)&gt;=$B$22,1,0))</f>
        <v>1</v>
      </c>
      <c r="S77" s="387" t="n">
        <f aca="false">IF(15&lt;5,0,IF(MAX(N37:S37)&gt;=$B$22,1,0))</f>
        <v>1</v>
      </c>
      <c r="T77" s="387" t="n">
        <f aca="false">IF(16&lt;5,0,IF(MAX(O37:T37)&gt;=$B$22,1,0))</f>
        <v>1</v>
      </c>
      <c r="U77" s="387" t="n">
        <f aca="false">IF(17&lt;5,0,IF(MAX(P37:U37)&gt;=$B$22,1,0))</f>
        <v>1</v>
      </c>
      <c r="V77" s="387" t="n">
        <f aca="false">IF(18&lt;5,0,IF(MAX(Q37:V37)&gt;=$B$22,1,0))</f>
        <v>1</v>
      </c>
      <c r="W77" s="387" t="n">
        <f aca="false">IF(19&lt;5,0,IF(MAX(R37:W37)&gt;=$B$22,1,0))</f>
        <v>1</v>
      </c>
      <c r="X77" s="387" t="n">
        <f aca="false">IF(20&lt;5,0,IF(MAX(S37:X37)&gt;=$B$22,1,0))</f>
        <v>1</v>
      </c>
      <c r="Y77" s="387" t="n">
        <f aca="false">IF(21&lt;5,0,IF(MAX(T37:Y37)&gt;=$B$22,1,0))</f>
        <v>1</v>
      </c>
      <c r="Z77" s="387" t="n">
        <f aca="false">IF(22&lt;5,0,IF(MAX(U37:Z37)&gt;=$B$22,1,0))</f>
        <v>1</v>
      </c>
      <c r="AA77" s="387" t="n">
        <f aca="false">IF(23&lt;5,0,IF(MAX(V37:AA37)&gt;=$B$22,1,0))</f>
        <v>1</v>
      </c>
      <c r="AB77" s="387" t="n">
        <f aca="false">IF(24&lt;5,0,IF(MAX(W37:AB37)&gt;=$B$22,1,0))</f>
        <v>1</v>
      </c>
      <c r="AC77" s="387" t="n">
        <f aca="false">IF(25&lt;5,0,IF(MAX(X37:AC37)&gt;=$B$22,1,0))</f>
        <v>1</v>
      </c>
      <c r="AD77" s="387" t="n">
        <f aca="false">IF(26&lt;5,0,IF(MAX(Y37:AD37)&gt;=$B$22,1,0))</f>
        <v>1</v>
      </c>
      <c r="AE77" s="387" t="n">
        <f aca="false">IF(27&lt;5,0,IF(MAX(Z37:AE37)&gt;=$B$22,1,0))</f>
        <v>1</v>
      </c>
      <c r="AF77" s="387" t="n">
        <f aca="false">IF(28&lt;5,0,IF(MAX(AA37:AF37)&gt;=$B$22,1,0))</f>
        <v>1</v>
      </c>
      <c r="AG77" s="387" t="n">
        <f aca="false">IF(29&lt;5,0,IF(MAX(AB37:AG37)&gt;=$B$22,1,0))</f>
        <v>1</v>
      </c>
      <c r="AH77" s="387" t="n">
        <f aca="false">IF(30&lt;5,0,IF(MAX(AC37:AH37)&gt;=$B$22,1,0))</f>
        <v>1</v>
      </c>
      <c r="AI77" s="387" t="n">
        <f aca="false">IF(31&lt;5,0,IF(MAX(AD37:AI37)&gt;=$B$22,1,0))</f>
        <v>1</v>
      </c>
      <c r="AJ77" s="387" t="n">
        <f aca="false">IF(32&lt;5,0,IF(MAX(AE37:AJ37)&gt;=$B$22,1,0))</f>
        <v>1</v>
      </c>
      <c r="AK77" s="387" t="n">
        <f aca="false">IF(33&lt;5,0,IF(MAX(AF37:AK37)&gt;=$B$22,1,0))</f>
        <v>1</v>
      </c>
      <c r="AL77" s="387" t="n">
        <f aca="false">IF(34&lt;5,0,IF(MAX(AG37:AL37)&gt;=$B$22,1,0))</f>
        <v>0</v>
      </c>
      <c r="AM77" s="387" t="n">
        <f aca="false">IF(35&lt;5,0,IF(MAX(AH37:AM37)&gt;=$B$22,1,0))</f>
        <v>0</v>
      </c>
      <c r="AN77" s="387" t="n">
        <f aca="false">IF(36&lt;5,0,IF(MAX(AI37:AN37)&gt;=$B$22,1,0))</f>
        <v>0</v>
      </c>
      <c r="AO77" s="387" t="n">
        <f aca="false">IF(37&lt;5,0,IF(MAX(AJ37:AO37)&gt;=$B$22,1,0))</f>
        <v>0</v>
      </c>
      <c r="AP77" s="387" t="n">
        <f aca="false">IF(38&lt;5,0,IF(MAX(AK37:AP37)&gt;=$B$22,1,0))</f>
        <v>0</v>
      </c>
      <c r="AQ77" s="387" t="n">
        <f aca="false">IF(39&lt;5,0,IF(MAX(AL37:AQ37)&gt;=$B$22,1,0))</f>
        <v>0</v>
      </c>
      <c r="AR77" s="387" t="n">
        <f aca="false">IF(40&lt;5,0,IF(MAX(AM37:AR37)&gt;=$B$22,1,0))</f>
        <v>0</v>
      </c>
      <c r="AS77" s="387" t="n">
        <f aca="false">IF(41&lt;5,0,IF(MAX(AN37:AS37)&gt;=$B$22,1,0))</f>
        <v>0</v>
      </c>
      <c r="AT77" s="387" t="n">
        <f aca="false">IF(42&lt;5,0,IF(MAX(AO37:AT37)&gt;=$B$22,1,0))</f>
        <v>0</v>
      </c>
      <c r="AU77" s="387" t="n">
        <f aca="false">IF(43&lt;5,0,IF(MAX(AP37:AU37)&gt;=$B$22,1,0))</f>
        <v>0</v>
      </c>
      <c r="AV77" s="387" t="n">
        <f aca="false">IF(44&lt;5,0,IF(MAX(AQ37:AV37)&gt;=$B$22,1,0))</f>
        <v>0</v>
      </c>
      <c r="AW77" s="387" t="n">
        <f aca="false">IF(45&lt;5,0,IF(MAX(AR37:AW37)&gt;=$B$22,1,0))</f>
        <v>0</v>
      </c>
      <c r="AX77" s="387" t="n">
        <f aca="false">IF(46&lt;5,0,IF(MAX(AS37:AX37)&gt;=$B$22,1,0))</f>
        <v>0</v>
      </c>
      <c r="AY77" s="387" t="n">
        <f aca="false">IF(47&lt;5,0,IF(MAX(AT37:AY37)&gt;=$B$22,1,0))</f>
        <v>0</v>
      </c>
      <c r="AZ77" s="387" t="n">
        <f aca="false">IF(48&lt;5,0,IF(MAX(AU37:AZ37)&gt;=$B$22,1,0))</f>
        <v>0</v>
      </c>
      <c r="BA77" s="387" t="n">
        <f aca="false">IF(49&lt;5,0,IF(MAX(AV37:BA37)&gt;=$B$22,1,0))</f>
        <v>0</v>
      </c>
      <c r="BB77" s="387" t="n">
        <f aca="false">IF(50&lt;5,0,IF(MAX(AW37:BB37)&gt;=$B$22,1,0))</f>
        <v>0</v>
      </c>
      <c r="BC77" s="387" t="n">
        <f aca="false">IF(51&lt;5,0,IF(MAX(AX37:BC37)&gt;=$B$22,1,0))</f>
        <v>0</v>
      </c>
      <c r="BD77" s="387" t="n">
        <f aca="false">IF(52&lt;5,0,IF(MAX(AY37:BD37)&gt;=$B$22,1,0))</f>
        <v>0</v>
      </c>
      <c r="BE77" s="387" t="n">
        <f aca="false">IF(53&lt;5,0,IF(MAX(AZ37:BE37)&gt;=$B$22,1,0))</f>
        <v>0</v>
      </c>
      <c r="BF77" s="387" t="n">
        <f aca="false">IF(54&lt;5,0,IF(MAX(BA37:BF37)&gt;=$B$22,1,0))</f>
        <v>0</v>
      </c>
      <c r="BG77" s="387" t="n">
        <f aca="false">IF(55&lt;5,0,IF(MAX(BB37:BG37)&gt;=$B$22,1,0))</f>
        <v>0</v>
      </c>
      <c r="BH77" s="387" t="n">
        <f aca="false">IF(56&lt;5,0,IF(MAX(BC37:BH37)&gt;=$B$22,1,0))</f>
        <v>0</v>
      </c>
      <c r="BI77" s="387" t="n">
        <f aca="false">IF(57&lt;5,0,IF(MAX(BD37:BI37)&gt;=$B$22,1,0))</f>
        <v>0</v>
      </c>
      <c r="BJ77" s="387" t="n">
        <f aca="false">IF(58&lt;5,0,IF(MAX(BE37:BJ37)&gt;=$B$22,1,0))</f>
        <v>0</v>
      </c>
      <c r="BK77" s="387" t="n">
        <f aca="false">IF(59&lt;5,0,IF(MAX(BF37:BK37)&gt;=$B$22,1,0))</f>
        <v>0</v>
      </c>
      <c r="BL77" s="387" t="n">
        <f aca="false">IF(60&lt;5,0,IF(MAX(BG37:BL37)&gt;=$B$22,1,0))</f>
        <v>0</v>
      </c>
      <c r="BM77" s="387" t="n">
        <f aca="false">IF(61&lt;5,0,IF(MAX(BH37:BM37)&gt;=$B$22,1,0))</f>
        <v>0</v>
      </c>
      <c r="BN77" s="387" t="n">
        <f aca="false">IF(62&lt;5,0,IF(MAX(BI37:BN37)&gt;=$B$22,1,0))</f>
        <v>0</v>
      </c>
      <c r="BO77" s="387" t="n">
        <f aca="false">IF(63&lt;5,0,IF(MAX(BJ37:BO37)&gt;=$B$22,1,0))</f>
        <v>0</v>
      </c>
      <c r="BP77" s="387" t="n">
        <f aca="false">IF(64&lt;5,0,IF(MAX(BK37:BP37)&gt;=$B$22,1,0))</f>
        <v>0</v>
      </c>
      <c r="BQ77" s="387" t="n">
        <f aca="false">IF(65&lt;5,0,IF(MAX(BL37:BQ37)&gt;=$B$22,1,0))</f>
        <v>0</v>
      </c>
      <c r="BR77" s="387" t="n">
        <f aca="false">IF(66&lt;5,0,IF(MAX(BM37:BR37)&gt;=$B$22,1,0))</f>
        <v>0</v>
      </c>
      <c r="BS77" s="387" t="n">
        <f aca="false">IF(67&lt;5,0,IF(MAX(BN37:BS37)&gt;=$B$22,1,0))</f>
        <v>0</v>
      </c>
      <c r="BT77" s="387" t="n">
        <f aca="false">IF(68&lt;5,0,IF(MAX(BO37:BT37)&gt;=$B$22,1,0))</f>
        <v>0</v>
      </c>
      <c r="BU77" s="387" t="n">
        <f aca="false">IF(69&lt;5,0,IF(MAX(BP37:BU37)&gt;=$B$22,1,0))</f>
        <v>0</v>
      </c>
      <c r="BV77" s="387" t="n">
        <f aca="false">IF(70&lt;5,0,IF(MAX(BQ37:BV37)&gt;=$B$22,1,0))</f>
        <v>0</v>
      </c>
      <c r="BW77" s="387" t="n">
        <f aca="false">IF(71&lt;5,0,IF(MAX(BR37:BW37)&gt;=$B$22,1,0))</f>
        <v>0</v>
      </c>
      <c r="BX77" s="387" t="n">
        <f aca="false">IF(72&lt;5,0,IF(MAX(BS37:BX37)&gt;=$B$22,1,0))</f>
        <v>0</v>
      </c>
      <c r="BY77" s="387" t="n">
        <f aca="false">IF(73&lt;5,0,IF(MAX(BT37:BY37)&gt;=$B$22,1,0))</f>
        <v>0</v>
      </c>
      <c r="BZ77" s="387" t="n">
        <f aca="false">IF(74&lt;5,0,IF(MAX(BU37:BZ37)&gt;=$B$22,1,0))</f>
        <v>0</v>
      </c>
      <c r="CA77" s="387" t="n">
        <f aca="false">IF(75&lt;5,0,IF(MAX(BV37:CA37)&gt;=$B$22,1,0))</f>
        <v>0</v>
      </c>
      <c r="CB77" s="387" t="n">
        <f aca="false">IF(76&lt;5,0,IF(MAX(BW37:CB37)&gt;=$B$22,1,0))</f>
        <v>0</v>
      </c>
      <c r="CC77" s="387" t="n">
        <f aca="false">IF(77&lt;5,0,IF(MAX(BX37:CC37)&gt;=$B$22,1,0))</f>
        <v>0</v>
      </c>
      <c r="CD77" s="387" t="n">
        <f aca="false">IF(78&lt;5,0,IF(MAX(BY37:CD37)&gt;=$B$22,1,0))</f>
        <v>0</v>
      </c>
      <c r="CE77" s="387" t="n">
        <f aca="false">IF(79&lt;5,0,IF(MAX(BZ37:CE37)&gt;=$B$22,1,0))</f>
        <v>0</v>
      </c>
      <c r="CF77" s="387" t="n">
        <f aca="false">IF(80&lt;5,0,IF(MAX(CA37:CF37)&gt;=$B$22,1,0))</f>
        <v>0</v>
      </c>
      <c r="CG77" s="387" t="n">
        <f aca="false">IF(81&lt;5,0,IF(MAX(CB37:CG37)&gt;=$B$22,1,0))</f>
        <v>0</v>
      </c>
      <c r="CH77" s="387" t="n">
        <f aca="false">IF(82&lt;5,0,IF(MAX(CC37:CH37)&gt;=$B$22,1,0))</f>
        <v>0</v>
      </c>
      <c r="CI77" s="387" t="n">
        <f aca="false">IF(83&lt;5,0,IF(MAX(CD37:CI37)&gt;=$B$22,1,0))</f>
        <v>0</v>
      </c>
      <c r="CJ77" s="387" t="n">
        <f aca="false">IF(84&lt;5,0,IF(MAX(CE37:CJ37)&gt;=$B$22,1,0))</f>
        <v>0</v>
      </c>
      <c r="CK77" s="387" t="n">
        <f aca="false">IF(85&lt;5,0,IF(MAX(CF37:CK37)&gt;=$B$22,1,0))</f>
        <v>0</v>
      </c>
      <c r="CL77" s="387" t="n">
        <f aca="false">IF(86&lt;5,0,IF(MAX(CG37:CL37)&gt;=$B$22,1,0))</f>
        <v>0</v>
      </c>
      <c r="CM77" s="387" t="n">
        <f aca="false">IF(87&lt;5,0,IF(MAX(CH37:CM37)&gt;=$B$22,1,0))</f>
        <v>0</v>
      </c>
      <c r="CN77" s="387" t="n">
        <f aca="false">IF(88&lt;5,0,IF(MAX(CI37:CN37)&gt;=$B$22,1,0))</f>
        <v>0</v>
      </c>
      <c r="CO77" s="387" t="n">
        <f aca="false">IF(89&lt;5,0,IF(MAX(CJ37:CO37)&gt;=$B$22,1,0))</f>
        <v>0</v>
      </c>
      <c r="CP77" s="387" t="n">
        <f aca="false">IF(90&lt;5,0,IF(MAX(CK37:CP37)&gt;=$B$22,1,0))</f>
        <v>0</v>
      </c>
      <c r="CQ77" s="387" t="n">
        <f aca="false">IF(91&lt;5,0,IF(MAX(CL37:CQ37)&gt;=$B$22,1,0))</f>
        <v>0</v>
      </c>
      <c r="CR77" s="387" t="n">
        <f aca="false">IF(92&lt;5,0,IF(MAX(CM37:CR37)&gt;=$B$22,1,0))</f>
        <v>0</v>
      </c>
      <c r="CS77" s="387" t="n">
        <f aca="false">IF(93&lt;5,0,IF(MAX(CN37:CS37)&gt;=$B$22,1,0))</f>
        <v>0</v>
      </c>
      <c r="CT77" s="387" t="n">
        <f aca="false">IF(94&lt;5,0,IF(MAX(CO37:CT37)&gt;=$B$22,1,0))</f>
        <v>0</v>
      </c>
      <c r="CU77" s="387" t="n">
        <f aca="false">IF(95&lt;5,0,IF(MAX(CP37:CU37)&gt;=$B$22,1,0))</f>
        <v>0</v>
      </c>
      <c r="CV77" s="387" t="n">
        <f aca="false">IF(96&lt;5,0,IF(MAX(CQ37:CV37)&gt;=$B$22,1,0))</f>
        <v>0</v>
      </c>
      <c r="CW77" s="387" t="n">
        <f aca="false">IF(97&lt;5,0,IF(MAX(CR37:CW37)&gt;=$B$22,1,0))</f>
        <v>0</v>
      </c>
      <c r="CX77" s="387" t="n">
        <f aca="false">IF(98&lt;5,0,IF(MAX(CS37:CX37)&gt;=$B$22,1,0))</f>
        <v>0</v>
      </c>
      <c r="CY77" s="387" t="n">
        <f aca="false">IF(99&lt;5,0,IF(MAX(CT37:CY37)&gt;=$B$22,1,0))</f>
        <v>0</v>
      </c>
      <c r="CZ77" s="387" t="n">
        <f aca="false">IF(100&lt;5,0,IF(MAX(CU37:CZ37)&gt;=$B$22,1,0))</f>
        <v>0</v>
      </c>
      <c r="DA77" s="387" t="n">
        <f aca="false">IF(101&lt;5,0,IF(MAX(CV37:DA37)&gt;=$B$22,1,0))</f>
        <v>0</v>
      </c>
      <c r="DB77" s="387" t="n">
        <f aca="false">IF(102&lt;5,0,IF(MAX(CW37:DB37)&gt;=$B$22,1,0))</f>
        <v>0</v>
      </c>
      <c r="DC77" s="387" t="n">
        <f aca="false">IF(103&lt;5,0,IF(MAX(CX37:DC37)&gt;=$B$22,1,0))</f>
        <v>0</v>
      </c>
      <c r="DD77" s="387" t="n">
        <f aca="false">IF(104&lt;5,0,IF(MAX(CY37:DD37)&gt;=$B$22,1,0))</f>
        <v>0</v>
      </c>
      <c r="DE77" s="387" t="n">
        <f aca="false">IF(105&lt;5,0,IF(MAX(CZ37:DE37)&gt;=$B$22,1,0))</f>
        <v>0</v>
      </c>
    </row>
    <row r="78" customFormat="false" ht="13.5" hidden="false" customHeight="true" outlineLevel="0" collapsed="false">
      <c r="A78" s="110" t="s">
        <v>1410</v>
      </c>
      <c r="B78" s="213" t="n">
        <f aca="false">$B$30</f>
        <v>80000</v>
      </c>
      <c r="E78" s="387" t="n">
        <f aca="false">IF(1&lt;5,0,IF(MAX(E37:E37)&gt;=$B$23,1,0))</f>
        <v>0</v>
      </c>
      <c r="F78" s="387" t="n">
        <f aca="false">IF(2&lt;5,0,IF(MAX(E37:F37)&gt;=$B$23,1,0))</f>
        <v>0</v>
      </c>
      <c r="G78" s="387" t="n">
        <f aca="false">IF(3&lt;5,0,IF(MAX(E37:G37)&gt;=$B$23,1,0))</f>
        <v>0</v>
      </c>
      <c r="H78" s="387" t="n">
        <f aca="false">IF(4&lt;5,0,IF(MAX(E37:H37)&gt;=$B$23,1,0))</f>
        <v>0</v>
      </c>
      <c r="I78" s="387" t="n">
        <f aca="false">IF(5&lt;5,0,IF(MAX(E37:I37)&gt;=$B$23,1,0))</f>
        <v>0</v>
      </c>
      <c r="J78" s="387" t="n">
        <f aca="false">IF(6&lt;5,0,IF(MAX(E37:J37)&gt;=$B$23,1,0))</f>
        <v>0</v>
      </c>
      <c r="K78" s="387" t="n">
        <f aca="false">IF(7&lt;5,0,IF(MAX(F37:K37)&gt;=$B$23,1,0))</f>
        <v>0</v>
      </c>
      <c r="L78" s="387" t="n">
        <f aca="false">IF(8&lt;5,0,IF(MAX(G37:L37)&gt;=$B$23,1,0))</f>
        <v>0</v>
      </c>
      <c r="M78" s="387" t="n">
        <f aca="false">IF(9&lt;5,0,IF(MAX(H37:M37)&gt;=$B$23,1,0))</f>
        <v>0</v>
      </c>
      <c r="N78" s="387" t="n">
        <f aca="false">IF(10&lt;5,0,IF(MAX(I37:N37)&gt;=$B$23,1,0))</f>
        <v>0</v>
      </c>
      <c r="O78" s="387" t="n">
        <f aca="false">IF(11&lt;5,0,IF(MAX(J37:O37)&gt;=$B$23,1,0))</f>
        <v>0</v>
      </c>
      <c r="P78" s="387" t="n">
        <f aca="false">IF(12&lt;5,0,IF(MAX(K37:P37)&gt;=$B$23,1,0))</f>
        <v>0</v>
      </c>
      <c r="Q78" s="387" t="n">
        <f aca="false">IF(13&lt;5,0,IF(MAX(L37:Q37)&gt;=$B$23,1,0))</f>
        <v>0</v>
      </c>
      <c r="R78" s="387" t="n">
        <f aca="false">IF(14&lt;5,0,IF(MAX(M37:R37)&gt;=$B$23,1,0))</f>
        <v>1</v>
      </c>
      <c r="S78" s="387" t="n">
        <f aca="false">IF(15&lt;5,0,IF(MAX(N37:S37)&gt;=$B$23,1,0))</f>
        <v>1</v>
      </c>
      <c r="T78" s="387" t="n">
        <f aca="false">IF(16&lt;5,0,IF(MAX(O37:T37)&gt;=$B$23,1,0))</f>
        <v>1</v>
      </c>
      <c r="U78" s="387" t="n">
        <f aca="false">IF(17&lt;5,0,IF(MAX(P37:U37)&gt;=$B$23,1,0))</f>
        <v>1</v>
      </c>
      <c r="V78" s="387" t="n">
        <f aca="false">IF(18&lt;5,0,IF(MAX(Q37:V37)&gt;=$B$23,1,0))</f>
        <v>1</v>
      </c>
      <c r="W78" s="387" t="n">
        <f aca="false">IF(19&lt;5,0,IF(MAX(R37:W37)&gt;=$B$23,1,0))</f>
        <v>1</v>
      </c>
      <c r="X78" s="387" t="n">
        <f aca="false">IF(20&lt;5,0,IF(MAX(S37:X37)&gt;=$B$23,1,0))</f>
        <v>1</v>
      </c>
      <c r="Y78" s="387" t="n">
        <f aca="false">IF(21&lt;5,0,IF(MAX(T37:Y37)&gt;=$B$23,1,0))</f>
        <v>1</v>
      </c>
      <c r="Z78" s="387" t="n">
        <f aca="false">IF(22&lt;5,0,IF(MAX(U37:Z37)&gt;=$B$23,1,0))</f>
        <v>1</v>
      </c>
      <c r="AA78" s="387" t="n">
        <f aca="false">IF(23&lt;5,0,IF(MAX(V37:AA37)&gt;=$B$23,1,0))</f>
        <v>1</v>
      </c>
      <c r="AB78" s="387" t="n">
        <f aca="false">IF(24&lt;5,0,IF(MAX(W37:AB37)&gt;=$B$23,1,0))</f>
        <v>0</v>
      </c>
      <c r="AC78" s="387" t="n">
        <f aca="false">IF(25&lt;5,0,IF(MAX(X37:AC37)&gt;=$B$23,1,0))</f>
        <v>0</v>
      </c>
      <c r="AD78" s="387" t="n">
        <f aca="false">IF(26&lt;5,0,IF(MAX(Y37:AD37)&gt;=$B$23,1,0))</f>
        <v>0</v>
      </c>
      <c r="AE78" s="387" t="n">
        <f aca="false">IF(27&lt;5,0,IF(MAX(Z37:AE37)&gt;=$B$23,1,0))</f>
        <v>0</v>
      </c>
      <c r="AF78" s="387" t="n">
        <f aca="false">IF(28&lt;5,0,IF(MAX(AA37:AF37)&gt;=$B$23,1,0))</f>
        <v>0</v>
      </c>
      <c r="AG78" s="387" t="n">
        <f aca="false">IF(29&lt;5,0,IF(MAX(AB37:AG37)&gt;=$B$23,1,0))</f>
        <v>0</v>
      </c>
      <c r="AH78" s="387" t="n">
        <f aca="false">IF(30&lt;5,0,IF(MAX(AC37:AH37)&gt;=$B$23,1,0))</f>
        <v>0</v>
      </c>
      <c r="AI78" s="387" t="n">
        <f aca="false">IF(31&lt;5,0,IF(MAX(AD37:AI37)&gt;=$B$23,1,0))</f>
        <v>0</v>
      </c>
      <c r="AJ78" s="387" t="n">
        <f aca="false">IF(32&lt;5,0,IF(MAX(AE37:AJ37)&gt;=$B$23,1,0))</f>
        <v>0</v>
      </c>
      <c r="AK78" s="387" t="n">
        <f aca="false">IF(33&lt;5,0,IF(MAX(AF37:AK37)&gt;=$B$23,1,0))</f>
        <v>0</v>
      </c>
      <c r="AL78" s="387" t="n">
        <f aca="false">IF(34&lt;5,0,IF(MAX(AG37:AL37)&gt;=$B$23,1,0))</f>
        <v>0</v>
      </c>
      <c r="AM78" s="387" t="n">
        <f aca="false">IF(35&lt;5,0,IF(MAX(AH37:AM37)&gt;=$B$23,1,0))</f>
        <v>0</v>
      </c>
      <c r="AN78" s="387" t="n">
        <f aca="false">IF(36&lt;5,0,IF(MAX(AI37:AN37)&gt;=$B$23,1,0))</f>
        <v>0</v>
      </c>
      <c r="AO78" s="387" t="n">
        <f aca="false">IF(37&lt;5,0,IF(MAX(AJ37:AO37)&gt;=$B$23,1,0))</f>
        <v>0</v>
      </c>
      <c r="AP78" s="387" t="n">
        <f aca="false">IF(38&lt;5,0,IF(MAX(AK37:AP37)&gt;=$B$23,1,0))</f>
        <v>0</v>
      </c>
      <c r="AQ78" s="387" t="n">
        <f aca="false">IF(39&lt;5,0,IF(MAX(AL37:AQ37)&gt;=$B$23,1,0))</f>
        <v>0</v>
      </c>
      <c r="AR78" s="387" t="n">
        <f aca="false">IF(40&lt;5,0,IF(MAX(AM37:AR37)&gt;=$B$23,1,0))</f>
        <v>0</v>
      </c>
      <c r="AS78" s="387" t="n">
        <f aca="false">IF(41&lt;5,0,IF(MAX(AN37:AS37)&gt;=$B$23,1,0))</f>
        <v>0</v>
      </c>
      <c r="AT78" s="387" t="n">
        <f aca="false">IF(42&lt;5,0,IF(MAX(AO37:AT37)&gt;=$B$23,1,0))</f>
        <v>0</v>
      </c>
      <c r="AU78" s="387" t="n">
        <f aca="false">IF(43&lt;5,0,IF(MAX(AP37:AU37)&gt;=$B$23,1,0))</f>
        <v>0</v>
      </c>
      <c r="AV78" s="387" t="n">
        <f aca="false">IF(44&lt;5,0,IF(MAX(AQ37:AV37)&gt;=$B$23,1,0))</f>
        <v>0</v>
      </c>
      <c r="AW78" s="387" t="n">
        <f aca="false">IF(45&lt;5,0,IF(MAX(AR37:AW37)&gt;=$B$23,1,0))</f>
        <v>0</v>
      </c>
      <c r="AX78" s="387" t="n">
        <f aca="false">IF(46&lt;5,0,IF(MAX(AS37:AX37)&gt;=$B$23,1,0))</f>
        <v>0</v>
      </c>
      <c r="AY78" s="387" t="n">
        <f aca="false">IF(47&lt;5,0,IF(MAX(AT37:AY37)&gt;=$B$23,1,0))</f>
        <v>0</v>
      </c>
      <c r="AZ78" s="387" t="n">
        <f aca="false">IF(48&lt;5,0,IF(MAX(AU37:AZ37)&gt;=$B$23,1,0))</f>
        <v>0</v>
      </c>
      <c r="BA78" s="387" t="n">
        <f aca="false">IF(49&lt;5,0,IF(MAX(AV37:BA37)&gt;=$B$23,1,0))</f>
        <v>0</v>
      </c>
      <c r="BB78" s="387" t="n">
        <f aca="false">IF(50&lt;5,0,IF(MAX(AW37:BB37)&gt;=$B$23,1,0))</f>
        <v>0</v>
      </c>
      <c r="BC78" s="387" t="n">
        <f aca="false">IF(51&lt;5,0,IF(MAX(AX37:BC37)&gt;=$B$23,1,0))</f>
        <v>0</v>
      </c>
      <c r="BD78" s="387" t="n">
        <f aca="false">IF(52&lt;5,0,IF(MAX(AY37:BD37)&gt;=$B$23,1,0))</f>
        <v>0</v>
      </c>
      <c r="BE78" s="387" t="n">
        <f aca="false">IF(53&lt;5,0,IF(MAX(AZ37:BE37)&gt;=$B$23,1,0))</f>
        <v>0</v>
      </c>
      <c r="BF78" s="387" t="n">
        <f aca="false">IF(54&lt;5,0,IF(MAX(BA37:BF37)&gt;=$B$23,1,0))</f>
        <v>0</v>
      </c>
      <c r="BG78" s="387" t="n">
        <f aca="false">IF(55&lt;5,0,IF(MAX(BB37:BG37)&gt;=$B$23,1,0))</f>
        <v>0</v>
      </c>
      <c r="BH78" s="387" t="n">
        <f aca="false">IF(56&lt;5,0,IF(MAX(BC37:BH37)&gt;=$B$23,1,0))</f>
        <v>0</v>
      </c>
      <c r="BI78" s="387" t="n">
        <f aca="false">IF(57&lt;5,0,IF(MAX(BD37:BI37)&gt;=$B$23,1,0))</f>
        <v>0</v>
      </c>
      <c r="BJ78" s="387" t="n">
        <f aca="false">IF(58&lt;5,0,IF(MAX(BE37:BJ37)&gt;=$B$23,1,0))</f>
        <v>0</v>
      </c>
      <c r="BK78" s="387" t="n">
        <f aca="false">IF(59&lt;5,0,IF(MAX(BF37:BK37)&gt;=$B$23,1,0))</f>
        <v>0</v>
      </c>
      <c r="BL78" s="387" t="n">
        <f aca="false">IF(60&lt;5,0,IF(MAX(BG37:BL37)&gt;=$B$23,1,0))</f>
        <v>0</v>
      </c>
      <c r="BM78" s="387" t="n">
        <f aca="false">IF(61&lt;5,0,IF(MAX(BH37:BM37)&gt;=$B$23,1,0))</f>
        <v>0</v>
      </c>
      <c r="BN78" s="387" t="n">
        <f aca="false">IF(62&lt;5,0,IF(MAX(BI37:BN37)&gt;=$B$23,1,0))</f>
        <v>0</v>
      </c>
      <c r="BO78" s="387" t="n">
        <f aca="false">IF(63&lt;5,0,IF(MAX(BJ37:BO37)&gt;=$B$23,1,0))</f>
        <v>0</v>
      </c>
      <c r="BP78" s="387" t="n">
        <f aca="false">IF(64&lt;5,0,IF(MAX(BK37:BP37)&gt;=$B$23,1,0))</f>
        <v>0</v>
      </c>
      <c r="BQ78" s="387" t="n">
        <f aca="false">IF(65&lt;5,0,IF(MAX(BL37:BQ37)&gt;=$B$23,1,0))</f>
        <v>0</v>
      </c>
      <c r="BR78" s="387" t="n">
        <f aca="false">IF(66&lt;5,0,IF(MAX(BM37:BR37)&gt;=$B$23,1,0))</f>
        <v>0</v>
      </c>
      <c r="BS78" s="387" t="n">
        <f aca="false">IF(67&lt;5,0,IF(MAX(BN37:BS37)&gt;=$B$23,1,0))</f>
        <v>0</v>
      </c>
      <c r="BT78" s="387" t="n">
        <f aca="false">IF(68&lt;5,0,IF(MAX(BO37:BT37)&gt;=$B$23,1,0))</f>
        <v>0</v>
      </c>
      <c r="BU78" s="387" t="n">
        <f aca="false">IF(69&lt;5,0,IF(MAX(BP37:BU37)&gt;=$B$23,1,0))</f>
        <v>0</v>
      </c>
      <c r="BV78" s="387" t="n">
        <f aca="false">IF(70&lt;5,0,IF(MAX(BQ37:BV37)&gt;=$B$23,1,0))</f>
        <v>0</v>
      </c>
      <c r="BW78" s="387" t="n">
        <f aca="false">IF(71&lt;5,0,IF(MAX(BR37:BW37)&gt;=$B$23,1,0))</f>
        <v>0</v>
      </c>
      <c r="BX78" s="387" t="n">
        <f aca="false">IF(72&lt;5,0,IF(MAX(BS37:BX37)&gt;=$B$23,1,0))</f>
        <v>0</v>
      </c>
      <c r="BY78" s="387" t="n">
        <f aca="false">IF(73&lt;5,0,IF(MAX(BT37:BY37)&gt;=$B$23,1,0))</f>
        <v>0</v>
      </c>
      <c r="BZ78" s="387" t="n">
        <f aca="false">IF(74&lt;5,0,IF(MAX(BU37:BZ37)&gt;=$B$23,1,0))</f>
        <v>0</v>
      </c>
      <c r="CA78" s="387" t="n">
        <f aca="false">IF(75&lt;5,0,IF(MAX(BV37:CA37)&gt;=$B$23,1,0))</f>
        <v>0</v>
      </c>
      <c r="CB78" s="387" t="n">
        <f aca="false">IF(76&lt;5,0,IF(MAX(BW37:CB37)&gt;=$B$23,1,0))</f>
        <v>0</v>
      </c>
      <c r="CC78" s="387" t="n">
        <f aca="false">IF(77&lt;5,0,IF(MAX(BX37:CC37)&gt;=$B$23,1,0))</f>
        <v>0</v>
      </c>
      <c r="CD78" s="387" t="n">
        <f aca="false">IF(78&lt;5,0,IF(MAX(BY37:CD37)&gt;=$B$23,1,0))</f>
        <v>0</v>
      </c>
      <c r="CE78" s="387" t="n">
        <f aca="false">IF(79&lt;5,0,IF(MAX(BZ37:CE37)&gt;=$B$23,1,0))</f>
        <v>0</v>
      </c>
      <c r="CF78" s="387" t="n">
        <f aca="false">IF(80&lt;5,0,IF(MAX(CA37:CF37)&gt;=$B$23,1,0))</f>
        <v>0</v>
      </c>
      <c r="CG78" s="387" t="n">
        <f aca="false">IF(81&lt;5,0,IF(MAX(CB37:CG37)&gt;=$B$23,1,0))</f>
        <v>0</v>
      </c>
      <c r="CH78" s="387" t="n">
        <f aca="false">IF(82&lt;5,0,IF(MAX(CC37:CH37)&gt;=$B$23,1,0))</f>
        <v>0</v>
      </c>
      <c r="CI78" s="387" t="n">
        <f aca="false">IF(83&lt;5,0,IF(MAX(CD37:CI37)&gt;=$B$23,1,0))</f>
        <v>0</v>
      </c>
      <c r="CJ78" s="387" t="n">
        <f aca="false">IF(84&lt;5,0,IF(MAX(CE37:CJ37)&gt;=$B$23,1,0))</f>
        <v>0</v>
      </c>
      <c r="CK78" s="387" t="n">
        <f aca="false">IF(85&lt;5,0,IF(MAX(CF37:CK37)&gt;=$B$23,1,0))</f>
        <v>0</v>
      </c>
      <c r="CL78" s="387" t="n">
        <f aca="false">IF(86&lt;5,0,IF(MAX(CG37:CL37)&gt;=$B$23,1,0))</f>
        <v>0</v>
      </c>
      <c r="CM78" s="387" t="n">
        <f aca="false">IF(87&lt;5,0,IF(MAX(CH37:CM37)&gt;=$B$23,1,0))</f>
        <v>0</v>
      </c>
      <c r="CN78" s="387" t="n">
        <f aca="false">IF(88&lt;5,0,IF(MAX(CI37:CN37)&gt;=$B$23,1,0))</f>
        <v>0</v>
      </c>
      <c r="CO78" s="387" t="n">
        <f aca="false">IF(89&lt;5,0,IF(MAX(CJ37:CO37)&gt;=$B$23,1,0))</f>
        <v>0</v>
      </c>
      <c r="CP78" s="387" t="n">
        <f aca="false">IF(90&lt;5,0,IF(MAX(CK37:CP37)&gt;=$B$23,1,0))</f>
        <v>0</v>
      </c>
      <c r="CQ78" s="387" t="n">
        <f aca="false">IF(91&lt;5,0,IF(MAX(CL37:CQ37)&gt;=$B$23,1,0))</f>
        <v>0</v>
      </c>
      <c r="CR78" s="387" t="n">
        <f aca="false">IF(92&lt;5,0,IF(MAX(CM37:CR37)&gt;=$B$23,1,0))</f>
        <v>0</v>
      </c>
      <c r="CS78" s="387" t="n">
        <f aca="false">IF(93&lt;5,0,IF(MAX(CN37:CS37)&gt;=$B$23,1,0))</f>
        <v>0</v>
      </c>
      <c r="CT78" s="387" t="n">
        <f aca="false">IF(94&lt;5,0,IF(MAX(CO37:CT37)&gt;=$B$23,1,0))</f>
        <v>0</v>
      </c>
      <c r="CU78" s="387" t="n">
        <f aca="false">IF(95&lt;5,0,IF(MAX(CP37:CU37)&gt;=$B$23,1,0))</f>
        <v>0</v>
      </c>
      <c r="CV78" s="387" t="n">
        <f aca="false">IF(96&lt;5,0,IF(MAX(CQ37:CV37)&gt;=$B$23,1,0))</f>
        <v>0</v>
      </c>
      <c r="CW78" s="387" t="n">
        <f aca="false">IF(97&lt;5,0,IF(MAX(CR37:CW37)&gt;=$B$23,1,0))</f>
        <v>0</v>
      </c>
      <c r="CX78" s="387" t="n">
        <f aca="false">IF(98&lt;5,0,IF(MAX(CS37:CX37)&gt;=$B$23,1,0))</f>
        <v>0</v>
      </c>
      <c r="CY78" s="387" t="n">
        <f aca="false">IF(99&lt;5,0,IF(MAX(CT37:CY37)&gt;=$B$23,1,0))</f>
        <v>0</v>
      </c>
      <c r="CZ78" s="387" t="n">
        <f aca="false">IF(100&lt;5,0,IF(MAX(CU37:CZ37)&gt;=$B$23,1,0))</f>
        <v>0</v>
      </c>
      <c r="DA78" s="387" t="n">
        <f aca="false">IF(101&lt;5,0,IF(MAX(CV37:DA37)&gt;=$B$23,1,0))</f>
        <v>0</v>
      </c>
      <c r="DB78" s="387" t="n">
        <f aca="false">IF(102&lt;5,0,IF(MAX(CW37:DB37)&gt;=$B$23,1,0))</f>
        <v>0</v>
      </c>
      <c r="DC78" s="387" t="n">
        <f aca="false">IF(103&lt;5,0,IF(MAX(CX37:DC37)&gt;=$B$23,1,0))</f>
        <v>0</v>
      </c>
      <c r="DD78" s="387" t="n">
        <f aca="false">IF(104&lt;5,0,IF(MAX(CY37:DD37)&gt;=$B$23,1,0))</f>
        <v>0</v>
      </c>
      <c r="DE78" s="387" t="n">
        <f aca="false">IF(105&lt;5,0,IF(MAX(CZ37:DE37)&gt;=$B$23,1,0))</f>
        <v>0</v>
      </c>
    </row>
    <row r="80" customFormat="false" ht="13.5" hidden="false" customHeight="true" outlineLevel="0" collapsed="false">
      <c r="A80" s="211" t="s">
        <v>1411</v>
      </c>
      <c r="B80" s="212"/>
      <c r="C80" s="212"/>
      <c r="D80" s="212"/>
      <c r="E80" s="212"/>
      <c r="F80" s="212"/>
    </row>
    <row r="81" customFormat="false" ht="13.5" hidden="false" customHeight="true" outlineLevel="0" collapsed="false">
      <c r="A81" s="110" t="s">
        <v>1412</v>
      </c>
      <c r="E81" s="388" t="n">
        <f aca="false">(SUMPRODUCT($B$49:$B$58,E49:E58)+SUMPRODUCT($B$61:$B$68,E61:E68)+SUMPRODUCT($B$71:$B$74,E71:E74)+SUMPRODUCT($B$77:$B$78,E77:E78)+SUMPRODUCT($B$99:$B$104,E99:E104))/12</f>
        <v>0</v>
      </c>
      <c r="F81" s="388" t="n">
        <f aca="false">(SUMPRODUCT($B$49:$B$58,F49:F58)+SUMPRODUCT($B$61:$B$68,F61:F68)+SUMPRODUCT($B$71:$B$74,F71:F74)+SUMPRODUCT($B$77:$B$78,F77:F78)+SUMPRODUCT($B$99:$B$104,F99:F104))/12</f>
        <v>0</v>
      </c>
      <c r="G81" s="388" t="n">
        <f aca="false">(SUMPRODUCT($B$49:$B$58,G49:G58)+SUMPRODUCT($B$61:$B$68,G61:G68)+SUMPRODUCT($B$71:$B$74,G71:G74)+SUMPRODUCT($B$77:$B$78,G77:G78)+SUMPRODUCT($B$99:$B$104,G99:G104))/12</f>
        <v>0</v>
      </c>
      <c r="H81" s="388" t="n">
        <f aca="false">(SUMPRODUCT($B$49:$B$58,H49:H58)+SUMPRODUCT($B$61:$B$68,H61:H68)+SUMPRODUCT($B$71:$B$74,H71:H74)+SUMPRODUCT($B$77:$B$78,H77:H78)+SUMPRODUCT($B$99:$B$104,H99:H104))/12</f>
        <v>0</v>
      </c>
      <c r="I81" s="388" t="n">
        <f aca="false">(SUMPRODUCT($B$49:$B$58,I49:I58)+SUMPRODUCT($B$61:$B$68,I61:I68)+SUMPRODUCT($B$71:$B$74,I71:I74)+SUMPRODUCT($B$77:$B$78,I77:I78)+SUMPRODUCT($B$99:$B$104,I99:I104))/12</f>
        <v>10833.3333333333</v>
      </c>
      <c r="J81" s="388" t="n">
        <f aca="false">(SUMPRODUCT($B$49:$B$58,J49:J58)+SUMPRODUCT($B$61:$B$68,J61:J68)+SUMPRODUCT($B$71:$B$74,J71:J74)+SUMPRODUCT($B$77:$B$78,J77:J78)+SUMPRODUCT($B$99:$B$104,J99:J104))/12</f>
        <v>0</v>
      </c>
      <c r="K81" s="388" t="n">
        <f aca="false">(SUMPRODUCT($B$49:$B$58,K49:K58)+SUMPRODUCT($B$61:$B$68,K61:K68)+SUMPRODUCT($B$71:$B$74,K71:K74)+SUMPRODUCT($B$77:$B$78,K77:K78)+SUMPRODUCT($B$99:$B$104,K99:K104))/12</f>
        <v>0</v>
      </c>
      <c r="L81" s="388" t="n">
        <f aca="false">(SUMPRODUCT($B$49:$B$58,L49:L58)+SUMPRODUCT($B$61:$B$68,L61:L68)+SUMPRODUCT($B$71:$B$74,L71:L74)+SUMPRODUCT($B$77:$B$78,L77:L78)+SUMPRODUCT($B$99:$B$104,L99:L104))/12</f>
        <v>0</v>
      </c>
      <c r="M81" s="388" t="n">
        <f aca="false">(SUMPRODUCT($B$49:$B$58,M49:M58)+SUMPRODUCT($B$61:$B$68,M61:M68)+SUMPRODUCT($B$71:$B$74,M71:M74)+SUMPRODUCT($B$77:$B$78,M77:M78)+SUMPRODUCT($B$99:$B$104,M99:M104))/12</f>
        <v>23750</v>
      </c>
      <c r="N81" s="388" t="n">
        <f aca="false">(SUMPRODUCT($B$49:$B$58,N49:N58)+SUMPRODUCT($B$61:$B$68,N61:N68)+SUMPRODUCT($B$71:$B$74,N71:N74)+SUMPRODUCT($B$77:$B$78,N77:N78)+SUMPRODUCT($B$99:$B$104,N99:N104))/12</f>
        <v>47916.6666666667</v>
      </c>
      <c r="O81" s="388" t="n">
        <f aca="false">(SUMPRODUCT($B$49:$B$58,O49:O58)+SUMPRODUCT($B$61:$B$68,O61:O68)+SUMPRODUCT($B$71:$B$74,O71:O74)+SUMPRODUCT($B$77:$B$78,O77:O78)+SUMPRODUCT($B$99:$B$104,O99:O104))/12</f>
        <v>93333.3333333333</v>
      </c>
      <c r="P81" s="388" t="n">
        <f aca="false">(SUMPRODUCT($B$49:$B$58,P49:P58)+SUMPRODUCT($B$61:$B$68,P61:P68)+SUMPRODUCT($B$71:$B$74,P71:P74)+SUMPRODUCT($B$77:$B$78,P77:P78)+SUMPRODUCT($B$99:$B$104,P99:P104))/12</f>
        <v>93333.3333333333</v>
      </c>
      <c r="Q81" s="388" t="n">
        <f aca="false">(SUMPRODUCT($B$49:$B$58,Q49:Q58)+SUMPRODUCT($B$61:$B$68,Q61:Q68)+SUMPRODUCT($B$71:$B$74,Q71:Q74)+SUMPRODUCT($B$77:$B$78,Q77:Q78)+SUMPRODUCT($B$99:$B$104,Q99:Q104))/12</f>
        <v>117083.333333333</v>
      </c>
      <c r="R81" s="388" t="n">
        <f aca="false">(SUMPRODUCT($B$49:$B$58,R49:R58)+SUMPRODUCT($B$61:$B$68,R61:R68)+SUMPRODUCT($B$71:$B$74,R71:R74)+SUMPRODUCT($B$77:$B$78,R77:R78)+SUMPRODUCT($B$99:$B$104,R99:R104))/12</f>
        <v>147916.666666667</v>
      </c>
      <c r="S81" s="388" t="n">
        <f aca="false">(SUMPRODUCT($B$49:$B$58,S49:S58)+SUMPRODUCT($B$61:$B$68,S61:S68)+SUMPRODUCT($B$71:$B$74,S71:S74)+SUMPRODUCT($B$77:$B$78,S77:S78)+SUMPRODUCT($B$99:$B$104,S99:S104))/12</f>
        <v>158333.333333333</v>
      </c>
      <c r="T81" s="388" t="n">
        <f aca="false">(SUMPRODUCT($B$49:$B$58,T49:T58)+SUMPRODUCT($B$61:$B$68,T61:T68)+SUMPRODUCT($B$71:$B$74,T71:T74)+SUMPRODUCT($B$77:$B$78,T77:T78)+SUMPRODUCT($B$99:$B$104,T99:T104))/12</f>
        <v>168750</v>
      </c>
      <c r="U81" s="388" t="n">
        <f aca="false">(SUMPRODUCT($B$49:$B$58,U49:U58)+SUMPRODUCT($B$61:$B$68,U61:U68)+SUMPRODUCT($B$71:$B$74,U71:U74)+SUMPRODUCT($B$77:$B$78,U77:U78)+SUMPRODUCT($B$99:$B$104,U99:U104))/12</f>
        <v>168750</v>
      </c>
      <c r="V81" s="388" t="n">
        <f aca="false">(SUMPRODUCT($B$49:$B$58,V49:V58)+SUMPRODUCT($B$61:$B$68,V61:V68)+SUMPRODUCT($B$71:$B$74,V71:V74)+SUMPRODUCT($B$77:$B$78,V77:V78)+SUMPRODUCT($B$99:$B$104,V99:V104))/12</f>
        <v>168750</v>
      </c>
      <c r="W81" s="388" t="n">
        <f aca="false">(SUMPRODUCT($B$49:$B$58,W49:W58)+SUMPRODUCT($B$61:$B$68,W61:W68)+SUMPRODUCT($B$71:$B$74,W71:W74)+SUMPRODUCT($B$77:$B$78,W77:W78)+SUMPRODUCT($B$99:$B$104,W99:W104))/12</f>
        <v>168750</v>
      </c>
      <c r="X81" s="388" t="n">
        <f aca="false">(SUMPRODUCT($B$49:$B$58,X49:X58)+SUMPRODUCT($B$61:$B$68,X61:X68)+SUMPRODUCT($B$71:$B$74,X71:X74)+SUMPRODUCT($B$77:$B$78,X77:X78)+SUMPRODUCT($B$99:$B$104,X99:X104))/12</f>
        <v>168750</v>
      </c>
      <c r="Y81" s="388" t="n">
        <f aca="false">(SUMPRODUCT($B$49:$B$58,Y49:Y58)+SUMPRODUCT($B$61:$B$68,Y61:Y68)+SUMPRODUCT($B$71:$B$74,Y71:Y74)+SUMPRODUCT($B$77:$B$78,Y77:Y78)+SUMPRODUCT($B$99:$B$104,Y99:Y104))/12</f>
        <v>168750</v>
      </c>
      <c r="Z81" s="388" t="n">
        <f aca="false">(SUMPRODUCT($B$49:$B$58,Z49:Z58)+SUMPRODUCT($B$61:$B$68,Z61:Z68)+SUMPRODUCT($B$71:$B$74,Z71:Z74)+SUMPRODUCT($B$77:$B$78,Z77:Z78)+SUMPRODUCT($B$99:$B$104,Z99:Z104))/12</f>
        <v>158333.333333333</v>
      </c>
      <c r="AA81" s="388" t="n">
        <f aca="false">(SUMPRODUCT($B$49:$B$58,AA49:AA58)+SUMPRODUCT($B$61:$B$68,AA61:AA68)+SUMPRODUCT($B$71:$B$74,AA71:AA74)+SUMPRODUCT($B$77:$B$78,AA77:AA78)+SUMPRODUCT($B$99:$B$104,AA99:AA104))/12</f>
        <v>158333.333333333</v>
      </c>
      <c r="AB81" s="388" t="n">
        <f aca="false">(SUMPRODUCT($B$49:$B$58,AB49:AB58)+SUMPRODUCT($B$61:$B$68,AB61:AB68)+SUMPRODUCT($B$71:$B$74,AB71:AB74)+SUMPRODUCT($B$77:$B$78,AB77:AB78)+SUMPRODUCT($B$99:$B$104,AB99:AB104))/12</f>
        <v>151666.666666667</v>
      </c>
      <c r="AC81" s="388" t="n">
        <f aca="false">(SUMPRODUCT($B$49:$B$58,AC49:AC58)+SUMPRODUCT($B$61:$B$68,AC61:AC68)+SUMPRODUCT($B$71:$B$74,AC71:AC74)+SUMPRODUCT($B$77:$B$78,AC77:AC78)+SUMPRODUCT($B$99:$B$104,AC99:AC104))/12</f>
        <v>151666.666666667</v>
      </c>
      <c r="AD81" s="388" t="n">
        <f aca="false">(SUMPRODUCT($B$49:$B$58,AD49:AD58)+SUMPRODUCT($B$61:$B$68,AD61:AD68)+SUMPRODUCT($B$71:$B$74,AD71:AD74)+SUMPRODUCT($B$77:$B$78,AD77:AD78)+SUMPRODUCT($B$99:$B$104,AD99:AD104))/12</f>
        <v>127916.666666667</v>
      </c>
      <c r="AE81" s="388" t="n">
        <f aca="false">(SUMPRODUCT($B$49:$B$58,AE49:AE58)+SUMPRODUCT($B$61:$B$68,AE61:AE68)+SUMPRODUCT($B$71:$B$74,AE71:AE74)+SUMPRODUCT($B$77:$B$78,AE77:AE78)+SUMPRODUCT($B$99:$B$104,AE99:AE104))/12</f>
        <v>127916.666666667</v>
      </c>
      <c r="AF81" s="388" t="n">
        <f aca="false">(SUMPRODUCT($B$49:$B$58,AF49:AF58)+SUMPRODUCT($B$61:$B$68,AF61:AF68)+SUMPRODUCT($B$71:$B$74,AF71:AF74)+SUMPRODUCT($B$77:$B$78,AF77:AF78)+SUMPRODUCT($B$99:$B$104,AF99:AF104))/12</f>
        <v>127916.666666667</v>
      </c>
      <c r="AG81" s="388" t="n">
        <f aca="false">(SUMPRODUCT($B$49:$B$58,AG49:AG58)+SUMPRODUCT($B$61:$B$68,AG61:AG68)+SUMPRODUCT($B$71:$B$74,AG71:AG74)+SUMPRODUCT($B$77:$B$78,AG77:AG78)+SUMPRODUCT($B$99:$B$104,AG99:AG104))/12</f>
        <v>127916.666666667</v>
      </c>
      <c r="AH81" s="388" t="n">
        <f aca="false">(SUMPRODUCT($B$49:$B$58,AH49:AH58)+SUMPRODUCT($B$61:$B$68,AH61:AH68)+SUMPRODUCT($B$71:$B$74,AH71:AH74)+SUMPRODUCT($B$77:$B$78,AH77:AH78)+SUMPRODUCT($B$99:$B$104,AH99:AH104))/12</f>
        <v>114583.333333333</v>
      </c>
      <c r="AI81" s="388" t="n">
        <f aca="false">(SUMPRODUCT($B$49:$B$58,AI49:AI58)+SUMPRODUCT($B$61:$B$68,AI61:AI68)+SUMPRODUCT($B$71:$B$74,AI71:AI74)+SUMPRODUCT($B$77:$B$78,AI77:AI78)+SUMPRODUCT($B$99:$B$104,AI99:AI104))/12</f>
        <v>114583.333333333</v>
      </c>
      <c r="AJ81" s="388" t="n">
        <f aca="false">(SUMPRODUCT($B$49:$B$58,AJ49:AJ58)+SUMPRODUCT($B$61:$B$68,AJ61:AJ68)+SUMPRODUCT($B$71:$B$74,AJ71:AJ74)+SUMPRODUCT($B$77:$B$78,AJ77:AJ78)+SUMPRODUCT($B$99:$B$104,AJ99:AJ104))/12</f>
        <v>114583.333333333</v>
      </c>
      <c r="AK81" s="388" t="n">
        <f aca="false">(SUMPRODUCT($B$49:$B$58,AK49:AK58)+SUMPRODUCT($B$61:$B$68,AK61:AK68)+SUMPRODUCT($B$71:$B$74,AK71:AK74)+SUMPRODUCT($B$77:$B$78,AK77:AK78)+SUMPRODUCT($B$99:$B$104,AK99:AK104))/12</f>
        <v>114583.333333333</v>
      </c>
      <c r="AL81" s="388" t="n">
        <f aca="false">(SUMPRODUCT($B$49:$B$58,AL49:AL58)+SUMPRODUCT($B$61:$B$68,AL61:AL68)+SUMPRODUCT($B$71:$B$74,AL71:AL74)+SUMPRODUCT($B$77:$B$78,AL77:AL78)+SUMPRODUCT($B$99:$B$104,AL99:AL104))/12</f>
        <v>107916.666666667</v>
      </c>
      <c r="AM81" s="388" t="n">
        <f aca="false">(SUMPRODUCT($B$49:$B$58,AM49:AM58)+SUMPRODUCT($B$61:$B$68,AM61:AM68)+SUMPRODUCT($B$71:$B$74,AM71:AM74)+SUMPRODUCT($B$77:$B$78,AM77:AM78)+SUMPRODUCT($B$99:$B$104,AM99:AM104))/12</f>
        <v>55416.6666666667</v>
      </c>
      <c r="AN81" s="388" t="n">
        <f aca="false">(SUMPRODUCT($B$49:$B$58,AN49:AN58)+SUMPRODUCT($B$61:$B$68,AN61:AN68)+SUMPRODUCT($B$71:$B$74,AN71:AN74)+SUMPRODUCT($B$77:$B$78,AN77:AN78)+SUMPRODUCT($B$99:$B$104,AN99:AN104))/12</f>
        <v>31666.6666666667</v>
      </c>
      <c r="AO81" s="388" t="n">
        <f aca="false">(SUMPRODUCT($B$49:$B$58,AO49:AO58)+SUMPRODUCT($B$61:$B$68,AO61:AO68)+SUMPRODUCT($B$71:$B$74,AO71:AO74)+SUMPRODUCT($B$77:$B$78,AO77:AO78)+SUMPRODUCT($B$99:$B$104,AO99:AO104))/12</f>
        <v>31666.6666666667</v>
      </c>
      <c r="AP81" s="388" t="n">
        <f aca="false">(SUMPRODUCT($B$49:$B$58,AP49:AP58)+SUMPRODUCT($B$61:$B$68,AP61:AP68)+SUMPRODUCT($B$71:$B$74,AP71:AP74)+SUMPRODUCT($B$77:$B$78,AP77:AP78)+SUMPRODUCT($B$99:$B$104,AP99:AP104))/12</f>
        <v>31666.6666666667</v>
      </c>
      <c r="AQ81" s="388" t="n">
        <f aca="false">(SUMPRODUCT($B$49:$B$58,AQ49:AQ58)+SUMPRODUCT($B$61:$B$68,AQ61:AQ68)+SUMPRODUCT($B$71:$B$74,AQ71:AQ74)+SUMPRODUCT($B$77:$B$78,AQ77:AQ78)+SUMPRODUCT($B$99:$B$104,AQ99:AQ104))/12</f>
        <v>10416.6666666667</v>
      </c>
      <c r="AR81" s="388" t="n">
        <f aca="false">(SUMPRODUCT($B$49:$B$58,AR49:AR58)+SUMPRODUCT($B$61:$B$68,AR61:AR68)+SUMPRODUCT($B$71:$B$74,AR71:AR74)+SUMPRODUCT($B$77:$B$78,AR77:AR78)+SUMPRODUCT($B$99:$B$104,AR99:AR104))/12</f>
        <v>10416.6666666667</v>
      </c>
      <c r="AS81" s="388" t="n">
        <f aca="false">(SUMPRODUCT($B$49:$B$58,AS49:AS58)+SUMPRODUCT($B$61:$B$68,AS61:AS68)+SUMPRODUCT($B$71:$B$74,AS71:AS74)+SUMPRODUCT($B$77:$B$78,AS77:AS78)+SUMPRODUCT($B$99:$B$104,AS99:AS104))/12</f>
        <v>0</v>
      </c>
      <c r="AT81" s="388" t="n">
        <f aca="false">(SUMPRODUCT($B$49:$B$58,AT49:AT58)+SUMPRODUCT($B$61:$B$68,AT61:AT68)+SUMPRODUCT($B$71:$B$74,AT71:AT74)+SUMPRODUCT($B$77:$B$78,AT77:AT78)+SUMPRODUCT($B$99:$B$104,AT99:AT104))/12</f>
        <v>0</v>
      </c>
      <c r="AU81" s="388" t="n">
        <f aca="false">(SUMPRODUCT($B$49:$B$58,AU49:AU58)+SUMPRODUCT($B$61:$B$68,AU61:AU68)+SUMPRODUCT($B$71:$B$74,AU71:AU74)+SUMPRODUCT($B$77:$B$78,AU77:AU78)+SUMPRODUCT($B$99:$B$104,AU99:AU104))/12</f>
        <v>0</v>
      </c>
      <c r="AV81" s="388" t="n">
        <f aca="false">(SUMPRODUCT($B$49:$B$58,AV49:AV58)+SUMPRODUCT($B$61:$B$68,AV61:AV68)+SUMPRODUCT($B$71:$B$74,AV71:AV74)+SUMPRODUCT($B$77:$B$78,AV77:AV78)+SUMPRODUCT($B$99:$B$104,AV99:AV104))/12</f>
        <v>0</v>
      </c>
      <c r="AW81" s="388" t="n">
        <f aca="false">(SUMPRODUCT($B$49:$B$58,AW49:AW58)+SUMPRODUCT($B$61:$B$68,AW61:AW68)+SUMPRODUCT($B$71:$B$74,AW71:AW74)+SUMPRODUCT($B$77:$B$78,AW77:AW78)+SUMPRODUCT($B$99:$B$104,AW99:AW104))/12</f>
        <v>0</v>
      </c>
      <c r="AX81" s="388" t="n">
        <f aca="false">(SUMPRODUCT($B$49:$B$58,AX49:AX58)+SUMPRODUCT($B$61:$B$68,AX61:AX68)+SUMPRODUCT($B$71:$B$74,AX71:AX74)+SUMPRODUCT($B$77:$B$78,AX77:AX78)+SUMPRODUCT($B$99:$B$104,AX99:AX104))/12</f>
        <v>0</v>
      </c>
      <c r="AY81" s="388" t="n">
        <f aca="false">(SUMPRODUCT($B$49:$B$58,AY49:AY58)+SUMPRODUCT($B$61:$B$68,AY61:AY68)+SUMPRODUCT($B$71:$B$74,AY71:AY74)+SUMPRODUCT($B$77:$B$78,AY77:AY78)+SUMPRODUCT($B$99:$B$104,AY99:AY104))/12</f>
        <v>0</v>
      </c>
      <c r="AZ81" s="388" t="n">
        <f aca="false">(SUMPRODUCT($B$49:$B$58,AZ49:AZ58)+SUMPRODUCT($B$61:$B$68,AZ61:AZ68)+SUMPRODUCT($B$71:$B$74,AZ71:AZ74)+SUMPRODUCT($B$77:$B$78,AZ77:AZ78)+SUMPRODUCT($B$99:$B$104,AZ99:AZ104))/12</f>
        <v>0</v>
      </c>
      <c r="BA81" s="388" t="n">
        <f aca="false">(SUMPRODUCT($B$49:$B$58,BA49:BA58)+SUMPRODUCT($B$61:$B$68,BA61:BA68)+SUMPRODUCT($B$71:$B$74,BA71:BA74)+SUMPRODUCT($B$77:$B$78,BA77:BA78)+SUMPRODUCT($B$99:$B$104,BA99:BA104))/12</f>
        <v>0</v>
      </c>
      <c r="BB81" s="388" t="n">
        <f aca="false">(SUMPRODUCT($B$49:$B$58,BB49:BB58)+SUMPRODUCT($B$61:$B$68,BB61:BB68)+SUMPRODUCT($B$71:$B$74,BB71:BB74)+SUMPRODUCT($B$77:$B$78,BB77:BB78)+SUMPRODUCT($B$99:$B$104,BB99:BB104))/12</f>
        <v>0</v>
      </c>
      <c r="BC81" s="388" t="n">
        <f aca="false">(SUMPRODUCT($B$49:$B$58,BC49:BC58)+SUMPRODUCT($B$61:$B$68,BC61:BC68)+SUMPRODUCT($B$71:$B$74,BC71:BC74)+SUMPRODUCT($B$77:$B$78,BC77:BC78)+SUMPRODUCT($B$99:$B$104,BC99:BC104))/12</f>
        <v>0</v>
      </c>
      <c r="BD81" s="388" t="n">
        <f aca="false">(SUMPRODUCT($B$49:$B$58,BD49:BD58)+SUMPRODUCT($B$61:$B$68,BD61:BD68)+SUMPRODUCT($B$71:$B$74,BD71:BD74)+SUMPRODUCT($B$77:$B$78,BD77:BD78)+SUMPRODUCT($B$99:$B$104,BD99:BD104))/12</f>
        <v>0</v>
      </c>
      <c r="BE81" s="388" t="n">
        <f aca="false">(SUMPRODUCT($B$49:$B$58,BE49:BE58)+SUMPRODUCT($B$61:$B$68,BE61:BE68)+SUMPRODUCT($B$71:$B$74,BE71:BE74)+SUMPRODUCT($B$77:$B$78,BE77:BE78)+SUMPRODUCT($B$99:$B$104,BE99:BE104))/12</f>
        <v>0</v>
      </c>
      <c r="BF81" s="388" t="n">
        <f aca="false">(SUMPRODUCT($B$49:$B$58,BF49:BF58)+SUMPRODUCT($B$61:$B$68,BF61:BF68)+SUMPRODUCT($B$71:$B$74,BF71:BF74)+SUMPRODUCT($B$77:$B$78,BF77:BF78)+SUMPRODUCT($B$99:$B$104,BF99:BF104))/12</f>
        <v>0</v>
      </c>
      <c r="BG81" s="388" t="n">
        <f aca="false">(SUMPRODUCT($B$49:$B$58,BG49:BG58)+SUMPRODUCT($B$61:$B$68,BG61:BG68)+SUMPRODUCT($B$71:$B$74,BG71:BG74)+SUMPRODUCT($B$77:$B$78,BG77:BG78)+SUMPRODUCT($B$99:$B$104,BG99:BG104))/12</f>
        <v>0</v>
      </c>
      <c r="BH81" s="388" t="n">
        <f aca="false">(SUMPRODUCT($B$49:$B$58,BH49:BH58)+SUMPRODUCT($B$61:$B$68,BH61:BH68)+SUMPRODUCT($B$71:$B$74,BH71:BH74)+SUMPRODUCT($B$77:$B$78,BH77:BH78)+SUMPRODUCT($B$99:$B$104,BH99:BH104))/12</f>
        <v>0</v>
      </c>
      <c r="BI81" s="388" t="n">
        <f aca="false">(SUMPRODUCT($B$49:$B$58,BI49:BI58)+SUMPRODUCT($B$61:$B$68,BI61:BI68)+SUMPRODUCT($B$71:$B$74,BI71:BI74)+SUMPRODUCT($B$77:$B$78,BI77:BI78)+SUMPRODUCT($B$99:$B$104,BI99:BI104))/12</f>
        <v>0</v>
      </c>
      <c r="BJ81" s="388" t="n">
        <f aca="false">(SUMPRODUCT($B$49:$B$58,BJ49:BJ58)+SUMPRODUCT($B$61:$B$68,BJ61:BJ68)+SUMPRODUCT($B$71:$B$74,BJ71:BJ74)+SUMPRODUCT($B$77:$B$78,BJ77:BJ78)+SUMPRODUCT($B$99:$B$104,BJ99:BJ104))/12</f>
        <v>0</v>
      </c>
      <c r="BK81" s="388" t="n">
        <f aca="false">(SUMPRODUCT($B$49:$B$58,BK49:BK58)+SUMPRODUCT($B$61:$B$68,BK61:BK68)+SUMPRODUCT($B$71:$B$74,BK71:BK74)+SUMPRODUCT($B$77:$B$78,BK77:BK78)+SUMPRODUCT($B$99:$B$104,BK99:BK104))/12</f>
        <v>0</v>
      </c>
      <c r="BL81" s="388" t="n">
        <f aca="false">(SUMPRODUCT($B$49:$B$58,BL49:BL58)+SUMPRODUCT($B$61:$B$68,BL61:BL68)+SUMPRODUCT($B$71:$B$74,BL71:BL74)+SUMPRODUCT($B$77:$B$78,BL77:BL78)+SUMPRODUCT($B$99:$B$104,BL99:BL104))/12</f>
        <v>0</v>
      </c>
      <c r="BM81" s="388" t="n">
        <f aca="false">(SUMPRODUCT($B$49:$B$58,BM49:BM58)+SUMPRODUCT($B$61:$B$68,BM61:BM68)+SUMPRODUCT($B$71:$B$74,BM71:BM74)+SUMPRODUCT($B$77:$B$78,BM77:BM78)+SUMPRODUCT($B$99:$B$104,BM99:BM104))/12</f>
        <v>0</v>
      </c>
      <c r="BN81" s="388" t="n">
        <f aca="false">(SUMPRODUCT($B$49:$B$58,BN49:BN58)+SUMPRODUCT($B$61:$B$68,BN61:BN68)+SUMPRODUCT($B$71:$B$74,BN71:BN74)+SUMPRODUCT($B$77:$B$78,BN77:BN78)+SUMPRODUCT($B$99:$B$104,BN99:BN104))/12</f>
        <v>0</v>
      </c>
      <c r="BO81" s="388" t="n">
        <f aca="false">(SUMPRODUCT($B$49:$B$58,BO49:BO58)+SUMPRODUCT($B$61:$B$68,BO61:BO68)+SUMPRODUCT($B$71:$B$74,BO71:BO74)+SUMPRODUCT($B$77:$B$78,BO77:BO78)+SUMPRODUCT($B$99:$B$104,BO99:BO104))/12</f>
        <v>0</v>
      </c>
      <c r="BP81" s="388" t="n">
        <f aca="false">(SUMPRODUCT($B$49:$B$58,BP49:BP58)+SUMPRODUCT($B$61:$B$68,BP61:BP68)+SUMPRODUCT($B$71:$B$74,BP71:BP74)+SUMPRODUCT($B$77:$B$78,BP77:BP78)+SUMPRODUCT($B$99:$B$104,BP99:BP104))/12</f>
        <v>0</v>
      </c>
      <c r="BQ81" s="388" t="n">
        <f aca="false">(SUMPRODUCT($B$49:$B$58,BQ49:BQ58)+SUMPRODUCT($B$61:$B$68,BQ61:BQ68)+SUMPRODUCT($B$71:$B$74,BQ71:BQ74)+SUMPRODUCT($B$77:$B$78,BQ77:BQ78)+SUMPRODUCT($B$99:$B$104,BQ99:BQ104))/12</f>
        <v>0</v>
      </c>
      <c r="BR81" s="388" t="n">
        <f aca="false">(SUMPRODUCT($B$49:$B$58,BR49:BR58)+SUMPRODUCT($B$61:$B$68,BR61:BR68)+SUMPRODUCT($B$71:$B$74,BR71:BR74)+SUMPRODUCT($B$77:$B$78,BR77:BR78)+SUMPRODUCT($B$99:$B$104,BR99:BR104))/12</f>
        <v>0</v>
      </c>
      <c r="BS81" s="388" t="n">
        <f aca="false">(SUMPRODUCT($B$49:$B$58,BS49:BS58)+SUMPRODUCT($B$61:$B$68,BS61:BS68)+SUMPRODUCT($B$71:$B$74,BS71:BS74)+SUMPRODUCT($B$77:$B$78,BS77:BS78)+SUMPRODUCT($B$99:$B$104,BS99:BS104))/12</f>
        <v>0</v>
      </c>
      <c r="BT81" s="388" t="n">
        <f aca="false">(SUMPRODUCT($B$49:$B$58,BT49:BT58)+SUMPRODUCT($B$61:$B$68,BT61:BT68)+SUMPRODUCT($B$71:$B$74,BT71:BT74)+SUMPRODUCT($B$77:$B$78,BT77:BT78)+SUMPRODUCT($B$99:$B$104,BT99:BT104))/12</f>
        <v>0</v>
      </c>
      <c r="BU81" s="388" t="n">
        <f aca="false">(SUMPRODUCT($B$49:$B$58,BU49:BU58)+SUMPRODUCT($B$61:$B$68,BU61:BU68)+SUMPRODUCT($B$71:$B$74,BU71:BU74)+SUMPRODUCT($B$77:$B$78,BU77:BU78)+SUMPRODUCT($B$99:$B$104,BU99:BU104))/12</f>
        <v>0</v>
      </c>
      <c r="BV81" s="388" t="n">
        <f aca="false">(SUMPRODUCT($B$49:$B$58,BV49:BV58)+SUMPRODUCT($B$61:$B$68,BV61:BV68)+SUMPRODUCT($B$71:$B$74,BV71:BV74)+SUMPRODUCT($B$77:$B$78,BV77:BV78)+SUMPRODUCT($B$99:$B$104,BV99:BV104))/12</f>
        <v>0</v>
      </c>
      <c r="BW81" s="388" t="n">
        <f aca="false">(SUMPRODUCT($B$49:$B$58,BW49:BW58)+SUMPRODUCT($B$61:$B$68,BW61:BW68)+SUMPRODUCT($B$71:$B$74,BW71:BW74)+SUMPRODUCT($B$77:$B$78,BW77:BW78)+SUMPRODUCT($B$99:$B$104,BW99:BW104))/12</f>
        <v>0</v>
      </c>
      <c r="BX81" s="388" t="n">
        <f aca="false">(SUMPRODUCT($B$49:$B$58,BX49:BX58)+SUMPRODUCT($B$61:$B$68,BX61:BX68)+SUMPRODUCT($B$71:$B$74,BX71:BX74)+SUMPRODUCT($B$77:$B$78,BX77:BX78)+SUMPRODUCT($B$99:$B$104,BX99:BX104))/12</f>
        <v>0</v>
      </c>
      <c r="BY81" s="388" t="n">
        <f aca="false">(SUMPRODUCT($B$49:$B$58,BY49:BY58)+SUMPRODUCT($B$61:$B$68,BY61:BY68)+SUMPRODUCT($B$71:$B$74,BY71:BY74)+SUMPRODUCT($B$77:$B$78,BY77:BY78)+SUMPRODUCT($B$99:$B$104,BY99:BY104))/12</f>
        <v>0</v>
      </c>
      <c r="BZ81" s="388" t="n">
        <f aca="false">(SUMPRODUCT($B$49:$B$58,BZ49:BZ58)+SUMPRODUCT($B$61:$B$68,BZ61:BZ68)+SUMPRODUCT($B$71:$B$74,BZ71:BZ74)+SUMPRODUCT($B$77:$B$78,BZ77:BZ78)+SUMPRODUCT($B$99:$B$104,BZ99:BZ104))/12</f>
        <v>0</v>
      </c>
      <c r="CA81" s="388" t="n">
        <f aca="false">(SUMPRODUCT($B$49:$B$58,CA49:CA58)+SUMPRODUCT($B$61:$B$68,CA61:CA68)+SUMPRODUCT($B$71:$B$74,CA71:CA74)+SUMPRODUCT($B$77:$B$78,CA77:CA78)+SUMPRODUCT($B$99:$B$104,CA99:CA104))/12</f>
        <v>0</v>
      </c>
      <c r="CB81" s="388" t="n">
        <f aca="false">(SUMPRODUCT($B$49:$B$58,CB49:CB58)+SUMPRODUCT($B$61:$B$68,CB61:CB68)+SUMPRODUCT($B$71:$B$74,CB71:CB74)+SUMPRODUCT($B$77:$B$78,CB77:CB78)+SUMPRODUCT($B$99:$B$104,CB99:CB104))/12</f>
        <v>0</v>
      </c>
      <c r="CC81" s="388" t="n">
        <f aca="false">(SUMPRODUCT($B$49:$B$58,CC49:CC58)+SUMPRODUCT($B$61:$B$68,CC61:CC68)+SUMPRODUCT($B$71:$B$74,CC71:CC74)+SUMPRODUCT($B$77:$B$78,CC77:CC78)+SUMPRODUCT($B$99:$B$104,CC99:CC104))/12</f>
        <v>0</v>
      </c>
      <c r="CD81" s="388" t="n">
        <f aca="false">(SUMPRODUCT($B$49:$B$58,CD49:CD58)+SUMPRODUCT($B$61:$B$68,CD61:CD68)+SUMPRODUCT($B$71:$B$74,CD71:CD74)+SUMPRODUCT($B$77:$B$78,CD77:CD78)+SUMPRODUCT($B$99:$B$104,CD99:CD104))/12</f>
        <v>0</v>
      </c>
      <c r="CE81" s="388" t="n">
        <f aca="false">(SUMPRODUCT($B$49:$B$58,CE49:CE58)+SUMPRODUCT($B$61:$B$68,CE61:CE68)+SUMPRODUCT($B$71:$B$74,CE71:CE74)+SUMPRODUCT($B$77:$B$78,CE77:CE78)+SUMPRODUCT($B$99:$B$104,CE99:CE104))/12</f>
        <v>0</v>
      </c>
      <c r="CF81" s="388" t="n">
        <f aca="false">(SUMPRODUCT($B$49:$B$58,CF49:CF58)+SUMPRODUCT($B$61:$B$68,CF61:CF68)+SUMPRODUCT($B$71:$B$74,CF71:CF74)+SUMPRODUCT($B$77:$B$78,CF77:CF78)+SUMPRODUCT($B$99:$B$104,CF99:CF104))/12</f>
        <v>0</v>
      </c>
      <c r="CG81" s="388" t="n">
        <f aca="false">(SUMPRODUCT($B$49:$B$58,CG49:CG58)+SUMPRODUCT($B$61:$B$68,CG61:CG68)+SUMPRODUCT($B$71:$B$74,CG71:CG74)+SUMPRODUCT($B$77:$B$78,CG77:CG78)+SUMPRODUCT($B$99:$B$104,CG99:CG104))/12</f>
        <v>0</v>
      </c>
      <c r="CH81" s="388" t="n">
        <f aca="false">(SUMPRODUCT($B$49:$B$58,CH49:CH58)+SUMPRODUCT($B$61:$B$68,CH61:CH68)+SUMPRODUCT($B$71:$B$74,CH71:CH74)+SUMPRODUCT($B$77:$B$78,CH77:CH78)+SUMPRODUCT($B$99:$B$104,CH99:CH104))/12</f>
        <v>0</v>
      </c>
      <c r="CI81" s="388" t="n">
        <f aca="false">(SUMPRODUCT($B$49:$B$58,CI49:CI58)+SUMPRODUCT($B$61:$B$68,CI61:CI68)+SUMPRODUCT($B$71:$B$74,CI71:CI74)+SUMPRODUCT($B$77:$B$78,CI77:CI78)+SUMPRODUCT($B$99:$B$104,CI99:CI104))/12</f>
        <v>0</v>
      </c>
      <c r="CJ81" s="388" t="n">
        <f aca="false">(SUMPRODUCT($B$49:$B$58,CJ49:CJ58)+SUMPRODUCT($B$61:$B$68,CJ61:CJ68)+SUMPRODUCT($B$71:$B$74,CJ71:CJ74)+SUMPRODUCT($B$77:$B$78,CJ77:CJ78)+SUMPRODUCT($B$99:$B$104,CJ99:CJ104))/12</f>
        <v>0</v>
      </c>
      <c r="CK81" s="388" t="n">
        <f aca="false">(SUMPRODUCT($B$49:$B$58,CK49:CK58)+SUMPRODUCT($B$61:$B$68,CK61:CK68)+SUMPRODUCT($B$71:$B$74,CK71:CK74)+SUMPRODUCT($B$77:$B$78,CK77:CK78)+SUMPRODUCT($B$99:$B$104,CK99:CK104))/12</f>
        <v>0</v>
      </c>
      <c r="CL81" s="388" t="n">
        <f aca="false">(SUMPRODUCT($B$49:$B$58,CL49:CL58)+SUMPRODUCT($B$61:$B$68,CL61:CL68)+SUMPRODUCT($B$71:$B$74,CL71:CL74)+SUMPRODUCT($B$77:$B$78,CL77:CL78)+SUMPRODUCT($B$99:$B$104,CL99:CL104))/12</f>
        <v>0</v>
      </c>
      <c r="CM81" s="388" t="n">
        <f aca="false">(SUMPRODUCT($B$49:$B$58,CM49:CM58)+SUMPRODUCT($B$61:$B$68,CM61:CM68)+SUMPRODUCT($B$71:$B$74,CM71:CM74)+SUMPRODUCT($B$77:$B$78,CM77:CM78)+SUMPRODUCT($B$99:$B$104,CM99:CM104))/12</f>
        <v>0</v>
      </c>
      <c r="CN81" s="388" t="n">
        <f aca="false">(SUMPRODUCT($B$49:$B$58,CN49:CN58)+SUMPRODUCT($B$61:$B$68,CN61:CN68)+SUMPRODUCT($B$71:$B$74,CN71:CN74)+SUMPRODUCT($B$77:$B$78,CN77:CN78)+SUMPRODUCT($B$99:$B$104,CN99:CN104))/12</f>
        <v>0</v>
      </c>
      <c r="CO81" s="388" t="n">
        <f aca="false">(SUMPRODUCT($B$49:$B$58,CO49:CO58)+SUMPRODUCT($B$61:$B$68,CO61:CO68)+SUMPRODUCT($B$71:$B$74,CO71:CO74)+SUMPRODUCT($B$77:$B$78,CO77:CO78)+SUMPRODUCT($B$99:$B$104,CO99:CO104))/12</f>
        <v>0</v>
      </c>
      <c r="CP81" s="388" t="n">
        <f aca="false">(SUMPRODUCT($B$49:$B$58,CP49:CP58)+SUMPRODUCT($B$61:$B$68,CP61:CP68)+SUMPRODUCT($B$71:$B$74,CP71:CP74)+SUMPRODUCT($B$77:$B$78,CP77:CP78)+SUMPRODUCT($B$99:$B$104,CP99:CP104))/12</f>
        <v>0</v>
      </c>
      <c r="CQ81" s="388" t="n">
        <f aca="false">(SUMPRODUCT($B$49:$B$58,CQ49:CQ58)+SUMPRODUCT($B$61:$B$68,CQ61:CQ68)+SUMPRODUCT($B$71:$B$74,CQ71:CQ74)+SUMPRODUCT($B$77:$B$78,CQ77:CQ78)+SUMPRODUCT($B$99:$B$104,CQ99:CQ104))/12</f>
        <v>0</v>
      </c>
      <c r="CR81" s="388" t="n">
        <f aca="false">(SUMPRODUCT($B$49:$B$58,CR49:CR58)+SUMPRODUCT($B$61:$B$68,CR61:CR68)+SUMPRODUCT($B$71:$B$74,CR71:CR74)+SUMPRODUCT($B$77:$B$78,CR77:CR78)+SUMPRODUCT($B$99:$B$104,CR99:CR104))/12</f>
        <v>0</v>
      </c>
      <c r="CS81" s="388" t="n">
        <f aca="false">(SUMPRODUCT($B$49:$B$58,CS49:CS58)+SUMPRODUCT($B$61:$B$68,CS61:CS68)+SUMPRODUCT($B$71:$B$74,CS71:CS74)+SUMPRODUCT($B$77:$B$78,CS77:CS78)+SUMPRODUCT($B$99:$B$104,CS99:CS104))/12</f>
        <v>0</v>
      </c>
      <c r="CT81" s="388" t="n">
        <f aca="false">(SUMPRODUCT($B$49:$B$58,CT49:CT58)+SUMPRODUCT($B$61:$B$68,CT61:CT68)+SUMPRODUCT($B$71:$B$74,CT71:CT74)+SUMPRODUCT($B$77:$B$78,CT77:CT78)+SUMPRODUCT($B$99:$B$104,CT99:CT104))/12</f>
        <v>0</v>
      </c>
      <c r="CU81" s="388" t="n">
        <f aca="false">(SUMPRODUCT($B$49:$B$58,CU49:CU58)+SUMPRODUCT($B$61:$B$68,CU61:CU68)+SUMPRODUCT($B$71:$B$74,CU71:CU74)+SUMPRODUCT($B$77:$B$78,CU77:CU78)+SUMPRODUCT($B$99:$B$104,CU99:CU104))/12</f>
        <v>0</v>
      </c>
      <c r="CV81" s="388" t="n">
        <f aca="false">(SUMPRODUCT($B$49:$B$58,CV49:CV58)+SUMPRODUCT($B$61:$B$68,CV61:CV68)+SUMPRODUCT($B$71:$B$74,CV71:CV74)+SUMPRODUCT($B$77:$B$78,CV77:CV78)+SUMPRODUCT($B$99:$B$104,CV99:CV104))/12</f>
        <v>0</v>
      </c>
      <c r="CW81" s="388" t="n">
        <f aca="false">(SUMPRODUCT($B$49:$B$58,CW49:CW58)+SUMPRODUCT($B$61:$B$68,CW61:CW68)+SUMPRODUCT($B$71:$B$74,CW71:CW74)+SUMPRODUCT($B$77:$B$78,CW77:CW78)+SUMPRODUCT($B$99:$B$104,CW99:CW104))/12</f>
        <v>0</v>
      </c>
      <c r="CX81" s="388" t="n">
        <f aca="false">(SUMPRODUCT($B$49:$B$58,CX49:CX58)+SUMPRODUCT($B$61:$B$68,CX61:CX68)+SUMPRODUCT($B$71:$B$74,CX71:CX74)+SUMPRODUCT($B$77:$B$78,CX77:CX78)+SUMPRODUCT($B$99:$B$104,CX99:CX104))/12</f>
        <v>0</v>
      </c>
      <c r="CY81" s="388" t="n">
        <f aca="false">(SUMPRODUCT($B$49:$B$58,CY49:CY58)+SUMPRODUCT($B$61:$B$68,CY61:CY68)+SUMPRODUCT($B$71:$B$74,CY71:CY74)+SUMPRODUCT($B$77:$B$78,CY77:CY78)+SUMPRODUCT($B$99:$B$104,CY99:CY104))/12</f>
        <v>0</v>
      </c>
      <c r="CZ81" s="388" t="n">
        <f aca="false">(SUMPRODUCT($B$49:$B$58,CZ49:CZ58)+SUMPRODUCT($B$61:$B$68,CZ61:CZ68)+SUMPRODUCT($B$71:$B$74,CZ71:CZ74)+SUMPRODUCT($B$77:$B$78,CZ77:CZ78)+SUMPRODUCT($B$99:$B$104,CZ99:CZ104))/12</f>
        <v>0</v>
      </c>
      <c r="DA81" s="388" t="n">
        <f aca="false">(SUMPRODUCT($B$49:$B$58,DA49:DA58)+SUMPRODUCT($B$61:$B$68,DA61:DA68)+SUMPRODUCT($B$71:$B$74,DA71:DA74)+SUMPRODUCT($B$77:$B$78,DA77:DA78)+SUMPRODUCT($B$99:$B$104,DA99:DA104))/12</f>
        <v>0</v>
      </c>
      <c r="DB81" s="388" t="n">
        <f aca="false">(SUMPRODUCT($B$49:$B$58,DB49:DB58)+SUMPRODUCT($B$61:$B$68,DB61:DB68)+SUMPRODUCT($B$71:$B$74,DB71:DB74)+SUMPRODUCT($B$77:$B$78,DB77:DB78)+SUMPRODUCT($B$99:$B$104,DB99:DB104))/12</f>
        <v>0</v>
      </c>
      <c r="DC81" s="388" t="n">
        <f aca="false">(SUMPRODUCT($B$49:$B$58,DC49:DC58)+SUMPRODUCT($B$61:$B$68,DC61:DC68)+SUMPRODUCT($B$71:$B$74,DC71:DC74)+SUMPRODUCT($B$77:$B$78,DC77:DC78)+SUMPRODUCT($B$99:$B$104,DC99:DC104))/12</f>
        <v>0</v>
      </c>
      <c r="DD81" s="388" t="n">
        <f aca="false">(SUMPRODUCT($B$49:$B$58,DD49:DD58)+SUMPRODUCT($B$61:$B$68,DD61:DD68)+SUMPRODUCT($B$71:$B$74,DD71:DD74)+SUMPRODUCT($B$77:$B$78,DD77:DD78)+SUMPRODUCT($B$99:$B$104,DD99:DD104))/12</f>
        <v>0</v>
      </c>
      <c r="DE81" s="388" t="n">
        <f aca="false">(SUMPRODUCT($B$49:$B$58,DE49:DE58)+SUMPRODUCT($B$61:$B$68,DE61:DE68)+SUMPRODUCT($B$71:$B$74,DE71:DE74)+SUMPRODUCT($B$77:$B$78,DE77:DE78)+SUMPRODUCT($B$99:$B$104,DE99:DE104))/12</f>
        <v>0</v>
      </c>
    </row>
    <row r="82" customFormat="false" ht="13.5" hidden="false" customHeight="true" outlineLevel="0" collapsed="false">
      <c r="A82" s="110" t="s">
        <v>1413</v>
      </c>
      <c r="E82" s="388" t="n">
        <v>0</v>
      </c>
      <c r="F82" s="388" t="n">
        <f aca="false">(SUMPRODUCT($B$49:$B$58,(F49:F58&gt;E49:E58)*1)+SUMPRODUCT($B$61:$B$68,(F61:F68&gt;E61:E68)*1)+SUMPRODUCT($B$71:$B$74,(F71:F74&gt;E71:E74)*1)+SUMPRODUCT($B$77:$B$78,(F77:F78&gt;E77:E78)*1)+SUMPRODUCT($B$99:$B$104,(F99:F104&gt;E99:E104)*1))*$B$21</f>
        <v>0</v>
      </c>
      <c r="G82" s="388" t="n">
        <f aca="false">(SUMPRODUCT($B$49:$B$58,(G49:G58&gt;F49:F58)*1)+SUMPRODUCT($B$61:$B$68,(G61:G68&gt;F61:F68)*1)+SUMPRODUCT($B$71:$B$74,(G71:G74&gt;F71:F74)*1)+SUMPRODUCT($B$77:$B$78,(G77:G78&gt;F77:F78)*1)+SUMPRODUCT($B$99:$B$104,(G99:G104&gt;F99:F104)*1))*$B$21</f>
        <v>0</v>
      </c>
      <c r="H82" s="388" t="n">
        <f aca="false">(SUMPRODUCT($B$49:$B$58,(H49:H58&gt;G49:G58)*1)+SUMPRODUCT($B$61:$B$68,(H61:H68&gt;G61:G68)*1)+SUMPRODUCT($B$71:$B$74,(H71:H74&gt;G71:G74)*1)+SUMPRODUCT($B$77:$B$78,(H77:H78&gt;G77:G78)*1)+SUMPRODUCT($B$99:$B$104,(H99:H104&gt;G99:G104)*1))*$B$21</f>
        <v>0</v>
      </c>
      <c r="I82" s="388" t="n">
        <f aca="false">(SUMPRODUCT($B$49:$B$58,(I49:I58&gt;H49:H58)*1)+SUMPRODUCT($B$61:$B$68,(I61:I68&gt;H61:H68)*1)+SUMPRODUCT($B$71:$B$74,(I71:I74&gt;H71:H74)*1)+SUMPRODUCT($B$77:$B$78,(I77:I78&gt;H77:H78)*1)+SUMPRODUCT($B$99:$B$104,(I99:I104&gt;H99:H104)*1))*$B$21</f>
        <v>19500</v>
      </c>
      <c r="J82" s="388" t="n">
        <f aca="false">(SUMPRODUCT($B$49:$B$58,(J49:J58&gt;I49:I58)*1)+SUMPRODUCT($B$61:$B$68,(J61:J68&gt;I61:I68)*1)+SUMPRODUCT($B$71:$B$74,(J71:J74&gt;I71:I74)*1)+SUMPRODUCT($B$77:$B$78,(J77:J78&gt;I77:I78)*1)+SUMPRODUCT($B$99:$B$104,(J99:J104&gt;I99:I104)*1))*$B$21</f>
        <v>0</v>
      </c>
      <c r="K82" s="388" t="n">
        <f aca="false">(SUMPRODUCT($B$49:$B$58,(K49:K58&gt;J49:J58)*1)+SUMPRODUCT($B$61:$B$68,(K61:K68&gt;J61:J68)*1)+SUMPRODUCT($B$71:$B$74,(K71:K74&gt;J71:J74)*1)+SUMPRODUCT($B$77:$B$78,(K77:K78&gt;J77:J78)*1)+SUMPRODUCT($B$99:$B$104,(K99:K104&gt;J99:J104)*1))*$B$21</f>
        <v>0</v>
      </c>
      <c r="L82" s="388" t="n">
        <f aca="false">(SUMPRODUCT($B$49:$B$58,(L49:L58&gt;K49:K58)*1)+SUMPRODUCT($B$61:$B$68,(L61:L68&gt;K61:K68)*1)+SUMPRODUCT($B$71:$B$74,(L71:L74&gt;K71:K74)*1)+SUMPRODUCT($B$77:$B$78,(L77:L78&gt;K77:K78)*1)+SUMPRODUCT($B$99:$B$104,(L99:L104&gt;K99:K104)*1))*$B$21</f>
        <v>0</v>
      </c>
      <c r="M82" s="388" t="n">
        <f aca="false">(SUMPRODUCT($B$49:$B$58,(M49:M58&gt;L49:L58)*1)+SUMPRODUCT($B$61:$B$68,(M61:M68&gt;L61:L68)*1)+SUMPRODUCT($B$71:$B$74,(M71:M74&gt;L71:L74)*1)+SUMPRODUCT($B$77:$B$78,(M77:M78&gt;L77:L78)*1)+SUMPRODUCT($B$99:$B$104,(M99:M104&gt;L99:L104)*1))*$B$21</f>
        <v>42750</v>
      </c>
      <c r="N82" s="388" t="n">
        <f aca="false">(SUMPRODUCT($B$49:$B$58,(N49:N58&gt;M49:M58)*1)+SUMPRODUCT($B$61:$B$68,(N61:N68&gt;M61:M68)*1)+SUMPRODUCT($B$71:$B$74,(N71:N74&gt;M71:M74)*1)+SUMPRODUCT($B$77:$B$78,(N77:N78&gt;M77:M78)*1)+SUMPRODUCT($B$99:$B$104,(N99:N104&gt;M99:M104)*1))*$B$21</f>
        <v>43500</v>
      </c>
      <c r="O82" s="388" t="n">
        <f aca="false">(SUMPRODUCT($B$49:$B$58,(O49:O58&gt;N49:N58)*1)+SUMPRODUCT($B$61:$B$68,(O61:O68&gt;N61:N68)*1)+SUMPRODUCT($B$71:$B$74,(O71:O74&gt;N71:N74)*1)+SUMPRODUCT($B$77:$B$78,(O77:O78&gt;N77:N78)*1)+SUMPRODUCT($B$99:$B$104,(O99:O104&gt;N99:N104)*1))*$B$21</f>
        <v>81750</v>
      </c>
      <c r="P82" s="388" t="n">
        <f aca="false">(SUMPRODUCT($B$49:$B$58,(P49:P58&gt;O49:O58)*1)+SUMPRODUCT($B$61:$B$68,(P61:P68&gt;O61:O68)*1)+SUMPRODUCT($B$71:$B$74,(P71:P74&gt;O71:O74)*1)+SUMPRODUCT($B$77:$B$78,(P77:P78&gt;O77:O78)*1)+SUMPRODUCT($B$99:$B$104,(P99:P104&gt;O99:O104)*1))*$B$21</f>
        <v>0</v>
      </c>
      <c r="Q82" s="388" t="n">
        <f aca="false">(SUMPRODUCT($B$49:$B$58,(Q49:Q58&gt;P49:P58)*1)+SUMPRODUCT($B$61:$B$68,(Q61:Q68&gt;P61:P68)*1)+SUMPRODUCT($B$71:$B$74,(Q71:Q74&gt;P71:P74)*1)+SUMPRODUCT($B$77:$B$78,(Q77:Q78&gt;P77:P78)*1)+SUMPRODUCT($B$99:$B$104,(Q99:Q104&gt;P99:P104)*1))*$B$21</f>
        <v>42750</v>
      </c>
      <c r="R82" s="388" t="n">
        <f aca="false">(SUMPRODUCT($B$49:$B$58,(R49:R58&gt;Q49:Q58)*1)+SUMPRODUCT($B$61:$B$68,(R61:R68&gt;Q61:Q68)*1)+SUMPRODUCT($B$71:$B$74,(R71:R74&gt;Q71:Q74)*1)+SUMPRODUCT($B$77:$B$78,(R77:R78&gt;Q77:Q78)*1)+SUMPRODUCT($B$99:$B$104,(R99:R104&gt;Q99:Q104)*1))*$B$21</f>
        <v>55500</v>
      </c>
      <c r="S82" s="388" t="n">
        <f aca="false">(SUMPRODUCT($B$49:$B$58,(S49:S58&gt;R49:R58)*1)+SUMPRODUCT($B$61:$B$68,(S61:S68&gt;R61:R68)*1)+SUMPRODUCT($B$71:$B$74,(S71:S74&gt;R71:R74)*1)+SUMPRODUCT($B$77:$B$78,(S77:S78&gt;R77:R78)*1)+SUMPRODUCT($B$99:$B$104,(S99:S104&gt;R99:R104)*1))*$B$21</f>
        <v>18750</v>
      </c>
      <c r="T82" s="388" t="n">
        <f aca="false">(SUMPRODUCT($B$49:$B$58,(T49:T58&gt;S49:S58)*1)+SUMPRODUCT($B$61:$B$68,(T61:T68&gt;S61:S68)*1)+SUMPRODUCT($B$71:$B$74,(T71:T74&gt;S71:S74)*1)+SUMPRODUCT($B$77:$B$78,(T77:T78&gt;S77:S78)*1)+SUMPRODUCT($B$99:$B$104,(T99:T104&gt;S99:S104)*1))*$B$21</f>
        <v>18750</v>
      </c>
      <c r="U82" s="388" t="n">
        <f aca="false">(SUMPRODUCT($B$49:$B$58,(U49:U58&gt;T49:T58)*1)+SUMPRODUCT($B$61:$B$68,(U61:U68&gt;T61:T68)*1)+SUMPRODUCT($B$71:$B$74,(U71:U74&gt;T71:T74)*1)+SUMPRODUCT($B$77:$B$78,(U77:U78&gt;T77:T78)*1)+SUMPRODUCT($B$99:$B$104,(U99:U104&gt;T99:T104)*1))*$B$21</f>
        <v>0</v>
      </c>
      <c r="V82" s="388" t="n">
        <f aca="false">(SUMPRODUCT($B$49:$B$58,(V49:V58&gt;U49:U58)*1)+SUMPRODUCT($B$61:$B$68,(V61:V68&gt;U61:U68)*1)+SUMPRODUCT($B$71:$B$74,(V71:V74&gt;U71:U74)*1)+SUMPRODUCT($B$77:$B$78,(V77:V78&gt;U77:U78)*1)+SUMPRODUCT($B$99:$B$104,(V99:V104&gt;U99:U104)*1))*$B$21</f>
        <v>0</v>
      </c>
      <c r="W82" s="388" t="n">
        <f aca="false">(SUMPRODUCT($B$49:$B$58,(W49:W58&gt;V49:V58)*1)+SUMPRODUCT($B$61:$B$68,(W61:W68&gt;V61:V68)*1)+SUMPRODUCT($B$71:$B$74,(W71:W74&gt;V71:V74)*1)+SUMPRODUCT($B$77:$B$78,(W77:W78&gt;V77:V78)*1)+SUMPRODUCT($B$99:$B$104,(W99:W104&gt;V99:V104)*1))*$B$21</f>
        <v>0</v>
      </c>
      <c r="X82" s="388" t="n">
        <f aca="false">(SUMPRODUCT($B$49:$B$58,(X49:X58&gt;W49:W58)*1)+SUMPRODUCT($B$61:$B$68,(X61:X68&gt;W61:W68)*1)+SUMPRODUCT($B$71:$B$74,(X71:X74&gt;W71:W74)*1)+SUMPRODUCT($B$77:$B$78,(X77:X78&gt;W77:W78)*1)+SUMPRODUCT($B$99:$B$104,(X99:X104&gt;W99:W104)*1))*$B$21</f>
        <v>0</v>
      </c>
      <c r="Y82" s="388" t="n">
        <f aca="false">(SUMPRODUCT($B$49:$B$58,(Y49:Y58&gt;X49:X58)*1)+SUMPRODUCT($B$61:$B$68,(Y61:Y68&gt;X61:X68)*1)+SUMPRODUCT($B$71:$B$74,(Y71:Y74&gt;X71:X74)*1)+SUMPRODUCT($B$77:$B$78,(Y77:Y78&gt;X77:X78)*1)+SUMPRODUCT($B$99:$B$104,(Y99:Y104&gt;X99:X104)*1))*$B$21</f>
        <v>0</v>
      </c>
      <c r="Z82" s="388" t="n">
        <f aca="false">(SUMPRODUCT($B$49:$B$58,(Z49:Z58&gt;Y49:Y58)*1)+SUMPRODUCT($B$61:$B$68,(Z61:Z68&gt;Y61:Y68)*1)+SUMPRODUCT($B$71:$B$74,(Z71:Z74&gt;Y71:Y74)*1)+SUMPRODUCT($B$77:$B$78,(Z77:Z78&gt;Y77:Y78)*1)+SUMPRODUCT($B$99:$B$104,(Z99:Z104&gt;Y99:Y104)*1))*$B$21</f>
        <v>0</v>
      </c>
      <c r="AA82" s="388" t="n">
        <f aca="false">(SUMPRODUCT($B$49:$B$58,(AA49:AA58&gt;Z49:Z58)*1)+SUMPRODUCT($B$61:$B$68,(AA61:AA68&gt;Z61:Z68)*1)+SUMPRODUCT($B$71:$B$74,(AA71:AA74&gt;Z71:Z74)*1)+SUMPRODUCT($B$77:$B$78,(AA77:AA78&gt;Z77:Z78)*1)+SUMPRODUCT($B$99:$B$104,(AA99:AA104&gt;Z99:Z104)*1))*$B$21</f>
        <v>0</v>
      </c>
      <c r="AB82" s="388" t="n">
        <f aca="false">(SUMPRODUCT($B$49:$B$58,(AB49:AB58&gt;AA49:AA58)*1)+SUMPRODUCT($B$61:$B$68,(AB61:AB68&gt;AA61:AA68)*1)+SUMPRODUCT($B$71:$B$74,(AB71:AB74&gt;AA71:AA74)*1)+SUMPRODUCT($B$77:$B$78,(AB77:AB78&gt;AA77:AA78)*1)+SUMPRODUCT($B$99:$B$104,(AB99:AB104&gt;AA99:AA104)*1))*$B$21</f>
        <v>0</v>
      </c>
      <c r="AC82" s="388" t="n">
        <f aca="false">(SUMPRODUCT($B$49:$B$58,(AC49:AC58&gt;AB49:AB58)*1)+SUMPRODUCT($B$61:$B$68,(AC61:AC68&gt;AB61:AB68)*1)+SUMPRODUCT($B$71:$B$74,(AC71:AC74&gt;AB71:AB74)*1)+SUMPRODUCT($B$77:$B$78,(AC77:AC78&gt;AB77:AB78)*1)+SUMPRODUCT($B$99:$B$104,(AC99:AC104&gt;AB99:AB104)*1))*$B$21</f>
        <v>0</v>
      </c>
      <c r="AD82" s="388" t="n">
        <f aca="false">(SUMPRODUCT($B$49:$B$58,(AD49:AD58&gt;AC49:AC58)*1)+SUMPRODUCT($B$61:$B$68,(AD61:AD68&gt;AC61:AC68)*1)+SUMPRODUCT($B$71:$B$74,(AD71:AD74&gt;AC71:AC74)*1)+SUMPRODUCT($B$77:$B$78,(AD77:AD78&gt;AC77:AC78)*1)+SUMPRODUCT($B$99:$B$104,(AD99:AD104&gt;AC99:AC104)*1))*$B$21</f>
        <v>0</v>
      </c>
      <c r="AE82" s="388" t="n">
        <f aca="false">(SUMPRODUCT($B$49:$B$58,(AE49:AE58&gt;AD49:AD58)*1)+SUMPRODUCT($B$61:$B$68,(AE61:AE68&gt;AD61:AD68)*1)+SUMPRODUCT($B$71:$B$74,(AE71:AE74&gt;AD71:AD74)*1)+SUMPRODUCT($B$77:$B$78,(AE77:AE78&gt;AD77:AD78)*1)+SUMPRODUCT($B$99:$B$104,(AE99:AE104&gt;AD99:AD104)*1))*$B$21</f>
        <v>0</v>
      </c>
      <c r="AF82" s="388" t="n">
        <f aca="false">(SUMPRODUCT($B$49:$B$58,(AF49:AF58&gt;AE49:AE58)*1)+SUMPRODUCT($B$61:$B$68,(AF61:AF68&gt;AE61:AE68)*1)+SUMPRODUCT($B$71:$B$74,(AF71:AF74&gt;AE71:AE74)*1)+SUMPRODUCT($B$77:$B$78,(AF77:AF78&gt;AE77:AE78)*1)+SUMPRODUCT($B$99:$B$104,(AF99:AF104&gt;AE99:AE104)*1))*$B$21</f>
        <v>0</v>
      </c>
      <c r="AG82" s="388" t="n">
        <f aca="false">(SUMPRODUCT($B$49:$B$58,(AG49:AG58&gt;AF49:AF58)*1)+SUMPRODUCT($B$61:$B$68,(AG61:AG68&gt;AF61:AF68)*1)+SUMPRODUCT($B$71:$B$74,(AG71:AG74&gt;AF71:AF74)*1)+SUMPRODUCT($B$77:$B$78,(AG77:AG78&gt;AF77:AF78)*1)+SUMPRODUCT($B$99:$B$104,(AG99:AG104&gt;AF99:AF104)*1))*$B$21</f>
        <v>0</v>
      </c>
      <c r="AH82" s="388" t="n">
        <f aca="false">(SUMPRODUCT($B$49:$B$58,(AH49:AH58&gt;AG49:AG58)*1)+SUMPRODUCT($B$61:$B$68,(AH61:AH68&gt;AG61:AG68)*1)+SUMPRODUCT($B$71:$B$74,(AH71:AH74&gt;AG71:AG74)*1)+SUMPRODUCT($B$77:$B$78,(AH77:AH78&gt;AG77:AG78)*1)+SUMPRODUCT($B$99:$B$104,(AH99:AH104&gt;AG99:AG104)*1))*$B$21</f>
        <v>0</v>
      </c>
      <c r="AI82" s="388" t="n">
        <f aca="false">(SUMPRODUCT($B$49:$B$58,(AI49:AI58&gt;AH49:AH58)*1)+SUMPRODUCT($B$61:$B$68,(AI61:AI68&gt;AH61:AH68)*1)+SUMPRODUCT($B$71:$B$74,(AI71:AI74&gt;AH71:AH74)*1)+SUMPRODUCT($B$77:$B$78,(AI77:AI78&gt;AH77:AH78)*1)+SUMPRODUCT($B$99:$B$104,(AI99:AI104&gt;AH99:AH104)*1))*$B$21</f>
        <v>0</v>
      </c>
      <c r="AJ82" s="388" t="n">
        <f aca="false">(SUMPRODUCT($B$49:$B$58,(AJ49:AJ58&gt;AI49:AI58)*1)+SUMPRODUCT($B$61:$B$68,(AJ61:AJ68&gt;AI61:AI68)*1)+SUMPRODUCT($B$71:$B$74,(AJ71:AJ74&gt;AI71:AI74)*1)+SUMPRODUCT($B$77:$B$78,(AJ77:AJ78&gt;AI77:AI78)*1)+SUMPRODUCT($B$99:$B$104,(AJ99:AJ104&gt;AI99:AI104)*1))*$B$21</f>
        <v>0</v>
      </c>
      <c r="AK82" s="388" t="n">
        <f aca="false">(SUMPRODUCT($B$49:$B$58,(AK49:AK58&gt;AJ49:AJ58)*1)+SUMPRODUCT($B$61:$B$68,(AK61:AK68&gt;AJ61:AJ68)*1)+SUMPRODUCT($B$71:$B$74,(AK71:AK74&gt;AJ71:AJ74)*1)+SUMPRODUCT($B$77:$B$78,(AK77:AK78&gt;AJ77:AJ78)*1)+SUMPRODUCT($B$99:$B$104,(AK99:AK104&gt;AJ99:AJ104)*1))*$B$21</f>
        <v>0</v>
      </c>
      <c r="AL82" s="388" t="n">
        <f aca="false">(SUMPRODUCT($B$49:$B$58,(AL49:AL58&gt;AK49:AK58)*1)+SUMPRODUCT($B$61:$B$68,(AL61:AL68&gt;AK61:AK68)*1)+SUMPRODUCT($B$71:$B$74,(AL71:AL74&gt;AK71:AK74)*1)+SUMPRODUCT($B$77:$B$78,(AL77:AL78&gt;AK77:AK78)*1)+SUMPRODUCT($B$99:$B$104,(AL99:AL104&gt;AK99:AK104)*1))*$B$21</f>
        <v>0</v>
      </c>
      <c r="AM82" s="388" t="n">
        <f aca="false">(SUMPRODUCT($B$49:$B$58,(AM49:AM58&gt;AL49:AL58)*1)+SUMPRODUCT($B$61:$B$68,(AM61:AM68&gt;AL61:AL68)*1)+SUMPRODUCT($B$71:$B$74,(AM71:AM74&gt;AL71:AL74)*1)+SUMPRODUCT($B$77:$B$78,(AM77:AM78&gt;AL77:AL78)*1)+SUMPRODUCT($B$99:$B$104,(AM99:AM104&gt;AL99:AL104)*1))*$B$21</f>
        <v>0</v>
      </c>
      <c r="AN82" s="388" t="n">
        <f aca="false">(SUMPRODUCT($B$49:$B$58,(AN49:AN58&gt;AM49:AM58)*1)+SUMPRODUCT($B$61:$B$68,(AN61:AN68&gt;AM61:AM68)*1)+SUMPRODUCT($B$71:$B$74,(AN71:AN74&gt;AM71:AM74)*1)+SUMPRODUCT($B$77:$B$78,(AN77:AN78&gt;AM77:AM78)*1)+SUMPRODUCT($B$99:$B$104,(AN99:AN104&gt;AM99:AM104)*1))*$B$21</f>
        <v>0</v>
      </c>
      <c r="AO82" s="388" t="n">
        <f aca="false">(SUMPRODUCT($B$49:$B$58,(AO49:AO58&gt;AN49:AN58)*1)+SUMPRODUCT($B$61:$B$68,(AO61:AO68&gt;AN61:AN68)*1)+SUMPRODUCT($B$71:$B$74,(AO71:AO74&gt;AN71:AN74)*1)+SUMPRODUCT($B$77:$B$78,(AO77:AO78&gt;AN77:AN78)*1)+SUMPRODUCT($B$99:$B$104,(AO99:AO104&gt;AN99:AN104)*1))*$B$21</f>
        <v>0</v>
      </c>
      <c r="AP82" s="388" t="n">
        <f aca="false">(SUMPRODUCT($B$49:$B$58,(AP49:AP58&gt;AO49:AO58)*1)+SUMPRODUCT($B$61:$B$68,(AP61:AP68&gt;AO61:AO68)*1)+SUMPRODUCT($B$71:$B$74,(AP71:AP74&gt;AO71:AO74)*1)+SUMPRODUCT($B$77:$B$78,(AP77:AP78&gt;AO77:AO78)*1)+SUMPRODUCT($B$99:$B$104,(AP99:AP104&gt;AO99:AO104)*1))*$B$21</f>
        <v>0</v>
      </c>
      <c r="AQ82" s="388" t="n">
        <f aca="false">(SUMPRODUCT($B$49:$B$58,(AQ49:AQ58&gt;AP49:AP58)*1)+SUMPRODUCT($B$61:$B$68,(AQ61:AQ68&gt;AP61:AP68)*1)+SUMPRODUCT($B$71:$B$74,(AQ71:AQ74&gt;AP71:AP74)*1)+SUMPRODUCT($B$77:$B$78,(AQ77:AQ78&gt;AP77:AP78)*1)+SUMPRODUCT($B$99:$B$104,(AQ99:AQ104&gt;AP99:AP104)*1))*$B$21</f>
        <v>0</v>
      </c>
      <c r="AR82" s="388" t="n">
        <f aca="false">(SUMPRODUCT($B$49:$B$58,(AR49:AR58&gt;AQ49:AQ58)*1)+SUMPRODUCT($B$61:$B$68,(AR61:AR68&gt;AQ61:AQ68)*1)+SUMPRODUCT($B$71:$B$74,(AR71:AR74&gt;AQ71:AQ74)*1)+SUMPRODUCT($B$77:$B$78,(AR77:AR78&gt;AQ77:AQ78)*1)+SUMPRODUCT($B$99:$B$104,(AR99:AR104&gt;AQ99:AQ104)*1))*$B$21</f>
        <v>0</v>
      </c>
      <c r="AS82" s="388" t="n">
        <f aca="false">(SUMPRODUCT($B$49:$B$58,(AS49:AS58&gt;AR49:AR58)*1)+SUMPRODUCT($B$61:$B$68,(AS61:AS68&gt;AR61:AR68)*1)+SUMPRODUCT($B$71:$B$74,(AS71:AS74&gt;AR71:AR74)*1)+SUMPRODUCT($B$77:$B$78,(AS77:AS78&gt;AR77:AR78)*1)+SUMPRODUCT($B$99:$B$104,(AS99:AS104&gt;AR99:AR104)*1))*$B$21</f>
        <v>0</v>
      </c>
      <c r="AT82" s="388" t="n">
        <f aca="false">(SUMPRODUCT($B$49:$B$58,(AT49:AT58&gt;AS49:AS58)*1)+SUMPRODUCT($B$61:$B$68,(AT61:AT68&gt;AS61:AS68)*1)+SUMPRODUCT($B$71:$B$74,(AT71:AT74&gt;AS71:AS74)*1)+SUMPRODUCT($B$77:$B$78,(AT77:AT78&gt;AS77:AS78)*1)+SUMPRODUCT($B$99:$B$104,(AT99:AT104&gt;AS99:AS104)*1))*$B$21</f>
        <v>0</v>
      </c>
      <c r="AU82" s="388" t="n">
        <f aca="false">(SUMPRODUCT($B$49:$B$58,(AU49:AU58&gt;AT49:AT58)*1)+SUMPRODUCT($B$61:$B$68,(AU61:AU68&gt;AT61:AT68)*1)+SUMPRODUCT($B$71:$B$74,(AU71:AU74&gt;AT71:AT74)*1)+SUMPRODUCT($B$77:$B$78,(AU77:AU78&gt;AT77:AT78)*1)+SUMPRODUCT($B$99:$B$104,(AU99:AU104&gt;AT99:AT104)*1))*$B$21</f>
        <v>0</v>
      </c>
      <c r="AV82" s="388" t="n">
        <f aca="false">(SUMPRODUCT($B$49:$B$58,(AV49:AV58&gt;AU49:AU58)*1)+SUMPRODUCT($B$61:$B$68,(AV61:AV68&gt;AU61:AU68)*1)+SUMPRODUCT($B$71:$B$74,(AV71:AV74&gt;AU71:AU74)*1)+SUMPRODUCT($B$77:$B$78,(AV77:AV78&gt;AU77:AU78)*1)+SUMPRODUCT($B$99:$B$104,(AV99:AV104&gt;AU99:AU104)*1))*$B$21</f>
        <v>0</v>
      </c>
      <c r="AW82" s="388" t="n">
        <f aca="false">(SUMPRODUCT($B$49:$B$58,(AW49:AW58&gt;AV49:AV58)*1)+SUMPRODUCT($B$61:$B$68,(AW61:AW68&gt;AV61:AV68)*1)+SUMPRODUCT($B$71:$B$74,(AW71:AW74&gt;AV71:AV74)*1)+SUMPRODUCT($B$77:$B$78,(AW77:AW78&gt;AV77:AV78)*1)+SUMPRODUCT($B$99:$B$104,(AW99:AW104&gt;AV99:AV104)*1))*$B$21</f>
        <v>0</v>
      </c>
      <c r="AX82" s="388" t="n">
        <f aca="false">(SUMPRODUCT($B$49:$B$58,(AX49:AX58&gt;AW49:AW58)*1)+SUMPRODUCT($B$61:$B$68,(AX61:AX68&gt;AW61:AW68)*1)+SUMPRODUCT($B$71:$B$74,(AX71:AX74&gt;AW71:AW74)*1)+SUMPRODUCT($B$77:$B$78,(AX77:AX78&gt;AW77:AW78)*1)+SUMPRODUCT($B$99:$B$104,(AX99:AX104&gt;AW99:AW104)*1))*$B$21</f>
        <v>0</v>
      </c>
      <c r="AY82" s="388" t="n">
        <f aca="false">(SUMPRODUCT($B$49:$B$58,(AY49:AY58&gt;AX49:AX58)*1)+SUMPRODUCT($B$61:$B$68,(AY61:AY68&gt;AX61:AX68)*1)+SUMPRODUCT($B$71:$B$74,(AY71:AY74&gt;AX71:AX74)*1)+SUMPRODUCT($B$77:$B$78,(AY77:AY78&gt;AX77:AX78)*1)+SUMPRODUCT($B$99:$B$104,(AY99:AY104&gt;AX99:AX104)*1))*$B$21</f>
        <v>0</v>
      </c>
      <c r="AZ82" s="388" t="n">
        <f aca="false">(SUMPRODUCT($B$49:$B$58,(AZ49:AZ58&gt;AY49:AY58)*1)+SUMPRODUCT($B$61:$B$68,(AZ61:AZ68&gt;AY61:AY68)*1)+SUMPRODUCT($B$71:$B$74,(AZ71:AZ74&gt;AY71:AY74)*1)+SUMPRODUCT($B$77:$B$78,(AZ77:AZ78&gt;AY77:AY78)*1)+SUMPRODUCT($B$99:$B$104,(AZ99:AZ104&gt;AY99:AY104)*1))*$B$21</f>
        <v>0</v>
      </c>
      <c r="BA82" s="388" t="n">
        <f aca="false">(SUMPRODUCT($B$49:$B$58,(BA49:BA58&gt;AZ49:AZ58)*1)+SUMPRODUCT($B$61:$B$68,(BA61:BA68&gt;AZ61:AZ68)*1)+SUMPRODUCT($B$71:$B$74,(BA71:BA74&gt;AZ71:AZ74)*1)+SUMPRODUCT($B$77:$B$78,(BA77:BA78&gt;AZ77:AZ78)*1)+SUMPRODUCT($B$99:$B$104,(BA99:BA104&gt;AZ99:AZ104)*1))*$B$21</f>
        <v>0</v>
      </c>
      <c r="BB82" s="388" t="n">
        <f aca="false">(SUMPRODUCT($B$49:$B$58,(BB49:BB58&gt;BA49:BA58)*1)+SUMPRODUCT($B$61:$B$68,(BB61:BB68&gt;BA61:BA68)*1)+SUMPRODUCT($B$71:$B$74,(BB71:BB74&gt;BA71:BA74)*1)+SUMPRODUCT($B$77:$B$78,(BB77:BB78&gt;BA77:BA78)*1)+SUMPRODUCT($B$99:$B$104,(BB99:BB104&gt;BA99:BA104)*1))*$B$21</f>
        <v>0</v>
      </c>
      <c r="BC82" s="388" t="n">
        <f aca="false">(SUMPRODUCT($B$49:$B$58,(BC49:BC58&gt;BB49:BB58)*1)+SUMPRODUCT($B$61:$B$68,(BC61:BC68&gt;BB61:BB68)*1)+SUMPRODUCT($B$71:$B$74,(BC71:BC74&gt;BB71:BB74)*1)+SUMPRODUCT($B$77:$B$78,(BC77:BC78&gt;BB77:BB78)*1)+SUMPRODUCT($B$99:$B$104,(BC99:BC104&gt;BB99:BB104)*1))*$B$21</f>
        <v>0</v>
      </c>
      <c r="BD82" s="388" t="n">
        <f aca="false">(SUMPRODUCT($B$49:$B$58,(BD49:BD58&gt;BC49:BC58)*1)+SUMPRODUCT($B$61:$B$68,(BD61:BD68&gt;BC61:BC68)*1)+SUMPRODUCT($B$71:$B$74,(BD71:BD74&gt;BC71:BC74)*1)+SUMPRODUCT($B$77:$B$78,(BD77:BD78&gt;BC77:BC78)*1)+SUMPRODUCT($B$99:$B$104,(BD99:BD104&gt;BC99:BC104)*1))*$B$21</f>
        <v>0</v>
      </c>
      <c r="BE82" s="388" t="n">
        <f aca="false">(SUMPRODUCT($B$49:$B$58,(BE49:BE58&gt;BD49:BD58)*1)+SUMPRODUCT($B$61:$B$68,(BE61:BE68&gt;BD61:BD68)*1)+SUMPRODUCT($B$71:$B$74,(BE71:BE74&gt;BD71:BD74)*1)+SUMPRODUCT($B$77:$B$78,(BE77:BE78&gt;BD77:BD78)*1)+SUMPRODUCT($B$99:$B$104,(BE99:BE104&gt;BD99:BD104)*1))*$B$21</f>
        <v>0</v>
      </c>
      <c r="BF82" s="388" t="n">
        <f aca="false">(SUMPRODUCT($B$49:$B$58,(BF49:BF58&gt;BE49:BE58)*1)+SUMPRODUCT($B$61:$B$68,(BF61:BF68&gt;BE61:BE68)*1)+SUMPRODUCT($B$71:$B$74,(BF71:BF74&gt;BE71:BE74)*1)+SUMPRODUCT($B$77:$B$78,(BF77:BF78&gt;BE77:BE78)*1)+SUMPRODUCT($B$99:$B$104,(BF99:BF104&gt;BE99:BE104)*1))*$B$21</f>
        <v>0</v>
      </c>
      <c r="BG82" s="388" t="n">
        <f aca="false">(SUMPRODUCT($B$49:$B$58,(BG49:BG58&gt;BF49:BF58)*1)+SUMPRODUCT($B$61:$B$68,(BG61:BG68&gt;BF61:BF68)*1)+SUMPRODUCT($B$71:$B$74,(BG71:BG74&gt;BF71:BF74)*1)+SUMPRODUCT($B$77:$B$78,(BG77:BG78&gt;BF77:BF78)*1)+SUMPRODUCT($B$99:$B$104,(BG99:BG104&gt;BF99:BF104)*1))*$B$21</f>
        <v>0</v>
      </c>
      <c r="BH82" s="388" t="n">
        <f aca="false">(SUMPRODUCT($B$49:$B$58,(BH49:BH58&gt;BG49:BG58)*1)+SUMPRODUCT($B$61:$B$68,(BH61:BH68&gt;BG61:BG68)*1)+SUMPRODUCT($B$71:$B$74,(BH71:BH74&gt;BG71:BG74)*1)+SUMPRODUCT($B$77:$B$78,(BH77:BH78&gt;BG77:BG78)*1)+SUMPRODUCT($B$99:$B$104,(BH99:BH104&gt;BG99:BG104)*1))*$B$21</f>
        <v>0</v>
      </c>
      <c r="BI82" s="388" t="n">
        <f aca="false">(SUMPRODUCT($B$49:$B$58,(BI49:BI58&gt;BH49:BH58)*1)+SUMPRODUCT($B$61:$B$68,(BI61:BI68&gt;BH61:BH68)*1)+SUMPRODUCT($B$71:$B$74,(BI71:BI74&gt;BH71:BH74)*1)+SUMPRODUCT($B$77:$B$78,(BI77:BI78&gt;BH77:BH78)*1)+SUMPRODUCT($B$99:$B$104,(BI99:BI104&gt;BH99:BH104)*1))*$B$21</f>
        <v>0</v>
      </c>
      <c r="BJ82" s="388" t="n">
        <f aca="false">(SUMPRODUCT($B$49:$B$58,(BJ49:BJ58&gt;BI49:BI58)*1)+SUMPRODUCT($B$61:$B$68,(BJ61:BJ68&gt;BI61:BI68)*1)+SUMPRODUCT($B$71:$B$74,(BJ71:BJ74&gt;BI71:BI74)*1)+SUMPRODUCT($B$77:$B$78,(BJ77:BJ78&gt;BI77:BI78)*1)+SUMPRODUCT($B$99:$B$104,(BJ99:BJ104&gt;BI99:BI104)*1))*$B$21</f>
        <v>0</v>
      </c>
      <c r="BK82" s="388" t="n">
        <f aca="false">(SUMPRODUCT($B$49:$B$58,(BK49:BK58&gt;BJ49:BJ58)*1)+SUMPRODUCT($B$61:$B$68,(BK61:BK68&gt;BJ61:BJ68)*1)+SUMPRODUCT($B$71:$B$74,(BK71:BK74&gt;BJ71:BJ74)*1)+SUMPRODUCT($B$77:$B$78,(BK77:BK78&gt;BJ77:BJ78)*1)+SUMPRODUCT($B$99:$B$104,(BK99:BK104&gt;BJ99:BJ104)*1))*$B$21</f>
        <v>0</v>
      </c>
      <c r="BL82" s="388" t="n">
        <f aca="false">(SUMPRODUCT($B$49:$B$58,(BL49:BL58&gt;BK49:BK58)*1)+SUMPRODUCT($B$61:$B$68,(BL61:BL68&gt;BK61:BK68)*1)+SUMPRODUCT($B$71:$B$74,(BL71:BL74&gt;BK71:BK74)*1)+SUMPRODUCT($B$77:$B$78,(BL77:BL78&gt;BK77:BK78)*1)+SUMPRODUCT($B$99:$B$104,(BL99:BL104&gt;BK99:BK104)*1))*$B$21</f>
        <v>0</v>
      </c>
      <c r="BM82" s="388" t="n">
        <f aca="false">(SUMPRODUCT($B$49:$B$58,(BM49:BM58&gt;BL49:BL58)*1)+SUMPRODUCT($B$61:$B$68,(BM61:BM68&gt;BL61:BL68)*1)+SUMPRODUCT($B$71:$B$74,(BM71:BM74&gt;BL71:BL74)*1)+SUMPRODUCT($B$77:$B$78,(BM77:BM78&gt;BL77:BL78)*1)+SUMPRODUCT($B$99:$B$104,(BM99:BM104&gt;BL99:BL104)*1))*$B$21</f>
        <v>0</v>
      </c>
      <c r="BN82" s="388" t="n">
        <f aca="false">(SUMPRODUCT($B$49:$B$58,(BN49:BN58&gt;BM49:BM58)*1)+SUMPRODUCT($B$61:$B$68,(BN61:BN68&gt;BM61:BM68)*1)+SUMPRODUCT($B$71:$B$74,(BN71:BN74&gt;BM71:BM74)*1)+SUMPRODUCT($B$77:$B$78,(BN77:BN78&gt;BM77:BM78)*1)+SUMPRODUCT($B$99:$B$104,(BN99:BN104&gt;BM99:BM104)*1))*$B$21</f>
        <v>0</v>
      </c>
      <c r="BO82" s="388" t="n">
        <f aca="false">(SUMPRODUCT($B$49:$B$58,(BO49:BO58&gt;BN49:BN58)*1)+SUMPRODUCT($B$61:$B$68,(BO61:BO68&gt;BN61:BN68)*1)+SUMPRODUCT($B$71:$B$74,(BO71:BO74&gt;BN71:BN74)*1)+SUMPRODUCT($B$77:$B$78,(BO77:BO78&gt;BN77:BN78)*1)+SUMPRODUCT($B$99:$B$104,(BO99:BO104&gt;BN99:BN104)*1))*$B$21</f>
        <v>0</v>
      </c>
      <c r="BP82" s="388" t="n">
        <f aca="false">(SUMPRODUCT($B$49:$B$58,(BP49:BP58&gt;BO49:BO58)*1)+SUMPRODUCT($B$61:$B$68,(BP61:BP68&gt;BO61:BO68)*1)+SUMPRODUCT($B$71:$B$74,(BP71:BP74&gt;BO71:BO74)*1)+SUMPRODUCT($B$77:$B$78,(BP77:BP78&gt;BO77:BO78)*1)+SUMPRODUCT($B$99:$B$104,(BP99:BP104&gt;BO99:BO104)*1))*$B$21</f>
        <v>0</v>
      </c>
      <c r="BQ82" s="388" t="n">
        <f aca="false">(SUMPRODUCT($B$49:$B$58,(BQ49:BQ58&gt;BP49:BP58)*1)+SUMPRODUCT($B$61:$B$68,(BQ61:BQ68&gt;BP61:BP68)*1)+SUMPRODUCT($B$71:$B$74,(BQ71:BQ74&gt;BP71:BP74)*1)+SUMPRODUCT($B$77:$B$78,(BQ77:BQ78&gt;BP77:BP78)*1)+SUMPRODUCT($B$99:$B$104,(BQ99:BQ104&gt;BP99:BP104)*1))*$B$21</f>
        <v>0</v>
      </c>
      <c r="BR82" s="388" t="n">
        <f aca="false">(SUMPRODUCT($B$49:$B$58,(BR49:BR58&gt;BQ49:BQ58)*1)+SUMPRODUCT($B$61:$B$68,(BR61:BR68&gt;BQ61:BQ68)*1)+SUMPRODUCT($B$71:$B$74,(BR71:BR74&gt;BQ71:BQ74)*1)+SUMPRODUCT($B$77:$B$78,(BR77:BR78&gt;BQ77:BQ78)*1)+SUMPRODUCT($B$99:$B$104,(BR99:BR104&gt;BQ99:BQ104)*1))*$B$21</f>
        <v>0</v>
      </c>
      <c r="BS82" s="388" t="n">
        <f aca="false">(SUMPRODUCT($B$49:$B$58,(BS49:BS58&gt;BR49:BR58)*1)+SUMPRODUCT($B$61:$B$68,(BS61:BS68&gt;BR61:BR68)*1)+SUMPRODUCT($B$71:$B$74,(BS71:BS74&gt;BR71:BR74)*1)+SUMPRODUCT($B$77:$B$78,(BS77:BS78&gt;BR77:BR78)*1)+SUMPRODUCT($B$99:$B$104,(BS99:BS104&gt;BR99:BR104)*1))*$B$21</f>
        <v>0</v>
      </c>
      <c r="BT82" s="388" t="n">
        <f aca="false">(SUMPRODUCT($B$49:$B$58,(BT49:BT58&gt;BS49:BS58)*1)+SUMPRODUCT($B$61:$B$68,(BT61:BT68&gt;BS61:BS68)*1)+SUMPRODUCT($B$71:$B$74,(BT71:BT74&gt;BS71:BS74)*1)+SUMPRODUCT($B$77:$B$78,(BT77:BT78&gt;BS77:BS78)*1)+SUMPRODUCT($B$99:$B$104,(BT99:BT104&gt;BS99:BS104)*1))*$B$21</f>
        <v>0</v>
      </c>
      <c r="BU82" s="388" t="n">
        <f aca="false">(SUMPRODUCT($B$49:$B$58,(BU49:BU58&gt;BT49:BT58)*1)+SUMPRODUCT($B$61:$B$68,(BU61:BU68&gt;BT61:BT68)*1)+SUMPRODUCT($B$71:$B$74,(BU71:BU74&gt;BT71:BT74)*1)+SUMPRODUCT($B$77:$B$78,(BU77:BU78&gt;BT77:BT78)*1)+SUMPRODUCT($B$99:$B$104,(BU99:BU104&gt;BT99:BT104)*1))*$B$21</f>
        <v>0</v>
      </c>
      <c r="BV82" s="388" t="n">
        <f aca="false">(SUMPRODUCT($B$49:$B$58,(BV49:BV58&gt;BU49:BU58)*1)+SUMPRODUCT($B$61:$B$68,(BV61:BV68&gt;BU61:BU68)*1)+SUMPRODUCT($B$71:$B$74,(BV71:BV74&gt;BU71:BU74)*1)+SUMPRODUCT($B$77:$B$78,(BV77:BV78&gt;BU77:BU78)*1)+SUMPRODUCT($B$99:$B$104,(BV99:BV104&gt;BU99:BU104)*1))*$B$21</f>
        <v>0</v>
      </c>
      <c r="BW82" s="388" t="n">
        <f aca="false">(SUMPRODUCT($B$49:$B$58,(BW49:BW58&gt;BV49:BV58)*1)+SUMPRODUCT($B$61:$B$68,(BW61:BW68&gt;BV61:BV68)*1)+SUMPRODUCT($B$71:$B$74,(BW71:BW74&gt;BV71:BV74)*1)+SUMPRODUCT($B$77:$B$78,(BW77:BW78&gt;BV77:BV78)*1)+SUMPRODUCT($B$99:$B$104,(BW99:BW104&gt;BV99:BV104)*1))*$B$21</f>
        <v>0</v>
      </c>
      <c r="BX82" s="388" t="n">
        <f aca="false">(SUMPRODUCT($B$49:$B$58,(BX49:BX58&gt;BW49:BW58)*1)+SUMPRODUCT($B$61:$B$68,(BX61:BX68&gt;BW61:BW68)*1)+SUMPRODUCT($B$71:$B$74,(BX71:BX74&gt;BW71:BW74)*1)+SUMPRODUCT($B$77:$B$78,(BX77:BX78&gt;BW77:BW78)*1)+SUMPRODUCT($B$99:$B$104,(BX99:BX104&gt;BW99:BW104)*1))*$B$21</f>
        <v>0</v>
      </c>
      <c r="BY82" s="388" t="n">
        <f aca="false">(SUMPRODUCT($B$49:$B$58,(BY49:BY58&gt;BX49:BX58)*1)+SUMPRODUCT($B$61:$B$68,(BY61:BY68&gt;BX61:BX68)*1)+SUMPRODUCT($B$71:$B$74,(BY71:BY74&gt;BX71:BX74)*1)+SUMPRODUCT($B$77:$B$78,(BY77:BY78&gt;BX77:BX78)*1)+SUMPRODUCT($B$99:$B$104,(BY99:BY104&gt;BX99:BX104)*1))*$B$21</f>
        <v>0</v>
      </c>
      <c r="BZ82" s="388" t="n">
        <f aca="false">(SUMPRODUCT($B$49:$B$58,(BZ49:BZ58&gt;BY49:BY58)*1)+SUMPRODUCT($B$61:$B$68,(BZ61:BZ68&gt;BY61:BY68)*1)+SUMPRODUCT($B$71:$B$74,(BZ71:BZ74&gt;BY71:BY74)*1)+SUMPRODUCT($B$77:$B$78,(BZ77:BZ78&gt;BY77:BY78)*1)+SUMPRODUCT($B$99:$B$104,(BZ99:BZ104&gt;BY99:BY104)*1))*$B$21</f>
        <v>0</v>
      </c>
      <c r="CA82" s="388" t="n">
        <f aca="false">(SUMPRODUCT($B$49:$B$58,(CA49:CA58&gt;BZ49:BZ58)*1)+SUMPRODUCT($B$61:$B$68,(CA61:CA68&gt;BZ61:BZ68)*1)+SUMPRODUCT($B$71:$B$74,(CA71:CA74&gt;BZ71:BZ74)*1)+SUMPRODUCT($B$77:$B$78,(CA77:CA78&gt;BZ77:BZ78)*1)+SUMPRODUCT($B$99:$B$104,(CA99:CA104&gt;BZ99:BZ104)*1))*$B$21</f>
        <v>0</v>
      </c>
      <c r="CB82" s="388" t="n">
        <f aca="false">(SUMPRODUCT($B$49:$B$58,(CB49:CB58&gt;CA49:CA58)*1)+SUMPRODUCT($B$61:$B$68,(CB61:CB68&gt;CA61:CA68)*1)+SUMPRODUCT($B$71:$B$74,(CB71:CB74&gt;CA71:CA74)*1)+SUMPRODUCT($B$77:$B$78,(CB77:CB78&gt;CA77:CA78)*1)+SUMPRODUCT($B$99:$B$104,(CB99:CB104&gt;CA99:CA104)*1))*$B$21</f>
        <v>0</v>
      </c>
      <c r="CC82" s="388" t="n">
        <f aca="false">(SUMPRODUCT($B$49:$B$58,(CC49:CC58&gt;CB49:CB58)*1)+SUMPRODUCT($B$61:$B$68,(CC61:CC68&gt;CB61:CB68)*1)+SUMPRODUCT($B$71:$B$74,(CC71:CC74&gt;CB71:CB74)*1)+SUMPRODUCT($B$77:$B$78,(CC77:CC78&gt;CB77:CB78)*1)+SUMPRODUCT($B$99:$B$104,(CC99:CC104&gt;CB99:CB104)*1))*$B$21</f>
        <v>0</v>
      </c>
      <c r="CD82" s="388" t="n">
        <f aca="false">(SUMPRODUCT($B$49:$B$58,(CD49:CD58&gt;CC49:CC58)*1)+SUMPRODUCT($B$61:$B$68,(CD61:CD68&gt;CC61:CC68)*1)+SUMPRODUCT($B$71:$B$74,(CD71:CD74&gt;CC71:CC74)*1)+SUMPRODUCT($B$77:$B$78,(CD77:CD78&gt;CC77:CC78)*1)+SUMPRODUCT($B$99:$B$104,(CD99:CD104&gt;CC99:CC104)*1))*$B$21</f>
        <v>0</v>
      </c>
      <c r="CE82" s="388" t="n">
        <f aca="false">(SUMPRODUCT($B$49:$B$58,(CE49:CE58&gt;CD49:CD58)*1)+SUMPRODUCT($B$61:$B$68,(CE61:CE68&gt;CD61:CD68)*1)+SUMPRODUCT($B$71:$B$74,(CE71:CE74&gt;CD71:CD74)*1)+SUMPRODUCT($B$77:$B$78,(CE77:CE78&gt;CD77:CD78)*1)+SUMPRODUCT($B$99:$B$104,(CE99:CE104&gt;CD99:CD104)*1))*$B$21</f>
        <v>0</v>
      </c>
      <c r="CF82" s="388" t="n">
        <f aca="false">(SUMPRODUCT($B$49:$B$58,(CF49:CF58&gt;CE49:CE58)*1)+SUMPRODUCT($B$61:$B$68,(CF61:CF68&gt;CE61:CE68)*1)+SUMPRODUCT($B$71:$B$74,(CF71:CF74&gt;CE71:CE74)*1)+SUMPRODUCT($B$77:$B$78,(CF77:CF78&gt;CE77:CE78)*1)+SUMPRODUCT($B$99:$B$104,(CF99:CF104&gt;CE99:CE104)*1))*$B$21</f>
        <v>0</v>
      </c>
      <c r="CG82" s="388" t="n">
        <f aca="false">(SUMPRODUCT($B$49:$B$58,(CG49:CG58&gt;CF49:CF58)*1)+SUMPRODUCT($B$61:$B$68,(CG61:CG68&gt;CF61:CF68)*1)+SUMPRODUCT($B$71:$B$74,(CG71:CG74&gt;CF71:CF74)*1)+SUMPRODUCT($B$77:$B$78,(CG77:CG78&gt;CF77:CF78)*1)+SUMPRODUCT($B$99:$B$104,(CG99:CG104&gt;CF99:CF104)*1))*$B$21</f>
        <v>0</v>
      </c>
      <c r="CH82" s="388" t="n">
        <f aca="false">(SUMPRODUCT($B$49:$B$58,(CH49:CH58&gt;CG49:CG58)*1)+SUMPRODUCT($B$61:$B$68,(CH61:CH68&gt;CG61:CG68)*1)+SUMPRODUCT($B$71:$B$74,(CH71:CH74&gt;CG71:CG74)*1)+SUMPRODUCT($B$77:$B$78,(CH77:CH78&gt;CG77:CG78)*1)+SUMPRODUCT($B$99:$B$104,(CH99:CH104&gt;CG99:CG104)*1))*$B$21</f>
        <v>0</v>
      </c>
      <c r="CI82" s="388" t="n">
        <f aca="false">(SUMPRODUCT($B$49:$B$58,(CI49:CI58&gt;CH49:CH58)*1)+SUMPRODUCT($B$61:$B$68,(CI61:CI68&gt;CH61:CH68)*1)+SUMPRODUCT($B$71:$B$74,(CI71:CI74&gt;CH71:CH74)*1)+SUMPRODUCT($B$77:$B$78,(CI77:CI78&gt;CH77:CH78)*1)+SUMPRODUCT($B$99:$B$104,(CI99:CI104&gt;CH99:CH104)*1))*$B$21</f>
        <v>0</v>
      </c>
      <c r="CJ82" s="388" t="n">
        <f aca="false">(SUMPRODUCT($B$49:$B$58,(CJ49:CJ58&gt;CI49:CI58)*1)+SUMPRODUCT($B$61:$B$68,(CJ61:CJ68&gt;CI61:CI68)*1)+SUMPRODUCT($B$71:$B$74,(CJ71:CJ74&gt;CI71:CI74)*1)+SUMPRODUCT($B$77:$B$78,(CJ77:CJ78&gt;CI77:CI78)*1)+SUMPRODUCT($B$99:$B$104,(CJ99:CJ104&gt;CI99:CI104)*1))*$B$21</f>
        <v>0</v>
      </c>
      <c r="CK82" s="388" t="n">
        <f aca="false">(SUMPRODUCT($B$49:$B$58,(CK49:CK58&gt;CJ49:CJ58)*1)+SUMPRODUCT($B$61:$B$68,(CK61:CK68&gt;CJ61:CJ68)*1)+SUMPRODUCT($B$71:$B$74,(CK71:CK74&gt;CJ71:CJ74)*1)+SUMPRODUCT($B$77:$B$78,(CK77:CK78&gt;CJ77:CJ78)*1)+SUMPRODUCT($B$99:$B$104,(CK99:CK104&gt;CJ99:CJ104)*1))*$B$21</f>
        <v>0</v>
      </c>
      <c r="CL82" s="388" t="n">
        <f aca="false">(SUMPRODUCT($B$49:$B$58,(CL49:CL58&gt;CK49:CK58)*1)+SUMPRODUCT($B$61:$B$68,(CL61:CL68&gt;CK61:CK68)*1)+SUMPRODUCT($B$71:$B$74,(CL71:CL74&gt;CK71:CK74)*1)+SUMPRODUCT($B$77:$B$78,(CL77:CL78&gt;CK77:CK78)*1)+SUMPRODUCT($B$99:$B$104,(CL99:CL104&gt;CK99:CK104)*1))*$B$21</f>
        <v>0</v>
      </c>
      <c r="CM82" s="388" t="n">
        <f aca="false">(SUMPRODUCT($B$49:$B$58,(CM49:CM58&gt;CL49:CL58)*1)+SUMPRODUCT($B$61:$B$68,(CM61:CM68&gt;CL61:CL68)*1)+SUMPRODUCT($B$71:$B$74,(CM71:CM74&gt;CL71:CL74)*1)+SUMPRODUCT($B$77:$B$78,(CM77:CM78&gt;CL77:CL78)*1)+SUMPRODUCT($B$99:$B$104,(CM99:CM104&gt;CL99:CL104)*1))*$B$21</f>
        <v>0</v>
      </c>
      <c r="CN82" s="388" t="n">
        <f aca="false">(SUMPRODUCT($B$49:$B$58,(CN49:CN58&gt;CM49:CM58)*1)+SUMPRODUCT($B$61:$B$68,(CN61:CN68&gt;CM61:CM68)*1)+SUMPRODUCT($B$71:$B$74,(CN71:CN74&gt;CM71:CM74)*1)+SUMPRODUCT($B$77:$B$78,(CN77:CN78&gt;CM77:CM78)*1)+SUMPRODUCT($B$99:$B$104,(CN99:CN104&gt;CM99:CM104)*1))*$B$21</f>
        <v>0</v>
      </c>
      <c r="CO82" s="388" t="n">
        <f aca="false">(SUMPRODUCT($B$49:$B$58,(CO49:CO58&gt;CN49:CN58)*1)+SUMPRODUCT($B$61:$B$68,(CO61:CO68&gt;CN61:CN68)*1)+SUMPRODUCT($B$71:$B$74,(CO71:CO74&gt;CN71:CN74)*1)+SUMPRODUCT($B$77:$B$78,(CO77:CO78&gt;CN77:CN78)*1)+SUMPRODUCT($B$99:$B$104,(CO99:CO104&gt;CN99:CN104)*1))*$B$21</f>
        <v>0</v>
      </c>
      <c r="CP82" s="388" t="n">
        <f aca="false">(SUMPRODUCT($B$49:$B$58,(CP49:CP58&gt;CO49:CO58)*1)+SUMPRODUCT($B$61:$B$68,(CP61:CP68&gt;CO61:CO68)*1)+SUMPRODUCT($B$71:$B$74,(CP71:CP74&gt;CO71:CO74)*1)+SUMPRODUCT($B$77:$B$78,(CP77:CP78&gt;CO77:CO78)*1)+SUMPRODUCT($B$99:$B$104,(CP99:CP104&gt;CO99:CO104)*1))*$B$21</f>
        <v>0</v>
      </c>
      <c r="CQ82" s="388" t="n">
        <f aca="false">(SUMPRODUCT($B$49:$B$58,(CQ49:CQ58&gt;CP49:CP58)*1)+SUMPRODUCT($B$61:$B$68,(CQ61:CQ68&gt;CP61:CP68)*1)+SUMPRODUCT($B$71:$B$74,(CQ71:CQ74&gt;CP71:CP74)*1)+SUMPRODUCT($B$77:$B$78,(CQ77:CQ78&gt;CP77:CP78)*1)+SUMPRODUCT($B$99:$B$104,(CQ99:CQ104&gt;CP99:CP104)*1))*$B$21</f>
        <v>0</v>
      </c>
      <c r="CR82" s="388" t="n">
        <f aca="false">(SUMPRODUCT($B$49:$B$58,(CR49:CR58&gt;CQ49:CQ58)*1)+SUMPRODUCT($B$61:$B$68,(CR61:CR68&gt;CQ61:CQ68)*1)+SUMPRODUCT($B$71:$B$74,(CR71:CR74&gt;CQ71:CQ74)*1)+SUMPRODUCT($B$77:$B$78,(CR77:CR78&gt;CQ77:CQ78)*1)+SUMPRODUCT($B$99:$B$104,(CR99:CR104&gt;CQ99:CQ104)*1))*$B$21</f>
        <v>0</v>
      </c>
      <c r="CS82" s="388" t="n">
        <f aca="false">(SUMPRODUCT($B$49:$B$58,(CS49:CS58&gt;CR49:CR58)*1)+SUMPRODUCT($B$61:$B$68,(CS61:CS68&gt;CR61:CR68)*1)+SUMPRODUCT($B$71:$B$74,(CS71:CS74&gt;CR71:CR74)*1)+SUMPRODUCT($B$77:$B$78,(CS77:CS78&gt;CR77:CR78)*1)+SUMPRODUCT($B$99:$B$104,(CS99:CS104&gt;CR99:CR104)*1))*$B$21</f>
        <v>0</v>
      </c>
      <c r="CT82" s="388" t="n">
        <f aca="false">(SUMPRODUCT($B$49:$B$58,(CT49:CT58&gt;CS49:CS58)*1)+SUMPRODUCT($B$61:$B$68,(CT61:CT68&gt;CS61:CS68)*1)+SUMPRODUCT($B$71:$B$74,(CT71:CT74&gt;CS71:CS74)*1)+SUMPRODUCT($B$77:$B$78,(CT77:CT78&gt;CS77:CS78)*1)+SUMPRODUCT($B$99:$B$104,(CT99:CT104&gt;CS99:CS104)*1))*$B$21</f>
        <v>0</v>
      </c>
      <c r="CU82" s="388" t="n">
        <f aca="false">(SUMPRODUCT($B$49:$B$58,(CU49:CU58&gt;CT49:CT58)*1)+SUMPRODUCT($B$61:$B$68,(CU61:CU68&gt;CT61:CT68)*1)+SUMPRODUCT($B$71:$B$74,(CU71:CU74&gt;CT71:CT74)*1)+SUMPRODUCT($B$77:$B$78,(CU77:CU78&gt;CT77:CT78)*1)+SUMPRODUCT($B$99:$B$104,(CU99:CU104&gt;CT99:CT104)*1))*$B$21</f>
        <v>0</v>
      </c>
      <c r="CV82" s="388" t="n">
        <f aca="false">(SUMPRODUCT($B$49:$B$58,(CV49:CV58&gt;CU49:CU58)*1)+SUMPRODUCT($B$61:$B$68,(CV61:CV68&gt;CU61:CU68)*1)+SUMPRODUCT($B$71:$B$74,(CV71:CV74&gt;CU71:CU74)*1)+SUMPRODUCT($B$77:$B$78,(CV77:CV78&gt;CU77:CU78)*1)+SUMPRODUCT($B$99:$B$104,(CV99:CV104&gt;CU99:CU104)*1))*$B$21</f>
        <v>0</v>
      </c>
      <c r="CW82" s="388" t="n">
        <f aca="false">(SUMPRODUCT($B$49:$B$58,(CW49:CW58&gt;CV49:CV58)*1)+SUMPRODUCT($B$61:$B$68,(CW61:CW68&gt;CV61:CV68)*1)+SUMPRODUCT($B$71:$B$74,(CW71:CW74&gt;CV71:CV74)*1)+SUMPRODUCT($B$77:$B$78,(CW77:CW78&gt;CV77:CV78)*1)+SUMPRODUCT($B$99:$B$104,(CW99:CW104&gt;CV99:CV104)*1))*$B$21</f>
        <v>0</v>
      </c>
      <c r="CX82" s="388" t="n">
        <f aca="false">(SUMPRODUCT($B$49:$B$58,(CX49:CX58&gt;CW49:CW58)*1)+SUMPRODUCT($B$61:$B$68,(CX61:CX68&gt;CW61:CW68)*1)+SUMPRODUCT($B$71:$B$74,(CX71:CX74&gt;CW71:CW74)*1)+SUMPRODUCT($B$77:$B$78,(CX77:CX78&gt;CW77:CW78)*1)+SUMPRODUCT($B$99:$B$104,(CX99:CX104&gt;CW99:CW104)*1))*$B$21</f>
        <v>0</v>
      </c>
      <c r="CY82" s="388" t="n">
        <f aca="false">(SUMPRODUCT($B$49:$B$58,(CY49:CY58&gt;CX49:CX58)*1)+SUMPRODUCT($B$61:$B$68,(CY61:CY68&gt;CX61:CX68)*1)+SUMPRODUCT($B$71:$B$74,(CY71:CY74&gt;CX71:CX74)*1)+SUMPRODUCT($B$77:$B$78,(CY77:CY78&gt;CX77:CX78)*1)+SUMPRODUCT($B$99:$B$104,(CY99:CY104&gt;CX99:CX104)*1))*$B$21</f>
        <v>0</v>
      </c>
      <c r="CZ82" s="388" t="n">
        <f aca="false">(SUMPRODUCT($B$49:$B$58,(CZ49:CZ58&gt;CY49:CY58)*1)+SUMPRODUCT($B$61:$B$68,(CZ61:CZ68&gt;CY61:CY68)*1)+SUMPRODUCT($B$71:$B$74,(CZ71:CZ74&gt;CY71:CY74)*1)+SUMPRODUCT($B$77:$B$78,(CZ77:CZ78&gt;CY77:CY78)*1)+SUMPRODUCT($B$99:$B$104,(CZ99:CZ104&gt;CY99:CY104)*1))*$B$21</f>
        <v>0</v>
      </c>
      <c r="DA82" s="388" t="n">
        <f aca="false">(SUMPRODUCT($B$49:$B$58,(DA49:DA58&gt;CZ49:CZ58)*1)+SUMPRODUCT($B$61:$B$68,(DA61:DA68&gt;CZ61:CZ68)*1)+SUMPRODUCT($B$71:$B$74,(DA71:DA74&gt;CZ71:CZ74)*1)+SUMPRODUCT($B$77:$B$78,(DA77:DA78&gt;CZ77:CZ78)*1)+SUMPRODUCT($B$99:$B$104,(DA99:DA104&gt;CZ99:CZ104)*1))*$B$21</f>
        <v>0</v>
      </c>
      <c r="DB82" s="388" t="n">
        <f aca="false">(SUMPRODUCT($B$49:$B$58,(DB49:DB58&gt;DA49:DA58)*1)+SUMPRODUCT($B$61:$B$68,(DB61:DB68&gt;DA61:DA68)*1)+SUMPRODUCT($B$71:$B$74,(DB71:DB74&gt;DA71:DA74)*1)+SUMPRODUCT($B$77:$B$78,(DB77:DB78&gt;DA77:DA78)*1)+SUMPRODUCT($B$99:$B$104,(DB99:DB104&gt;DA99:DA104)*1))*$B$21</f>
        <v>0</v>
      </c>
      <c r="DC82" s="388" t="n">
        <f aca="false">(SUMPRODUCT($B$49:$B$58,(DC49:DC58&gt;DB49:DB58)*1)+SUMPRODUCT($B$61:$B$68,(DC61:DC68&gt;DB61:DB68)*1)+SUMPRODUCT($B$71:$B$74,(DC71:DC74&gt;DB71:DB74)*1)+SUMPRODUCT($B$77:$B$78,(DC77:DC78&gt;DB77:DB78)*1)+SUMPRODUCT($B$99:$B$104,(DC99:DC104&gt;DB99:DB104)*1))*$B$21</f>
        <v>0</v>
      </c>
      <c r="DD82" s="388" t="n">
        <f aca="false">(SUMPRODUCT($B$49:$B$58,(DD49:DD58&gt;DC49:DC58)*1)+SUMPRODUCT($B$61:$B$68,(DD61:DD68&gt;DC61:DC68)*1)+SUMPRODUCT($B$71:$B$74,(DD71:DD74&gt;DC71:DC74)*1)+SUMPRODUCT($B$77:$B$78,(DD77:DD78&gt;DC77:DC78)*1)+SUMPRODUCT($B$99:$B$104,(DD99:DD104&gt;DC99:DC104)*1))*$B$21</f>
        <v>0</v>
      </c>
      <c r="DE82" s="388"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1414</v>
      </c>
      <c r="E83" s="388" t="n">
        <v>0</v>
      </c>
      <c r="F83" s="388" t="n">
        <f aca="false">(SUMPRODUCT($B$49:$B$58,(E49:E58&gt;F49:F58)*1)+SUMPRODUCT($B$61:$B$68,(E61:E68&gt;F61:F68)*1)+SUMPRODUCT($B$71:$B$74,(E71:E74&gt;F71:F74)*1)+SUMPRODUCT($B$77:$B$78,(E77:E78&gt;F77:F78)*1)+SUMPRODUCT($B$99:$B$104,(E99:E104&gt;F99:F104)*1))*$B$20/52</f>
        <v>0</v>
      </c>
      <c r="G83" s="388" t="n">
        <f aca="false">(SUMPRODUCT($B$49:$B$58,(F49:F58&gt;G49:G58)*1)+SUMPRODUCT($B$61:$B$68,(F61:F68&gt;G61:G68)*1)+SUMPRODUCT($B$71:$B$74,(F71:F74&gt;G71:G74)*1)+SUMPRODUCT($B$77:$B$78,(F77:F78&gt;G77:G78)*1)+SUMPRODUCT($B$99:$B$104,(F99:F104&gt;G99:G104)*1))*$B$20/52</f>
        <v>0</v>
      </c>
      <c r="H83" s="388" t="n">
        <f aca="false">(SUMPRODUCT($B$49:$B$58,(G49:G58&gt;H49:H58)*1)+SUMPRODUCT($B$61:$B$68,(G61:G68&gt;H61:H68)*1)+SUMPRODUCT($B$71:$B$74,(G71:G74&gt;H71:H74)*1)+SUMPRODUCT($B$77:$B$78,(G77:G78&gt;H77:H78)*1)+SUMPRODUCT($B$99:$B$104,(G99:G104&gt;H99:H104)*1))*$B$20/52</f>
        <v>0</v>
      </c>
      <c r="I83" s="388" t="n">
        <f aca="false">(SUMPRODUCT($B$49:$B$58,(H49:H58&gt;I49:I58)*1)+SUMPRODUCT($B$61:$B$68,(H61:H68&gt;I61:I68)*1)+SUMPRODUCT($B$71:$B$74,(H71:H74&gt;I71:I74)*1)+SUMPRODUCT($B$77:$B$78,(H77:H78&gt;I77:I78)*1)+SUMPRODUCT($B$99:$B$104,(H99:H104&gt;I99:I104)*1))*$B$20/52</f>
        <v>0</v>
      </c>
      <c r="J83" s="388" t="n">
        <f aca="false">(SUMPRODUCT($B$49:$B$58,(I49:I58&gt;J49:J58)*1)+SUMPRODUCT($B$61:$B$68,(I61:I68&gt;J61:J68)*1)+SUMPRODUCT($B$71:$B$74,(I71:I74&gt;J71:J74)*1)+SUMPRODUCT($B$77:$B$78,(I77:I78&gt;J77:J78)*1)+SUMPRODUCT($B$99:$B$104,(I99:I104&gt;J99:J104)*1))*$B$20/52</f>
        <v>10000</v>
      </c>
      <c r="K83" s="388" t="n">
        <f aca="false">(SUMPRODUCT($B$49:$B$58,(J49:J58&gt;K49:K58)*1)+SUMPRODUCT($B$61:$B$68,(J61:J68&gt;K61:K68)*1)+SUMPRODUCT($B$71:$B$74,(J71:J74&gt;K71:K74)*1)+SUMPRODUCT($B$77:$B$78,(J77:J78&gt;K77:K78)*1)+SUMPRODUCT($B$99:$B$104,(J99:J104&gt;K99:K104)*1))*$B$20/52</f>
        <v>0</v>
      </c>
      <c r="L83" s="388" t="n">
        <f aca="false">(SUMPRODUCT($B$49:$B$58,(K49:K58&gt;L49:L58)*1)+SUMPRODUCT($B$61:$B$68,(K61:K68&gt;L61:L68)*1)+SUMPRODUCT($B$71:$B$74,(K71:K74&gt;L71:L74)*1)+SUMPRODUCT($B$77:$B$78,(K77:K78&gt;L77:L78)*1)+SUMPRODUCT($B$99:$B$104,(K99:K104&gt;L99:L104)*1))*$B$20/52</f>
        <v>0</v>
      </c>
      <c r="M83" s="388" t="n">
        <f aca="false">(SUMPRODUCT($B$49:$B$58,(L49:L58&gt;M49:M58)*1)+SUMPRODUCT($B$61:$B$68,(L61:L68&gt;M61:M68)*1)+SUMPRODUCT($B$71:$B$74,(L71:L74&gt;M71:M74)*1)+SUMPRODUCT($B$77:$B$78,(L77:L78&gt;M77:M78)*1)+SUMPRODUCT($B$99:$B$104,(L99:L104&gt;M99:M104)*1))*$B$20/52</f>
        <v>0</v>
      </c>
      <c r="N83" s="388" t="n">
        <f aca="false">(SUMPRODUCT($B$49:$B$58,(M49:M58&gt;N49:N58)*1)+SUMPRODUCT($B$61:$B$68,(M61:M68&gt;N61:N68)*1)+SUMPRODUCT($B$71:$B$74,(M71:M74&gt;N71:N74)*1)+SUMPRODUCT($B$77:$B$78,(M77:M78&gt;N77:N78)*1)+SUMPRODUCT($B$99:$B$104,(M99:M104&gt;N99:N104)*1))*$B$20/52</f>
        <v>0</v>
      </c>
      <c r="O83" s="388" t="n">
        <f aca="false">(SUMPRODUCT($B$49:$B$58,(N49:N58&gt;O49:O58)*1)+SUMPRODUCT($B$61:$B$68,(N61:N68&gt;O61:O68)*1)+SUMPRODUCT($B$71:$B$74,(N71:N74&gt;O71:O74)*1)+SUMPRODUCT($B$77:$B$78,(N77:N78&gt;O77:O78)*1)+SUMPRODUCT($B$99:$B$104,(N99:N104&gt;O99:O104)*1))*$B$20/52</f>
        <v>0</v>
      </c>
      <c r="P83" s="388" t="n">
        <f aca="false">(SUMPRODUCT($B$49:$B$58,(O49:O58&gt;P49:P58)*1)+SUMPRODUCT($B$61:$B$68,(O61:O68&gt;P61:P68)*1)+SUMPRODUCT($B$71:$B$74,(O71:O74&gt;P71:P74)*1)+SUMPRODUCT($B$77:$B$78,(O77:O78&gt;P77:P78)*1)+SUMPRODUCT($B$99:$B$104,(O99:O104&gt;P99:P104)*1))*$B$20/52</f>
        <v>0</v>
      </c>
      <c r="Q83" s="388" t="n">
        <f aca="false">(SUMPRODUCT($B$49:$B$58,(P49:P58&gt;Q49:Q58)*1)+SUMPRODUCT($B$61:$B$68,(P61:P68&gt;Q61:Q68)*1)+SUMPRODUCT($B$71:$B$74,(P71:P74&gt;Q71:Q74)*1)+SUMPRODUCT($B$77:$B$78,(P77:P78&gt;Q77:Q78)*1)+SUMPRODUCT($B$99:$B$104,(P99:P104&gt;Q99:Q104)*1))*$B$20/52</f>
        <v>0</v>
      </c>
      <c r="R83" s="388" t="n">
        <f aca="false">(SUMPRODUCT($B$49:$B$58,(Q49:Q58&gt;R49:R58)*1)+SUMPRODUCT($B$61:$B$68,(Q61:Q68&gt;R61:R68)*1)+SUMPRODUCT($B$71:$B$74,(Q71:Q74&gt;R71:R74)*1)+SUMPRODUCT($B$77:$B$78,(Q77:Q78&gt;R77:R78)*1)+SUMPRODUCT($B$99:$B$104,(Q99:Q104&gt;R99:R104)*1))*$B$20/52</f>
        <v>0</v>
      </c>
      <c r="S83" s="388" t="n">
        <f aca="false">(SUMPRODUCT($B$49:$B$58,(R49:R58&gt;S49:S58)*1)+SUMPRODUCT($B$61:$B$68,(R61:R68&gt;S61:S68)*1)+SUMPRODUCT($B$71:$B$74,(R71:R74&gt;S71:S74)*1)+SUMPRODUCT($B$77:$B$78,(R77:R78&gt;S77:S78)*1)+SUMPRODUCT($B$99:$B$104,(R99:R104&gt;S99:S104)*1))*$B$20/52</f>
        <v>0</v>
      </c>
      <c r="T83" s="388" t="n">
        <f aca="false">(SUMPRODUCT($B$49:$B$58,(S49:S58&gt;T49:T58)*1)+SUMPRODUCT($B$61:$B$68,(S61:S68&gt;T61:T68)*1)+SUMPRODUCT($B$71:$B$74,(S71:S74&gt;T71:T74)*1)+SUMPRODUCT($B$77:$B$78,(S77:S78&gt;T77:T78)*1)+SUMPRODUCT($B$99:$B$104,(S99:S104&gt;T99:T104)*1))*$B$20/52</f>
        <v>0</v>
      </c>
      <c r="U83" s="388" t="n">
        <f aca="false">(SUMPRODUCT($B$49:$B$58,(T49:T58&gt;U49:U58)*1)+SUMPRODUCT($B$61:$B$68,(T61:T68&gt;U61:U68)*1)+SUMPRODUCT($B$71:$B$74,(T71:T74&gt;U71:U74)*1)+SUMPRODUCT($B$77:$B$78,(T77:T78&gt;U77:U78)*1)+SUMPRODUCT($B$99:$B$104,(T99:T104&gt;U99:U104)*1))*$B$20/52</f>
        <v>0</v>
      </c>
      <c r="V83" s="388" t="n">
        <f aca="false">(SUMPRODUCT($B$49:$B$58,(U49:U58&gt;V49:V58)*1)+SUMPRODUCT($B$61:$B$68,(U61:U68&gt;V61:V68)*1)+SUMPRODUCT($B$71:$B$74,(U71:U74&gt;V71:V74)*1)+SUMPRODUCT($B$77:$B$78,(U77:U78&gt;V77:V78)*1)+SUMPRODUCT($B$99:$B$104,(U99:U104&gt;V99:V104)*1))*$B$20/52</f>
        <v>0</v>
      </c>
      <c r="W83" s="388" t="n">
        <f aca="false">(SUMPRODUCT($B$49:$B$58,(V49:V58&gt;W49:W58)*1)+SUMPRODUCT($B$61:$B$68,(V61:V68&gt;W61:W68)*1)+SUMPRODUCT($B$71:$B$74,(V71:V74&gt;W71:W74)*1)+SUMPRODUCT($B$77:$B$78,(V77:V78&gt;W77:W78)*1)+SUMPRODUCT($B$99:$B$104,(V99:V104&gt;W99:W104)*1))*$B$20/52</f>
        <v>0</v>
      </c>
      <c r="X83" s="388" t="n">
        <f aca="false">(SUMPRODUCT($B$49:$B$58,(W49:W58&gt;X49:X58)*1)+SUMPRODUCT($B$61:$B$68,(W61:W68&gt;X61:X68)*1)+SUMPRODUCT($B$71:$B$74,(W71:W74&gt;X71:X74)*1)+SUMPRODUCT($B$77:$B$78,(W77:W78&gt;X77:X78)*1)+SUMPRODUCT($B$99:$B$104,(W99:W104&gt;X99:X104)*1))*$B$20/52</f>
        <v>0</v>
      </c>
      <c r="Y83" s="388" t="n">
        <f aca="false">(SUMPRODUCT($B$49:$B$58,(X49:X58&gt;Y49:Y58)*1)+SUMPRODUCT($B$61:$B$68,(X61:X68&gt;Y61:Y68)*1)+SUMPRODUCT($B$71:$B$74,(X71:X74&gt;Y71:Y74)*1)+SUMPRODUCT($B$77:$B$78,(X77:X78&gt;Y77:Y78)*1)+SUMPRODUCT($B$99:$B$104,(X99:X104&gt;Y99:Y104)*1))*$B$20/52</f>
        <v>0</v>
      </c>
      <c r="Z83" s="388" t="n">
        <f aca="false">(SUMPRODUCT($B$49:$B$58,(Y49:Y58&gt;Z49:Z58)*1)+SUMPRODUCT($B$61:$B$68,(Y61:Y68&gt;Z61:Z68)*1)+SUMPRODUCT($B$71:$B$74,(Y71:Y74&gt;Z71:Z74)*1)+SUMPRODUCT($B$77:$B$78,(Y77:Y78&gt;Z77:Z78)*1)+SUMPRODUCT($B$99:$B$104,(Y99:Y104&gt;Z99:Z104)*1))*$B$20/52</f>
        <v>9615.38461538462</v>
      </c>
      <c r="AA83" s="388" t="n">
        <f aca="false">(SUMPRODUCT($B$49:$B$58,(Z49:Z58&gt;AA49:AA58)*1)+SUMPRODUCT($B$61:$B$68,(Z61:Z68&gt;AA61:AA68)*1)+SUMPRODUCT($B$71:$B$74,(Z71:Z74&gt;AA71:AA74)*1)+SUMPRODUCT($B$77:$B$78,(Z77:Z78&gt;AA77:AA78)*1)+SUMPRODUCT($B$99:$B$104,(Z99:Z104&gt;AA99:AA104)*1))*$B$20/52</f>
        <v>0</v>
      </c>
      <c r="AB83" s="388" t="n">
        <f aca="false">(SUMPRODUCT($B$49:$B$58,(AA49:AA58&gt;AB49:AB58)*1)+SUMPRODUCT($B$61:$B$68,(AA61:AA68&gt;AB61:AB68)*1)+SUMPRODUCT($B$71:$B$74,(AA71:AA74&gt;AB71:AB74)*1)+SUMPRODUCT($B$77:$B$78,(AA77:AA78&gt;AB77:AB78)*1)+SUMPRODUCT($B$99:$B$104,(AA99:AA104&gt;AB99:AB104)*1))*$B$20/52</f>
        <v>6153.84615384615</v>
      </c>
      <c r="AC83" s="388" t="n">
        <f aca="false">(SUMPRODUCT($B$49:$B$58,(AB49:AB58&gt;AC49:AC58)*1)+SUMPRODUCT($B$61:$B$68,(AB61:AB68&gt;AC61:AC68)*1)+SUMPRODUCT($B$71:$B$74,(AB71:AB74&gt;AC71:AC74)*1)+SUMPRODUCT($B$77:$B$78,(AB77:AB78&gt;AC77:AC78)*1)+SUMPRODUCT($B$99:$B$104,(AB99:AB104&gt;AC99:AC104)*1))*$B$20/52</f>
        <v>0</v>
      </c>
      <c r="AD83" s="388" t="n">
        <f aca="false">(SUMPRODUCT($B$49:$B$58,(AC49:AC58&gt;AD49:AD58)*1)+SUMPRODUCT($B$61:$B$68,(AC61:AC68&gt;AD61:AD68)*1)+SUMPRODUCT($B$71:$B$74,(AC71:AC74&gt;AD71:AD74)*1)+SUMPRODUCT($B$77:$B$78,(AC77:AC78&gt;AD77:AD78)*1)+SUMPRODUCT($B$99:$B$104,(AC99:AC104&gt;AD99:AD104)*1))*$B$20/52</f>
        <v>21923.0769230769</v>
      </c>
      <c r="AE83" s="388" t="n">
        <f aca="false">(SUMPRODUCT($B$49:$B$58,(AD49:AD58&gt;AE49:AE58)*1)+SUMPRODUCT($B$61:$B$68,(AD61:AD68&gt;AE61:AE68)*1)+SUMPRODUCT($B$71:$B$74,(AD71:AD74&gt;AE71:AE74)*1)+SUMPRODUCT($B$77:$B$78,(AD77:AD78&gt;AE77:AE78)*1)+SUMPRODUCT($B$99:$B$104,(AD99:AD104&gt;AE99:AE104)*1))*$B$20/52</f>
        <v>0</v>
      </c>
      <c r="AF83" s="388" t="n">
        <f aca="false">(SUMPRODUCT($B$49:$B$58,(AE49:AE58&gt;AF49:AF58)*1)+SUMPRODUCT($B$61:$B$68,(AE61:AE68&gt;AF61:AF68)*1)+SUMPRODUCT($B$71:$B$74,(AE71:AE74&gt;AF71:AF74)*1)+SUMPRODUCT($B$77:$B$78,(AE77:AE78&gt;AF77:AF78)*1)+SUMPRODUCT($B$99:$B$104,(AE99:AE104&gt;AF99:AF104)*1))*$B$20/52</f>
        <v>0</v>
      </c>
      <c r="AG83" s="388" t="n">
        <f aca="false">(SUMPRODUCT($B$49:$B$58,(AF49:AF58&gt;AG49:AG58)*1)+SUMPRODUCT($B$61:$B$68,(AF61:AF68&gt;AG61:AG68)*1)+SUMPRODUCT($B$71:$B$74,(AF71:AF74&gt;AG71:AG74)*1)+SUMPRODUCT($B$77:$B$78,(AF77:AF78&gt;AG77:AG78)*1)+SUMPRODUCT($B$99:$B$104,(AF99:AF104&gt;AG99:AG104)*1))*$B$20/52</f>
        <v>0</v>
      </c>
      <c r="AH83" s="388" t="n">
        <f aca="false">(SUMPRODUCT($B$49:$B$58,(AG49:AG58&gt;AH49:AH58)*1)+SUMPRODUCT($B$61:$B$68,(AG61:AG68&gt;AH61:AH68)*1)+SUMPRODUCT($B$71:$B$74,(AG71:AG74&gt;AH71:AH74)*1)+SUMPRODUCT($B$77:$B$78,(AG77:AG78&gt;AH77:AH78)*1)+SUMPRODUCT($B$99:$B$104,(AG99:AG104&gt;AH99:AH104)*1))*$B$20/52</f>
        <v>12307.6923076923</v>
      </c>
      <c r="AI83" s="388" t="n">
        <f aca="false">(SUMPRODUCT($B$49:$B$58,(AH49:AH58&gt;AI49:AI58)*1)+SUMPRODUCT($B$61:$B$68,(AH61:AH68&gt;AI61:AI68)*1)+SUMPRODUCT($B$71:$B$74,(AH71:AH74&gt;AI71:AI74)*1)+SUMPRODUCT($B$77:$B$78,(AH77:AH78&gt;AI77:AI78)*1)+SUMPRODUCT($B$99:$B$104,(AH99:AH104&gt;AI99:AI104)*1))*$B$20/52</f>
        <v>0</v>
      </c>
      <c r="AJ83" s="388" t="n">
        <f aca="false">(SUMPRODUCT($B$49:$B$58,(AI49:AI58&gt;AJ49:AJ58)*1)+SUMPRODUCT($B$61:$B$68,(AI61:AI68&gt;AJ61:AJ68)*1)+SUMPRODUCT($B$71:$B$74,(AI71:AI74&gt;AJ71:AJ74)*1)+SUMPRODUCT($B$77:$B$78,(AI77:AI78&gt;AJ77:AJ78)*1)+SUMPRODUCT($B$99:$B$104,(AI99:AI104&gt;AJ99:AJ104)*1))*$B$20/52</f>
        <v>0</v>
      </c>
      <c r="AK83" s="388" t="n">
        <f aca="false">(SUMPRODUCT($B$49:$B$58,(AJ49:AJ58&gt;AK49:AK58)*1)+SUMPRODUCT($B$61:$B$68,(AJ61:AJ68&gt;AK61:AK68)*1)+SUMPRODUCT($B$71:$B$74,(AJ71:AJ74&gt;AK71:AK74)*1)+SUMPRODUCT($B$77:$B$78,(AJ77:AJ78&gt;AK77:AK78)*1)+SUMPRODUCT($B$99:$B$104,(AJ99:AJ104&gt;AK99:AK104)*1))*$B$20/52</f>
        <v>0</v>
      </c>
      <c r="AL83" s="388" t="n">
        <f aca="false">(SUMPRODUCT($B$49:$B$58,(AK49:AK58&gt;AL49:AL58)*1)+SUMPRODUCT($B$61:$B$68,(AK61:AK68&gt;AL61:AL68)*1)+SUMPRODUCT($B$71:$B$74,(AK71:AK74&gt;AL71:AL74)*1)+SUMPRODUCT($B$77:$B$78,(AK77:AK78&gt;AL77:AL78)*1)+SUMPRODUCT($B$99:$B$104,(AK99:AK104&gt;AL99:AL104)*1))*$B$20/52</f>
        <v>6153.84615384615</v>
      </c>
      <c r="AM83" s="388" t="n">
        <f aca="false">(SUMPRODUCT($B$49:$B$58,(AL49:AL58&gt;AM49:AM58)*1)+SUMPRODUCT($B$61:$B$68,(AL61:AL68&gt;AM61:AM68)*1)+SUMPRODUCT($B$71:$B$74,(AL71:AL74&gt;AM71:AM74)*1)+SUMPRODUCT($B$77:$B$78,(AL77:AL78&gt;AM77:AM78)*1)+SUMPRODUCT($B$99:$B$104,(AL99:AL104&gt;AM99:AM104)*1))*$B$20/52</f>
        <v>48461.5384615385</v>
      </c>
      <c r="AN83" s="388" t="n">
        <f aca="false">(SUMPRODUCT($B$49:$B$58,(AM49:AM58&gt;AN49:AN58)*1)+SUMPRODUCT($B$61:$B$68,(AM61:AM68&gt;AN61:AN68)*1)+SUMPRODUCT($B$71:$B$74,(AM71:AM74&gt;AN71:AN74)*1)+SUMPRODUCT($B$77:$B$78,(AM77:AM78&gt;AN77:AN78)*1)+SUMPRODUCT($B$99:$B$104,(AM99:AM104&gt;AN99:AN104)*1))*$B$20/52</f>
        <v>21923.0769230769</v>
      </c>
      <c r="AO83" s="388" t="n">
        <f aca="false">(SUMPRODUCT($B$49:$B$58,(AN49:AN58&gt;AO49:AO58)*1)+SUMPRODUCT($B$61:$B$68,(AN61:AN68&gt;AO61:AO68)*1)+SUMPRODUCT($B$71:$B$74,(AN71:AN74&gt;AO71:AO74)*1)+SUMPRODUCT($B$77:$B$78,(AN77:AN78&gt;AO77:AO78)*1)+SUMPRODUCT($B$99:$B$104,(AN99:AN104&gt;AO99:AO104)*1))*$B$20/52</f>
        <v>0</v>
      </c>
      <c r="AP83" s="388" t="n">
        <f aca="false">(SUMPRODUCT($B$49:$B$58,(AO49:AO58&gt;AP49:AP58)*1)+SUMPRODUCT($B$61:$B$68,(AO61:AO68&gt;AP61:AP68)*1)+SUMPRODUCT($B$71:$B$74,(AO71:AO74&gt;AP71:AP74)*1)+SUMPRODUCT($B$77:$B$78,(AO77:AO78&gt;AP77:AP78)*1)+SUMPRODUCT($B$99:$B$104,(AO99:AO104&gt;AP99:AP104)*1))*$B$20/52</f>
        <v>0</v>
      </c>
      <c r="AQ83" s="388" t="n">
        <f aca="false">(SUMPRODUCT($B$49:$B$58,(AP49:AP58&gt;AQ49:AQ58)*1)+SUMPRODUCT($B$61:$B$68,(AP61:AP68&gt;AQ61:AQ68)*1)+SUMPRODUCT($B$71:$B$74,(AP71:AP74&gt;AQ71:AQ74)*1)+SUMPRODUCT($B$77:$B$78,(AP77:AP78&gt;AQ77:AQ78)*1)+SUMPRODUCT($B$99:$B$104,(AP99:AP104&gt;AQ99:AQ104)*1))*$B$20/52</f>
        <v>19615.3846153846</v>
      </c>
      <c r="AR83" s="388" t="n">
        <f aca="false">(SUMPRODUCT($B$49:$B$58,(AQ49:AQ58&gt;AR49:AR58)*1)+SUMPRODUCT($B$61:$B$68,(AQ61:AQ68&gt;AR61:AR68)*1)+SUMPRODUCT($B$71:$B$74,(AQ71:AQ74&gt;AR71:AR74)*1)+SUMPRODUCT($B$77:$B$78,(AQ77:AQ78&gt;AR77:AR78)*1)+SUMPRODUCT($B$99:$B$104,(AQ99:AQ104&gt;AR99:AR104)*1))*$B$20/52</f>
        <v>0</v>
      </c>
      <c r="AS83" s="388" t="n">
        <f aca="false">(SUMPRODUCT($B$49:$B$58,(AR49:AR58&gt;AS49:AS58)*1)+SUMPRODUCT($B$61:$B$68,(AR61:AR68&gt;AS61:AS68)*1)+SUMPRODUCT($B$71:$B$74,(AR71:AR74&gt;AS71:AS74)*1)+SUMPRODUCT($B$77:$B$78,(AR77:AR78&gt;AS77:AS78)*1)+SUMPRODUCT($B$99:$B$104,(AR99:AR104&gt;AS99:AS104)*1))*$B$20/52</f>
        <v>9615.38461538462</v>
      </c>
      <c r="AT83" s="388" t="n">
        <f aca="false">(SUMPRODUCT($B$49:$B$58,(AS49:AS58&gt;AT49:AT58)*1)+SUMPRODUCT($B$61:$B$68,(AS61:AS68&gt;AT61:AT68)*1)+SUMPRODUCT($B$71:$B$74,(AS71:AS74&gt;AT71:AT74)*1)+SUMPRODUCT($B$77:$B$78,(AS77:AS78&gt;AT77:AT78)*1)+SUMPRODUCT($B$99:$B$104,(AS99:AS104&gt;AT99:AT104)*1))*$B$20/52</f>
        <v>0</v>
      </c>
      <c r="AU83" s="388" t="n">
        <f aca="false">(SUMPRODUCT($B$49:$B$58,(AT49:AT58&gt;AU49:AU58)*1)+SUMPRODUCT($B$61:$B$68,(AT61:AT68&gt;AU61:AU68)*1)+SUMPRODUCT($B$71:$B$74,(AT71:AT74&gt;AU71:AU74)*1)+SUMPRODUCT($B$77:$B$78,(AT77:AT78&gt;AU77:AU78)*1)+SUMPRODUCT($B$99:$B$104,(AT99:AT104&gt;AU99:AU104)*1))*$B$20/52</f>
        <v>0</v>
      </c>
      <c r="AV83" s="388" t="n">
        <f aca="false">(SUMPRODUCT($B$49:$B$58,(AU49:AU58&gt;AV49:AV58)*1)+SUMPRODUCT($B$61:$B$68,(AU61:AU68&gt;AV61:AV68)*1)+SUMPRODUCT($B$71:$B$74,(AU71:AU74&gt;AV71:AV74)*1)+SUMPRODUCT($B$77:$B$78,(AU77:AU78&gt;AV77:AV78)*1)+SUMPRODUCT($B$99:$B$104,(AU99:AU104&gt;AV99:AV104)*1))*$B$20/52</f>
        <v>0</v>
      </c>
      <c r="AW83" s="388" t="n">
        <f aca="false">(SUMPRODUCT($B$49:$B$58,(AV49:AV58&gt;AW49:AW58)*1)+SUMPRODUCT($B$61:$B$68,(AV61:AV68&gt;AW61:AW68)*1)+SUMPRODUCT($B$71:$B$74,(AV71:AV74&gt;AW71:AW74)*1)+SUMPRODUCT($B$77:$B$78,(AV77:AV78&gt;AW77:AW78)*1)+SUMPRODUCT($B$99:$B$104,(AV99:AV104&gt;AW99:AW104)*1))*$B$20/52</f>
        <v>0</v>
      </c>
      <c r="AX83" s="388" t="n">
        <f aca="false">(SUMPRODUCT($B$49:$B$58,(AW49:AW58&gt;AX49:AX58)*1)+SUMPRODUCT($B$61:$B$68,(AW61:AW68&gt;AX61:AX68)*1)+SUMPRODUCT($B$71:$B$74,(AW71:AW74&gt;AX71:AX74)*1)+SUMPRODUCT($B$77:$B$78,(AW77:AW78&gt;AX77:AX78)*1)+SUMPRODUCT($B$99:$B$104,(AW99:AW104&gt;AX99:AX104)*1))*$B$20/52</f>
        <v>0</v>
      </c>
      <c r="AY83" s="388" t="n">
        <f aca="false">(SUMPRODUCT($B$49:$B$58,(AX49:AX58&gt;AY49:AY58)*1)+SUMPRODUCT($B$61:$B$68,(AX61:AX68&gt;AY61:AY68)*1)+SUMPRODUCT($B$71:$B$74,(AX71:AX74&gt;AY71:AY74)*1)+SUMPRODUCT($B$77:$B$78,(AX77:AX78&gt;AY77:AY78)*1)+SUMPRODUCT($B$99:$B$104,(AX99:AX104&gt;AY99:AY104)*1))*$B$20/52</f>
        <v>0</v>
      </c>
      <c r="AZ83" s="388" t="n">
        <f aca="false">(SUMPRODUCT($B$49:$B$58,(AY49:AY58&gt;AZ49:AZ58)*1)+SUMPRODUCT($B$61:$B$68,(AY61:AY68&gt;AZ61:AZ68)*1)+SUMPRODUCT($B$71:$B$74,(AY71:AY74&gt;AZ71:AZ74)*1)+SUMPRODUCT($B$77:$B$78,(AY77:AY78&gt;AZ77:AZ78)*1)+SUMPRODUCT($B$99:$B$104,(AY99:AY104&gt;AZ99:AZ104)*1))*$B$20/52</f>
        <v>0</v>
      </c>
      <c r="BA83" s="388" t="n">
        <f aca="false">(SUMPRODUCT($B$49:$B$58,(AZ49:AZ58&gt;BA49:BA58)*1)+SUMPRODUCT($B$61:$B$68,(AZ61:AZ68&gt;BA61:BA68)*1)+SUMPRODUCT($B$71:$B$74,(AZ71:AZ74&gt;BA71:BA74)*1)+SUMPRODUCT($B$77:$B$78,(AZ77:AZ78&gt;BA77:BA78)*1)+SUMPRODUCT($B$99:$B$104,(AZ99:AZ104&gt;BA99:BA104)*1))*$B$20/52</f>
        <v>0</v>
      </c>
      <c r="BB83" s="388" t="n">
        <f aca="false">(SUMPRODUCT($B$49:$B$58,(BA49:BA58&gt;BB49:BB58)*1)+SUMPRODUCT($B$61:$B$68,(BA61:BA68&gt;BB61:BB68)*1)+SUMPRODUCT($B$71:$B$74,(BA71:BA74&gt;BB71:BB74)*1)+SUMPRODUCT($B$77:$B$78,(BA77:BA78&gt;BB77:BB78)*1)+SUMPRODUCT($B$99:$B$104,(BA99:BA104&gt;BB99:BB104)*1))*$B$20/52</f>
        <v>0</v>
      </c>
      <c r="BC83" s="388" t="n">
        <f aca="false">(SUMPRODUCT($B$49:$B$58,(BB49:BB58&gt;BC49:BC58)*1)+SUMPRODUCT($B$61:$B$68,(BB61:BB68&gt;BC61:BC68)*1)+SUMPRODUCT($B$71:$B$74,(BB71:BB74&gt;BC71:BC74)*1)+SUMPRODUCT($B$77:$B$78,(BB77:BB78&gt;BC77:BC78)*1)+SUMPRODUCT($B$99:$B$104,(BB99:BB104&gt;BC99:BC104)*1))*$B$20/52</f>
        <v>0</v>
      </c>
      <c r="BD83" s="388" t="n">
        <f aca="false">(SUMPRODUCT($B$49:$B$58,(BC49:BC58&gt;BD49:BD58)*1)+SUMPRODUCT($B$61:$B$68,(BC61:BC68&gt;BD61:BD68)*1)+SUMPRODUCT($B$71:$B$74,(BC71:BC74&gt;BD71:BD74)*1)+SUMPRODUCT($B$77:$B$78,(BC77:BC78&gt;BD77:BD78)*1)+SUMPRODUCT($B$99:$B$104,(BC99:BC104&gt;BD99:BD104)*1))*$B$20/52</f>
        <v>0</v>
      </c>
      <c r="BE83" s="388" t="n">
        <f aca="false">(SUMPRODUCT($B$49:$B$58,(BD49:BD58&gt;BE49:BE58)*1)+SUMPRODUCT($B$61:$B$68,(BD61:BD68&gt;BE61:BE68)*1)+SUMPRODUCT($B$71:$B$74,(BD71:BD74&gt;BE71:BE74)*1)+SUMPRODUCT($B$77:$B$78,(BD77:BD78&gt;BE77:BE78)*1)+SUMPRODUCT($B$99:$B$104,(BD99:BD104&gt;BE99:BE104)*1))*$B$20/52</f>
        <v>0</v>
      </c>
      <c r="BF83" s="388" t="n">
        <f aca="false">(SUMPRODUCT($B$49:$B$58,(BE49:BE58&gt;BF49:BF58)*1)+SUMPRODUCT($B$61:$B$68,(BE61:BE68&gt;BF61:BF68)*1)+SUMPRODUCT($B$71:$B$74,(BE71:BE74&gt;BF71:BF74)*1)+SUMPRODUCT($B$77:$B$78,(BE77:BE78&gt;BF77:BF78)*1)+SUMPRODUCT($B$99:$B$104,(BE99:BE104&gt;BF99:BF104)*1))*$B$20/52</f>
        <v>0</v>
      </c>
      <c r="BG83" s="388" t="n">
        <f aca="false">(SUMPRODUCT($B$49:$B$58,(BF49:BF58&gt;BG49:BG58)*1)+SUMPRODUCT($B$61:$B$68,(BF61:BF68&gt;BG61:BG68)*1)+SUMPRODUCT($B$71:$B$74,(BF71:BF74&gt;BG71:BG74)*1)+SUMPRODUCT($B$77:$B$78,(BF77:BF78&gt;BG77:BG78)*1)+SUMPRODUCT($B$99:$B$104,(BF99:BF104&gt;BG99:BG104)*1))*$B$20/52</f>
        <v>0</v>
      </c>
      <c r="BH83" s="388" t="n">
        <f aca="false">(SUMPRODUCT($B$49:$B$58,(BG49:BG58&gt;BH49:BH58)*1)+SUMPRODUCT($B$61:$B$68,(BG61:BG68&gt;BH61:BH68)*1)+SUMPRODUCT($B$71:$B$74,(BG71:BG74&gt;BH71:BH74)*1)+SUMPRODUCT($B$77:$B$78,(BG77:BG78&gt;BH77:BH78)*1)+SUMPRODUCT($B$99:$B$104,(BG99:BG104&gt;BH99:BH104)*1))*$B$20/52</f>
        <v>0</v>
      </c>
      <c r="BI83" s="388" t="n">
        <f aca="false">(SUMPRODUCT($B$49:$B$58,(BH49:BH58&gt;BI49:BI58)*1)+SUMPRODUCT($B$61:$B$68,(BH61:BH68&gt;BI61:BI68)*1)+SUMPRODUCT($B$71:$B$74,(BH71:BH74&gt;BI71:BI74)*1)+SUMPRODUCT($B$77:$B$78,(BH77:BH78&gt;BI77:BI78)*1)+SUMPRODUCT($B$99:$B$104,(BH99:BH104&gt;BI99:BI104)*1))*$B$20/52</f>
        <v>0</v>
      </c>
      <c r="BJ83" s="388" t="n">
        <f aca="false">(SUMPRODUCT($B$49:$B$58,(BI49:BI58&gt;BJ49:BJ58)*1)+SUMPRODUCT($B$61:$B$68,(BI61:BI68&gt;BJ61:BJ68)*1)+SUMPRODUCT($B$71:$B$74,(BI71:BI74&gt;BJ71:BJ74)*1)+SUMPRODUCT($B$77:$B$78,(BI77:BI78&gt;BJ77:BJ78)*1)+SUMPRODUCT($B$99:$B$104,(BI99:BI104&gt;BJ99:BJ104)*1))*$B$20/52</f>
        <v>0</v>
      </c>
      <c r="BK83" s="388" t="n">
        <f aca="false">(SUMPRODUCT($B$49:$B$58,(BJ49:BJ58&gt;BK49:BK58)*1)+SUMPRODUCT($B$61:$B$68,(BJ61:BJ68&gt;BK61:BK68)*1)+SUMPRODUCT($B$71:$B$74,(BJ71:BJ74&gt;BK71:BK74)*1)+SUMPRODUCT($B$77:$B$78,(BJ77:BJ78&gt;BK77:BK78)*1)+SUMPRODUCT($B$99:$B$104,(BJ99:BJ104&gt;BK99:BK104)*1))*$B$20/52</f>
        <v>0</v>
      </c>
      <c r="BL83" s="388" t="n">
        <f aca="false">(SUMPRODUCT($B$49:$B$58,(BK49:BK58&gt;BL49:BL58)*1)+SUMPRODUCT($B$61:$B$68,(BK61:BK68&gt;BL61:BL68)*1)+SUMPRODUCT($B$71:$B$74,(BK71:BK74&gt;BL71:BL74)*1)+SUMPRODUCT($B$77:$B$78,(BK77:BK78&gt;BL77:BL78)*1)+SUMPRODUCT($B$99:$B$104,(BK99:BK104&gt;BL99:BL104)*1))*$B$20/52</f>
        <v>0</v>
      </c>
      <c r="BM83" s="388" t="n">
        <f aca="false">(SUMPRODUCT($B$49:$B$58,(BL49:BL58&gt;BM49:BM58)*1)+SUMPRODUCT($B$61:$B$68,(BL61:BL68&gt;BM61:BM68)*1)+SUMPRODUCT($B$71:$B$74,(BL71:BL74&gt;BM71:BM74)*1)+SUMPRODUCT($B$77:$B$78,(BL77:BL78&gt;BM77:BM78)*1)+SUMPRODUCT($B$99:$B$104,(BL99:BL104&gt;BM99:BM104)*1))*$B$20/52</f>
        <v>0</v>
      </c>
      <c r="BN83" s="388" t="n">
        <f aca="false">(SUMPRODUCT($B$49:$B$58,(BM49:BM58&gt;BN49:BN58)*1)+SUMPRODUCT($B$61:$B$68,(BM61:BM68&gt;BN61:BN68)*1)+SUMPRODUCT($B$71:$B$74,(BM71:BM74&gt;BN71:BN74)*1)+SUMPRODUCT($B$77:$B$78,(BM77:BM78&gt;BN77:BN78)*1)+SUMPRODUCT($B$99:$B$104,(BM99:BM104&gt;BN99:BN104)*1))*$B$20/52</f>
        <v>0</v>
      </c>
      <c r="BO83" s="388" t="n">
        <f aca="false">(SUMPRODUCT($B$49:$B$58,(BN49:BN58&gt;BO49:BO58)*1)+SUMPRODUCT($B$61:$B$68,(BN61:BN68&gt;BO61:BO68)*1)+SUMPRODUCT($B$71:$B$74,(BN71:BN74&gt;BO71:BO74)*1)+SUMPRODUCT($B$77:$B$78,(BN77:BN78&gt;BO77:BO78)*1)+SUMPRODUCT($B$99:$B$104,(BN99:BN104&gt;BO99:BO104)*1))*$B$20/52</f>
        <v>0</v>
      </c>
      <c r="BP83" s="388" t="n">
        <f aca="false">(SUMPRODUCT($B$49:$B$58,(BO49:BO58&gt;BP49:BP58)*1)+SUMPRODUCT($B$61:$B$68,(BO61:BO68&gt;BP61:BP68)*1)+SUMPRODUCT($B$71:$B$74,(BO71:BO74&gt;BP71:BP74)*1)+SUMPRODUCT($B$77:$B$78,(BO77:BO78&gt;BP77:BP78)*1)+SUMPRODUCT($B$99:$B$104,(BO99:BO104&gt;BP99:BP104)*1))*$B$20/52</f>
        <v>0</v>
      </c>
      <c r="BQ83" s="388" t="n">
        <f aca="false">(SUMPRODUCT($B$49:$B$58,(BP49:BP58&gt;BQ49:BQ58)*1)+SUMPRODUCT($B$61:$B$68,(BP61:BP68&gt;BQ61:BQ68)*1)+SUMPRODUCT($B$71:$B$74,(BP71:BP74&gt;BQ71:BQ74)*1)+SUMPRODUCT($B$77:$B$78,(BP77:BP78&gt;BQ77:BQ78)*1)+SUMPRODUCT($B$99:$B$104,(BP99:BP104&gt;BQ99:BQ104)*1))*$B$20/52</f>
        <v>0</v>
      </c>
      <c r="BR83" s="388" t="n">
        <f aca="false">(SUMPRODUCT($B$49:$B$58,(BQ49:BQ58&gt;BR49:BR58)*1)+SUMPRODUCT($B$61:$B$68,(BQ61:BQ68&gt;BR61:BR68)*1)+SUMPRODUCT($B$71:$B$74,(BQ71:BQ74&gt;BR71:BR74)*1)+SUMPRODUCT($B$77:$B$78,(BQ77:BQ78&gt;BR77:BR78)*1)+SUMPRODUCT($B$99:$B$104,(BQ99:BQ104&gt;BR99:BR104)*1))*$B$20/52</f>
        <v>0</v>
      </c>
      <c r="BS83" s="388" t="n">
        <f aca="false">(SUMPRODUCT($B$49:$B$58,(BR49:BR58&gt;BS49:BS58)*1)+SUMPRODUCT($B$61:$B$68,(BR61:BR68&gt;BS61:BS68)*1)+SUMPRODUCT($B$71:$B$74,(BR71:BR74&gt;BS71:BS74)*1)+SUMPRODUCT($B$77:$B$78,(BR77:BR78&gt;BS77:BS78)*1)+SUMPRODUCT($B$99:$B$104,(BR99:BR104&gt;BS99:BS104)*1))*$B$20/52</f>
        <v>0</v>
      </c>
      <c r="BT83" s="388" t="n">
        <f aca="false">(SUMPRODUCT($B$49:$B$58,(BS49:BS58&gt;BT49:BT58)*1)+SUMPRODUCT($B$61:$B$68,(BS61:BS68&gt;BT61:BT68)*1)+SUMPRODUCT($B$71:$B$74,(BS71:BS74&gt;BT71:BT74)*1)+SUMPRODUCT($B$77:$B$78,(BS77:BS78&gt;BT77:BT78)*1)+SUMPRODUCT($B$99:$B$104,(BS99:BS104&gt;BT99:BT104)*1))*$B$20/52</f>
        <v>0</v>
      </c>
      <c r="BU83" s="388" t="n">
        <f aca="false">(SUMPRODUCT($B$49:$B$58,(BT49:BT58&gt;BU49:BU58)*1)+SUMPRODUCT($B$61:$B$68,(BT61:BT68&gt;BU61:BU68)*1)+SUMPRODUCT($B$71:$B$74,(BT71:BT74&gt;BU71:BU74)*1)+SUMPRODUCT($B$77:$B$78,(BT77:BT78&gt;BU77:BU78)*1)+SUMPRODUCT($B$99:$B$104,(BT99:BT104&gt;BU99:BU104)*1))*$B$20/52</f>
        <v>0</v>
      </c>
      <c r="BV83" s="388" t="n">
        <f aca="false">(SUMPRODUCT($B$49:$B$58,(BU49:BU58&gt;BV49:BV58)*1)+SUMPRODUCT($B$61:$B$68,(BU61:BU68&gt;BV61:BV68)*1)+SUMPRODUCT($B$71:$B$74,(BU71:BU74&gt;BV71:BV74)*1)+SUMPRODUCT($B$77:$B$78,(BU77:BU78&gt;BV77:BV78)*1)+SUMPRODUCT($B$99:$B$104,(BU99:BU104&gt;BV99:BV104)*1))*$B$20/52</f>
        <v>0</v>
      </c>
      <c r="BW83" s="388" t="n">
        <f aca="false">(SUMPRODUCT($B$49:$B$58,(BV49:BV58&gt;BW49:BW58)*1)+SUMPRODUCT($B$61:$B$68,(BV61:BV68&gt;BW61:BW68)*1)+SUMPRODUCT($B$71:$B$74,(BV71:BV74&gt;BW71:BW74)*1)+SUMPRODUCT($B$77:$B$78,(BV77:BV78&gt;BW77:BW78)*1)+SUMPRODUCT($B$99:$B$104,(BV99:BV104&gt;BW99:BW104)*1))*$B$20/52</f>
        <v>0</v>
      </c>
      <c r="BX83" s="388" t="n">
        <f aca="false">(SUMPRODUCT($B$49:$B$58,(BW49:BW58&gt;BX49:BX58)*1)+SUMPRODUCT($B$61:$B$68,(BW61:BW68&gt;BX61:BX68)*1)+SUMPRODUCT($B$71:$B$74,(BW71:BW74&gt;BX71:BX74)*1)+SUMPRODUCT($B$77:$B$78,(BW77:BW78&gt;BX77:BX78)*1)+SUMPRODUCT($B$99:$B$104,(BW99:BW104&gt;BX99:BX104)*1))*$B$20/52</f>
        <v>0</v>
      </c>
      <c r="BY83" s="388" t="n">
        <f aca="false">(SUMPRODUCT($B$49:$B$58,(BX49:BX58&gt;BY49:BY58)*1)+SUMPRODUCT($B$61:$B$68,(BX61:BX68&gt;BY61:BY68)*1)+SUMPRODUCT($B$71:$B$74,(BX71:BX74&gt;BY71:BY74)*1)+SUMPRODUCT($B$77:$B$78,(BX77:BX78&gt;BY77:BY78)*1)+SUMPRODUCT($B$99:$B$104,(BX99:BX104&gt;BY99:BY104)*1))*$B$20/52</f>
        <v>0</v>
      </c>
      <c r="BZ83" s="388" t="n">
        <f aca="false">(SUMPRODUCT($B$49:$B$58,(BY49:BY58&gt;BZ49:BZ58)*1)+SUMPRODUCT($B$61:$B$68,(BY61:BY68&gt;BZ61:BZ68)*1)+SUMPRODUCT($B$71:$B$74,(BY71:BY74&gt;BZ71:BZ74)*1)+SUMPRODUCT($B$77:$B$78,(BY77:BY78&gt;BZ77:BZ78)*1)+SUMPRODUCT($B$99:$B$104,(BY99:BY104&gt;BZ99:BZ104)*1))*$B$20/52</f>
        <v>0</v>
      </c>
      <c r="CA83" s="388" t="n">
        <f aca="false">(SUMPRODUCT($B$49:$B$58,(BZ49:BZ58&gt;CA49:CA58)*1)+SUMPRODUCT($B$61:$B$68,(BZ61:BZ68&gt;CA61:CA68)*1)+SUMPRODUCT($B$71:$B$74,(BZ71:BZ74&gt;CA71:CA74)*1)+SUMPRODUCT($B$77:$B$78,(BZ77:BZ78&gt;CA77:CA78)*1)+SUMPRODUCT($B$99:$B$104,(BZ99:BZ104&gt;CA99:CA104)*1))*$B$20/52</f>
        <v>0</v>
      </c>
      <c r="CB83" s="388" t="n">
        <f aca="false">(SUMPRODUCT($B$49:$B$58,(CA49:CA58&gt;CB49:CB58)*1)+SUMPRODUCT($B$61:$B$68,(CA61:CA68&gt;CB61:CB68)*1)+SUMPRODUCT($B$71:$B$74,(CA71:CA74&gt;CB71:CB74)*1)+SUMPRODUCT($B$77:$B$78,(CA77:CA78&gt;CB77:CB78)*1)+SUMPRODUCT($B$99:$B$104,(CA99:CA104&gt;CB99:CB104)*1))*$B$20/52</f>
        <v>0</v>
      </c>
      <c r="CC83" s="388" t="n">
        <f aca="false">(SUMPRODUCT($B$49:$B$58,(CB49:CB58&gt;CC49:CC58)*1)+SUMPRODUCT($B$61:$B$68,(CB61:CB68&gt;CC61:CC68)*1)+SUMPRODUCT($B$71:$B$74,(CB71:CB74&gt;CC71:CC74)*1)+SUMPRODUCT($B$77:$B$78,(CB77:CB78&gt;CC77:CC78)*1)+SUMPRODUCT($B$99:$B$104,(CB99:CB104&gt;CC99:CC104)*1))*$B$20/52</f>
        <v>0</v>
      </c>
      <c r="CD83" s="388" t="n">
        <f aca="false">(SUMPRODUCT($B$49:$B$58,(CC49:CC58&gt;CD49:CD58)*1)+SUMPRODUCT($B$61:$B$68,(CC61:CC68&gt;CD61:CD68)*1)+SUMPRODUCT($B$71:$B$74,(CC71:CC74&gt;CD71:CD74)*1)+SUMPRODUCT($B$77:$B$78,(CC77:CC78&gt;CD77:CD78)*1)+SUMPRODUCT($B$99:$B$104,(CC99:CC104&gt;CD99:CD104)*1))*$B$20/52</f>
        <v>0</v>
      </c>
      <c r="CE83" s="388" t="n">
        <f aca="false">(SUMPRODUCT($B$49:$B$58,(CD49:CD58&gt;CE49:CE58)*1)+SUMPRODUCT($B$61:$B$68,(CD61:CD68&gt;CE61:CE68)*1)+SUMPRODUCT($B$71:$B$74,(CD71:CD74&gt;CE71:CE74)*1)+SUMPRODUCT($B$77:$B$78,(CD77:CD78&gt;CE77:CE78)*1)+SUMPRODUCT($B$99:$B$104,(CD99:CD104&gt;CE99:CE104)*1))*$B$20/52</f>
        <v>0</v>
      </c>
      <c r="CF83" s="388" t="n">
        <f aca="false">(SUMPRODUCT($B$49:$B$58,(CE49:CE58&gt;CF49:CF58)*1)+SUMPRODUCT($B$61:$B$68,(CE61:CE68&gt;CF61:CF68)*1)+SUMPRODUCT($B$71:$B$74,(CE71:CE74&gt;CF71:CF74)*1)+SUMPRODUCT($B$77:$B$78,(CE77:CE78&gt;CF77:CF78)*1)+SUMPRODUCT($B$99:$B$104,(CE99:CE104&gt;CF99:CF104)*1))*$B$20/52</f>
        <v>0</v>
      </c>
      <c r="CG83" s="388" t="n">
        <f aca="false">(SUMPRODUCT($B$49:$B$58,(CF49:CF58&gt;CG49:CG58)*1)+SUMPRODUCT($B$61:$B$68,(CF61:CF68&gt;CG61:CG68)*1)+SUMPRODUCT($B$71:$B$74,(CF71:CF74&gt;CG71:CG74)*1)+SUMPRODUCT($B$77:$B$78,(CF77:CF78&gt;CG77:CG78)*1)+SUMPRODUCT($B$99:$B$104,(CF99:CF104&gt;CG99:CG104)*1))*$B$20/52</f>
        <v>0</v>
      </c>
      <c r="CH83" s="388" t="n">
        <f aca="false">(SUMPRODUCT($B$49:$B$58,(CG49:CG58&gt;CH49:CH58)*1)+SUMPRODUCT($B$61:$B$68,(CG61:CG68&gt;CH61:CH68)*1)+SUMPRODUCT($B$71:$B$74,(CG71:CG74&gt;CH71:CH74)*1)+SUMPRODUCT($B$77:$B$78,(CG77:CG78&gt;CH77:CH78)*1)+SUMPRODUCT($B$99:$B$104,(CG99:CG104&gt;CH99:CH104)*1))*$B$20/52</f>
        <v>0</v>
      </c>
      <c r="CI83" s="388" t="n">
        <f aca="false">(SUMPRODUCT($B$49:$B$58,(CH49:CH58&gt;CI49:CI58)*1)+SUMPRODUCT($B$61:$B$68,(CH61:CH68&gt;CI61:CI68)*1)+SUMPRODUCT($B$71:$B$74,(CH71:CH74&gt;CI71:CI74)*1)+SUMPRODUCT($B$77:$B$78,(CH77:CH78&gt;CI77:CI78)*1)+SUMPRODUCT($B$99:$B$104,(CH99:CH104&gt;CI99:CI104)*1))*$B$20/52</f>
        <v>0</v>
      </c>
      <c r="CJ83" s="388" t="n">
        <f aca="false">(SUMPRODUCT($B$49:$B$58,(CI49:CI58&gt;CJ49:CJ58)*1)+SUMPRODUCT($B$61:$B$68,(CI61:CI68&gt;CJ61:CJ68)*1)+SUMPRODUCT($B$71:$B$74,(CI71:CI74&gt;CJ71:CJ74)*1)+SUMPRODUCT($B$77:$B$78,(CI77:CI78&gt;CJ77:CJ78)*1)+SUMPRODUCT($B$99:$B$104,(CI99:CI104&gt;CJ99:CJ104)*1))*$B$20/52</f>
        <v>0</v>
      </c>
      <c r="CK83" s="388" t="n">
        <f aca="false">(SUMPRODUCT($B$49:$B$58,(CJ49:CJ58&gt;CK49:CK58)*1)+SUMPRODUCT($B$61:$B$68,(CJ61:CJ68&gt;CK61:CK68)*1)+SUMPRODUCT($B$71:$B$74,(CJ71:CJ74&gt;CK71:CK74)*1)+SUMPRODUCT($B$77:$B$78,(CJ77:CJ78&gt;CK77:CK78)*1)+SUMPRODUCT($B$99:$B$104,(CJ99:CJ104&gt;CK99:CK104)*1))*$B$20/52</f>
        <v>0</v>
      </c>
      <c r="CL83" s="388" t="n">
        <f aca="false">(SUMPRODUCT($B$49:$B$58,(CK49:CK58&gt;CL49:CL58)*1)+SUMPRODUCT($B$61:$B$68,(CK61:CK68&gt;CL61:CL68)*1)+SUMPRODUCT($B$71:$B$74,(CK71:CK74&gt;CL71:CL74)*1)+SUMPRODUCT($B$77:$B$78,(CK77:CK78&gt;CL77:CL78)*1)+SUMPRODUCT($B$99:$B$104,(CK99:CK104&gt;CL99:CL104)*1))*$B$20/52</f>
        <v>0</v>
      </c>
      <c r="CM83" s="388" t="n">
        <f aca="false">(SUMPRODUCT($B$49:$B$58,(CL49:CL58&gt;CM49:CM58)*1)+SUMPRODUCT($B$61:$B$68,(CL61:CL68&gt;CM61:CM68)*1)+SUMPRODUCT($B$71:$B$74,(CL71:CL74&gt;CM71:CM74)*1)+SUMPRODUCT($B$77:$B$78,(CL77:CL78&gt;CM77:CM78)*1)+SUMPRODUCT($B$99:$B$104,(CL99:CL104&gt;CM99:CM104)*1))*$B$20/52</f>
        <v>0</v>
      </c>
      <c r="CN83" s="388" t="n">
        <f aca="false">(SUMPRODUCT($B$49:$B$58,(CM49:CM58&gt;CN49:CN58)*1)+SUMPRODUCT($B$61:$B$68,(CM61:CM68&gt;CN61:CN68)*1)+SUMPRODUCT($B$71:$B$74,(CM71:CM74&gt;CN71:CN74)*1)+SUMPRODUCT($B$77:$B$78,(CM77:CM78&gt;CN77:CN78)*1)+SUMPRODUCT($B$99:$B$104,(CM99:CM104&gt;CN99:CN104)*1))*$B$20/52</f>
        <v>0</v>
      </c>
      <c r="CO83" s="388" t="n">
        <f aca="false">(SUMPRODUCT($B$49:$B$58,(CN49:CN58&gt;CO49:CO58)*1)+SUMPRODUCT($B$61:$B$68,(CN61:CN68&gt;CO61:CO68)*1)+SUMPRODUCT($B$71:$B$74,(CN71:CN74&gt;CO71:CO74)*1)+SUMPRODUCT($B$77:$B$78,(CN77:CN78&gt;CO77:CO78)*1)+SUMPRODUCT($B$99:$B$104,(CN99:CN104&gt;CO99:CO104)*1))*$B$20/52</f>
        <v>0</v>
      </c>
      <c r="CP83" s="388" t="n">
        <f aca="false">(SUMPRODUCT($B$49:$B$58,(CO49:CO58&gt;CP49:CP58)*1)+SUMPRODUCT($B$61:$B$68,(CO61:CO68&gt;CP61:CP68)*1)+SUMPRODUCT($B$71:$B$74,(CO71:CO74&gt;CP71:CP74)*1)+SUMPRODUCT($B$77:$B$78,(CO77:CO78&gt;CP77:CP78)*1)+SUMPRODUCT($B$99:$B$104,(CO99:CO104&gt;CP99:CP104)*1))*$B$20/52</f>
        <v>0</v>
      </c>
      <c r="CQ83" s="388" t="n">
        <f aca="false">(SUMPRODUCT($B$49:$B$58,(CP49:CP58&gt;CQ49:CQ58)*1)+SUMPRODUCT($B$61:$B$68,(CP61:CP68&gt;CQ61:CQ68)*1)+SUMPRODUCT($B$71:$B$74,(CP71:CP74&gt;CQ71:CQ74)*1)+SUMPRODUCT($B$77:$B$78,(CP77:CP78&gt;CQ77:CQ78)*1)+SUMPRODUCT($B$99:$B$104,(CP99:CP104&gt;CQ99:CQ104)*1))*$B$20/52</f>
        <v>0</v>
      </c>
      <c r="CR83" s="388" t="n">
        <f aca="false">(SUMPRODUCT($B$49:$B$58,(CQ49:CQ58&gt;CR49:CR58)*1)+SUMPRODUCT($B$61:$B$68,(CQ61:CQ68&gt;CR61:CR68)*1)+SUMPRODUCT($B$71:$B$74,(CQ71:CQ74&gt;CR71:CR74)*1)+SUMPRODUCT($B$77:$B$78,(CQ77:CQ78&gt;CR77:CR78)*1)+SUMPRODUCT($B$99:$B$104,(CQ99:CQ104&gt;CR99:CR104)*1))*$B$20/52</f>
        <v>0</v>
      </c>
      <c r="CS83" s="388" t="n">
        <f aca="false">(SUMPRODUCT($B$49:$B$58,(CR49:CR58&gt;CS49:CS58)*1)+SUMPRODUCT($B$61:$B$68,(CR61:CR68&gt;CS61:CS68)*1)+SUMPRODUCT($B$71:$B$74,(CR71:CR74&gt;CS71:CS74)*1)+SUMPRODUCT($B$77:$B$78,(CR77:CR78&gt;CS77:CS78)*1)+SUMPRODUCT($B$99:$B$104,(CR99:CR104&gt;CS99:CS104)*1))*$B$20/52</f>
        <v>0</v>
      </c>
      <c r="CT83" s="388" t="n">
        <f aca="false">(SUMPRODUCT($B$49:$B$58,(CS49:CS58&gt;CT49:CT58)*1)+SUMPRODUCT($B$61:$B$68,(CS61:CS68&gt;CT61:CT68)*1)+SUMPRODUCT($B$71:$B$74,(CS71:CS74&gt;CT71:CT74)*1)+SUMPRODUCT($B$77:$B$78,(CS77:CS78&gt;CT77:CT78)*1)+SUMPRODUCT($B$99:$B$104,(CS99:CS104&gt;CT99:CT104)*1))*$B$20/52</f>
        <v>0</v>
      </c>
      <c r="CU83" s="388" t="n">
        <f aca="false">(SUMPRODUCT($B$49:$B$58,(CT49:CT58&gt;CU49:CU58)*1)+SUMPRODUCT($B$61:$B$68,(CT61:CT68&gt;CU61:CU68)*1)+SUMPRODUCT($B$71:$B$74,(CT71:CT74&gt;CU71:CU74)*1)+SUMPRODUCT($B$77:$B$78,(CT77:CT78&gt;CU77:CU78)*1)+SUMPRODUCT($B$99:$B$104,(CT99:CT104&gt;CU99:CU104)*1))*$B$20/52</f>
        <v>0</v>
      </c>
      <c r="CV83" s="388" t="n">
        <f aca="false">(SUMPRODUCT($B$49:$B$58,(CU49:CU58&gt;CV49:CV58)*1)+SUMPRODUCT($B$61:$B$68,(CU61:CU68&gt;CV61:CV68)*1)+SUMPRODUCT($B$71:$B$74,(CU71:CU74&gt;CV71:CV74)*1)+SUMPRODUCT($B$77:$B$78,(CU77:CU78&gt;CV77:CV78)*1)+SUMPRODUCT($B$99:$B$104,(CU99:CU104&gt;CV99:CV104)*1))*$B$20/52</f>
        <v>0</v>
      </c>
      <c r="CW83" s="388" t="n">
        <f aca="false">(SUMPRODUCT($B$49:$B$58,(CV49:CV58&gt;CW49:CW58)*1)+SUMPRODUCT($B$61:$B$68,(CV61:CV68&gt;CW61:CW68)*1)+SUMPRODUCT($B$71:$B$74,(CV71:CV74&gt;CW71:CW74)*1)+SUMPRODUCT($B$77:$B$78,(CV77:CV78&gt;CW77:CW78)*1)+SUMPRODUCT($B$99:$B$104,(CV99:CV104&gt;CW99:CW104)*1))*$B$20/52</f>
        <v>0</v>
      </c>
      <c r="CX83" s="388" t="n">
        <f aca="false">(SUMPRODUCT($B$49:$B$58,(CW49:CW58&gt;CX49:CX58)*1)+SUMPRODUCT($B$61:$B$68,(CW61:CW68&gt;CX61:CX68)*1)+SUMPRODUCT($B$71:$B$74,(CW71:CW74&gt;CX71:CX74)*1)+SUMPRODUCT($B$77:$B$78,(CW77:CW78&gt;CX77:CX78)*1)+SUMPRODUCT($B$99:$B$104,(CW99:CW104&gt;CX99:CX104)*1))*$B$20/52</f>
        <v>0</v>
      </c>
      <c r="CY83" s="388" t="n">
        <f aca="false">(SUMPRODUCT($B$49:$B$58,(CX49:CX58&gt;CY49:CY58)*1)+SUMPRODUCT($B$61:$B$68,(CX61:CX68&gt;CY61:CY68)*1)+SUMPRODUCT($B$71:$B$74,(CX71:CX74&gt;CY71:CY74)*1)+SUMPRODUCT($B$77:$B$78,(CX77:CX78&gt;CY77:CY78)*1)+SUMPRODUCT($B$99:$B$104,(CX99:CX104&gt;CY99:CY104)*1))*$B$20/52</f>
        <v>0</v>
      </c>
      <c r="CZ83" s="388" t="n">
        <f aca="false">(SUMPRODUCT($B$49:$B$58,(CY49:CY58&gt;CZ49:CZ58)*1)+SUMPRODUCT($B$61:$B$68,(CY61:CY68&gt;CZ61:CZ68)*1)+SUMPRODUCT($B$71:$B$74,(CY71:CY74&gt;CZ71:CZ74)*1)+SUMPRODUCT($B$77:$B$78,(CY77:CY78&gt;CZ77:CZ78)*1)+SUMPRODUCT($B$99:$B$104,(CY99:CY104&gt;CZ99:CZ104)*1))*$B$20/52</f>
        <v>0</v>
      </c>
      <c r="DA83" s="388" t="n">
        <f aca="false">(SUMPRODUCT($B$49:$B$58,(CZ49:CZ58&gt;DA49:DA58)*1)+SUMPRODUCT($B$61:$B$68,(CZ61:CZ68&gt;DA61:DA68)*1)+SUMPRODUCT($B$71:$B$74,(CZ71:CZ74&gt;DA71:DA74)*1)+SUMPRODUCT($B$77:$B$78,(CZ77:CZ78&gt;DA77:DA78)*1)+SUMPRODUCT($B$99:$B$104,(CZ99:CZ104&gt;DA99:DA104)*1))*$B$20/52</f>
        <v>0</v>
      </c>
      <c r="DB83" s="388" t="n">
        <f aca="false">(SUMPRODUCT($B$49:$B$58,(DA49:DA58&gt;DB49:DB58)*1)+SUMPRODUCT($B$61:$B$68,(DA61:DA68&gt;DB61:DB68)*1)+SUMPRODUCT($B$71:$B$74,(DA71:DA74&gt;DB71:DB74)*1)+SUMPRODUCT($B$77:$B$78,(DA77:DA78&gt;DB77:DB78)*1)+SUMPRODUCT($B$99:$B$104,(DA99:DA104&gt;DB99:DB104)*1))*$B$20/52</f>
        <v>0</v>
      </c>
      <c r="DC83" s="388" t="n">
        <f aca="false">(SUMPRODUCT($B$49:$B$58,(DB49:DB58&gt;DC49:DC58)*1)+SUMPRODUCT($B$61:$B$68,(DB61:DB68&gt;DC61:DC68)*1)+SUMPRODUCT($B$71:$B$74,(DB71:DB74&gt;DC71:DC74)*1)+SUMPRODUCT($B$77:$B$78,(DB77:DB78&gt;DC77:DC78)*1)+SUMPRODUCT($B$99:$B$104,(DB99:DB104&gt;DC99:DC104)*1))*$B$20/52</f>
        <v>0</v>
      </c>
      <c r="DD83" s="388" t="n">
        <f aca="false">(SUMPRODUCT($B$49:$B$58,(DC49:DC58&gt;DD49:DD58)*1)+SUMPRODUCT($B$61:$B$68,(DC61:DC68&gt;DD61:DD68)*1)+SUMPRODUCT($B$71:$B$74,(DC71:DC74&gt;DD71:DD74)*1)+SUMPRODUCT($B$77:$B$78,(DC77:DC78&gt;DD77:DD78)*1)+SUMPRODUCT($B$99:$B$104,(DC99:DC104&gt;DD99:DD104)*1))*$B$20/52</f>
        <v>0</v>
      </c>
      <c r="DE83" s="388"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1415</v>
      </c>
      <c r="E84" s="388" t="n">
        <f aca="false">E82+E83</f>
        <v>0</v>
      </c>
      <c r="F84" s="388" t="n">
        <f aca="false">F82+F83</f>
        <v>0</v>
      </c>
      <c r="G84" s="388" t="n">
        <f aca="false">G82+G83</f>
        <v>0</v>
      </c>
      <c r="H84" s="388" t="n">
        <f aca="false">H82+H83</f>
        <v>0</v>
      </c>
      <c r="I84" s="388" t="n">
        <f aca="false">I82+I83</f>
        <v>19500</v>
      </c>
      <c r="J84" s="388" t="n">
        <f aca="false">J82+J83</f>
        <v>10000</v>
      </c>
      <c r="K84" s="388" t="n">
        <f aca="false">K82+K83</f>
        <v>0</v>
      </c>
      <c r="L84" s="388" t="n">
        <f aca="false">L82+L83</f>
        <v>0</v>
      </c>
      <c r="M84" s="388" t="n">
        <f aca="false">M82+M83</f>
        <v>42750</v>
      </c>
      <c r="N84" s="388" t="n">
        <f aca="false">N82+N83</f>
        <v>43500</v>
      </c>
      <c r="O84" s="388" t="n">
        <f aca="false">O82+O83</f>
        <v>81750</v>
      </c>
      <c r="P84" s="388" t="n">
        <f aca="false">P82+P83</f>
        <v>0</v>
      </c>
      <c r="Q84" s="388" t="n">
        <f aca="false">Q82+Q83</f>
        <v>42750</v>
      </c>
      <c r="R84" s="388" t="n">
        <f aca="false">R82+R83</f>
        <v>55500</v>
      </c>
      <c r="S84" s="388" t="n">
        <f aca="false">S82+S83</f>
        <v>18750</v>
      </c>
      <c r="T84" s="388" t="n">
        <f aca="false">T82+T83</f>
        <v>18750</v>
      </c>
      <c r="U84" s="388" t="n">
        <f aca="false">U82+U83</f>
        <v>0</v>
      </c>
      <c r="V84" s="388" t="n">
        <f aca="false">V82+V83</f>
        <v>0</v>
      </c>
      <c r="W84" s="388" t="n">
        <f aca="false">W82+W83</f>
        <v>0</v>
      </c>
      <c r="X84" s="388" t="n">
        <f aca="false">X82+X83</f>
        <v>0</v>
      </c>
      <c r="Y84" s="388" t="n">
        <f aca="false">Y82+Y83</f>
        <v>0</v>
      </c>
      <c r="Z84" s="388" t="n">
        <f aca="false">Z82+Z83</f>
        <v>9615.38461538462</v>
      </c>
      <c r="AA84" s="388" t="n">
        <f aca="false">AA82+AA83</f>
        <v>0</v>
      </c>
      <c r="AB84" s="388" t="n">
        <f aca="false">AB82+AB83</f>
        <v>6153.84615384615</v>
      </c>
      <c r="AC84" s="388" t="n">
        <f aca="false">AC82+AC83</f>
        <v>0</v>
      </c>
      <c r="AD84" s="388" t="n">
        <f aca="false">AD82+AD83</f>
        <v>21923.0769230769</v>
      </c>
      <c r="AE84" s="388" t="n">
        <f aca="false">AE82+AE83</f>
        <v>0</v>
      </c>
      <c r="AF84" s="388" t="n">
        <f aca="false">AF82+AF83</f>
        <v>0</v>
      </c>
      <c r="AG84" s="388" t="n">
        <f aca="false">AG82+AG83</f>
        <v>0</v>
      </c>
      <c r="AH84" s="388" t="n">
        <f aca="false">AH82+AH83</f>
        <v>12307.6923076923</v>
      </c>
      <c r="AI84" s="388" t="n">
        <f aca="false">AI82+AI83</f>
        <v>0</v>
      </c>
      <c r="AJ84" s="388" t="n">
        <f aca="false">AJ82+AJ83</f>
        <v>0</v>
      </c>
      <c r="AK84" s="388" t="n">
        <f aca="false">AK82+AK83</f>
        <v>0</v>
      </c>
      <c r="AL84" s="388" t="n">
        <f aca="false">AL82+AL83</f>
        <v>6153.84615384615</v>
      </c>
      <c r="AM84" s="388" t="n">
        <f aca="false">AM82+AM83</f>
        <v>48461.5384615385</v>
      </c>
      <c r="AN84" s="388" t="n">
        <f aca="false">AN82+AN83</f>
        <v>21923.0769230769</v>
      </c>
      <c r="AO84" s="388" t="n">
        <f aca="false">AO82+AO83</f>
        <v>0</v>
      </c>
      <c r="AP84" s="388" t="n">
        <f aca="false">AP82+AP83</f>
        <v>0</v>
      </c>
      <c r="AQ84" s="388" t="n">
        <f aca="false">AQ82+AQ83</f>
        <v>19615.3846153846</v>
      </c>
      <c r="AR84" s="388" t="n">
        <f aca="false">AR82+AR83</f>
        <v>0</v>
      </c>
      <c r="AS84" s="388" t="n">
        <f aca="false">AS82+AS83</f>
        <v>9615.38461538462</v>
      </c>
      <c r="AT84" s="388" t="n">
        <f aca="false">AT82+AT83</f>
        <v>0</v>
      </c>
      <c r="AU84" s="388" t="n">
        <f aca="false">AU82+AU83</f>
        <v>0</v>
      </c>
      <c r="AV84" s="388" t="n">
        <f aca="false">AV82+AV83</f>
        <v>0</v>
      </c>
      <c r="AW84" s="388" t="n">
        <f aca="false">AW82+AW83</f>
        <v>0</v>
      </c>
      <c r="AX84" s="388" t="n">
        <f aca="false">AX82+AX83</f>
        <v>0</v>
      </c>
      <c r="AY84" s="388" t="n">
        <f aca="false">AY82+AY83</f>
        <v>0</v>
      </c>
      <c r="AZ84" s="388" t="n">
        <f aca="false">AZ82+AZ83</f>
        <v>0</v>
      </c>
      <c r="BA84" s="388" t="n">
        <f aca="false">BA82+BA83</f>
        <v>0</v>
      </c>
      <c r="BB84" s="388" t="n">
        <f aca="false">BB82+BB83</f>
        <v>0</v>
      </c>
      <c r="BC84" s="388" t="n">
        <f aca="false">BC82+BC83</f>
        <v>0</v>
      </c>
      <c r="BD84" s="388" t="n">
        <f aca="false">BD82+BD83</f>
        <v>0</v>
      </c>
      <c r="BE84" s="388" t="n">
        <f aca="false">BE82+BE83</f>
        <v>0</v>
      </c>
      <c r="BF84" s="388" t="n">
        <f aca="false">BF82+BF83</f>
        <v>0</v>
      </c>
      <c r="BG84" s="388" t="n">
        <f aca="false">BG82+BG83</f>
        <v>0</v>
      </c>
      <c r="BH84" s="388" t="n">
        <f aca="false">BH82+BH83</f>
        <v>0</v>
      </c>
      <c r="BI84" s="388" t="n">
        <f aca="false">BI82+BI83</f>
        <v>0</v>
      </c>
      <c r="BJ84" s="388" t="n">
        <f aca="false">BJ82+BJ83</f>
        <v>0</v>
      </c>
      <c r="BK84" s="388" t="n">
        <f aca="false">BK82+BK83</f>
        <v>0</v>
      </c>
      <c r="BL84" s="388" t="n">
        <f aca="false">BL82+BL83</f>
        <v>0</v>
      </c>
      <c r="BM84" s="388" t="n">
        <f aca="false">BM82+BM83</f>
        <v>0</v>
      </c>
      <c r="BN84" s="388" t="n">
        <f aca="false">BN82+BN83</f>
        <v>0</v>
      </c>
      <c r="BO84" s="388" t="n">
        <f aca="false">BO82+BO83</f>
        <v>0</v>
      </c>
      <c r="BP84" s="388" t="n">
        <f aca="false">BP82+BP83</f>
        <v>0</v>
      </c>
      <c r="BQ84" s="388" t="n">
        <f aca="false">BQ82+BQ83</f>
        <v>0</v>
      </c>
      <c r="BR84" s="388" t="n">
        <f aca="false">BR82+BR83</f>
        <v>0</v>
      </c>
      <c r="BS84" s="388" t="n">
        <f aca="false">BS82+BS83</f>
        <v>0</v>
      </c>
      <c r="BT84" s="388" t="n">
        <f aca="false">BT82+BT83</f>
        <v>0</v>
      </c>
      <c r="BU84" s="388" t="n">
        <f aca="false">BU82+BU83</f>
        <v>0</v>
      </c>
      <c r="BV84" s="388" t="n">
        <f aca="false">BV82+BV83</f>
        <v>0</v>
      </c>
      <c r="BW84" s="388" t="n">
        <f aca="false">BW82+BW83</f>
        <v>0</v>
      </c>
      <c r="BX84" s="388" t="n">
        <f aca="false">BX82+BX83</f>
        <v>0</v>
      </c>
      <c r="BY84" s="388" t="n">
        <f aca="false">BY82+BY83</f>
        <v>0</v>
      </c>
      <c r="BZ84" s="388" t="n">
        <f aca="false">BZ82+BZ83</f>
        <v>0</v>
      </c>
      <c r="CA84" s="388" t="n">
        <f aca="false">CA82+CA83</f>
        <v>0</v>
      </c>
      <c r="CB84" s="388" t="n">
        <f aca="false">CB82+CB83</f>
        <v>0</v>
      </c>
      <c r="CC84" s="388" t="n">
        <f aca="false">CC82+CC83</f>
        <v>0</v>
      </c>
      <c r="CD84" s="388" t="n">
        <f aca="false">CD82+CD83</f>
        <v>0</v>
      </c>
      <c r="CE84" s="388" t="n">
        <f aca="false">CE82+CE83</f>
        <v>0</v>
      </c>
      <c r="CF84" s="388" t="n">
        <f aca="false">CF82+CF83</f>
        <v>0</v>
      </c>
      <c r="CG84" s="388" t="n">
        <f aca="false">CG82+CG83</f>
        <v>0</v>
      </c>
      <c r="CH84" s="388" t="n">
        <f aca="false">CH82+CH83</f>
        <v>0</v>
      </c>
      <c r="CI84" s="388" t="n">
        <f aca="false">CI82+CI83</f>
        <v>0</v>
      </c>
      <c r="CJ84" s="388" t="n">
        <f aca="false">CJ82+CJ83</f>
        <v>0</v>
      </c>
      <c r="CK84" s="388" t="n">
        <f aca="false">CK82+CK83</f>
        <v>0</v>
      </c>
      <c r="CL84" s="388" t="n">
        <f aca="false">CL82+CL83</f>
        <v>0</v>
      </c>
      <c r="CM84" s="388" t="n">
        <f aca="false">CM82+CM83</f>
        <v>0</v>
      </c>
      <c r="CN84" s="388" t="n">
        <f aca="false">CN82+CN83</f>
        <v>0</v>
      </c>
      <c r="CO84" s="388" t="n">
        <f aca="false">CO82+CO83</f>
        <v>0</v>
      </c>
      <c r="CP84" s="388" t="n">
        <f aca="false">CP82+CP83</f>
        <v>0</v>
      </c>
      <c r="CQ84" s="388" t="n">
        <f aca="false">CQ82+CQ83</f>
        <v>0</v>
      </c>
      <c r="CR84" s="388" t="n">
        <f aca="false">CR82+CR83</f>
        <v>0</v>
      </c>
      <c r="CS84" s="388" t="n">
        <f aca="false">CS82+CS83</f>
        <v>0</v>
      </c>
      <c r="CT84" s="388" t="n">
        <f aca="false">CT82+CT83</f>
        <v>0</v>
      </c>
      <c r="CU84" s="388" t="n">
        <f aca="false">CU82+CU83</f>
        <v>0</v>
      </c>
      <c r="CV84" s="388" t="n">
        <f aca="false">CV82+CV83</f>
        <v>0</v>
      </c>
      <c r="CW84" s="388" t="n">
        <f aca="false">CW82+CW83</f>
        <v>0</v>
      </c>
      <c r="CX84" s="388" t="n">
        <f aca="false">CX82+CX83</f>
        <v>0</v>
      </c>
      <c r="CY84" s="388" t="n">
        <f aca="false">CY82+CY83</f>
        <v>0</v>
      </c>
      <c r="CZ84" s="388" t="n">
        <f aca="false">CZ82+CZ83</f>
        <v>0</v>
      </c>
      <c r="DA84" s="388" t="n">
        <f aca="false">DA82+DA83</f>
        <v>0</v>
      </c>
      <c r="DB84" s="388" t="n">
        <f aca="false">DB82+DB83</f>
        <v>0</v>
      </c>
      <c r="DC84" s="388" t="n">
        <f aca="false">DC82+DC83</f>
        <v>0</v>
      </c>
      <c r="DD84" s="388" t="n">
        <f aca="false">DD82+DD83</f>
        <v>0</v>
      </c>
      <c r="DE84" s="388" t="n">
        <f aca="false">DE82+DE83</f>
        <v>0</v>
      </c>
    </row>
    <row r="86" customFormat="false" ht="13.5" hidden="false" customHeight="true" outlineLevel="0" collapsed="false">
      <c r="A86" s="211" t="s">
        <v>1416</v>
      </c>
      <c r="B86" s="212"/>
      <c r="C86" s="212"/>
      <c r="D86" s="212"/>
      <c r="E86" s="212"/>
      <c r="F86" s="212"/>
    </row>
    <row r="87" customFormat="false" ht="13.5" hidden="false" customHeight="true" outlineLevel="0" collapsed="false">
      <c r="A87" s="110" t="s">
        <v>1417</v>
      </c>
      <c r="E87" s="386" t="n">
        <f aca="false">E43+SUM(E49:E58)</f>
        <v>4</v>
      </c>
      <c r="F87" s="386" t="n">
        <f aca="false">F43+SUM(F49:F58)</f>
        <v>5</v>
      </c>
      <c r="G87" s="386" t="n">
        <f aca="false">G43+SUM(G49:G58)</f>
        <v>5</v>
      </c>
      <c r="H87" s="386" t="n">
        <f aca="false">H43+SUM(H49:H58)</f>
        <v>6</v>
      </c>
      <c r="I87" s="386" t="n">
        <f aca="false">I43+SUM(I49:I58)</f>
        <v>6</v>
      </c>
      <c r="J87" s="386" t="n">
        <f aca="false">J43+SUM(J49:J58)</f>
        <v>7</v>
      </c>
      <c r="K87" s="386" t="n">
        <f aca="false">K43+SUM(K49:K58)</f>
        <v>7</v>
      </c>
      <c r="L87" s="386" t="n">
        <f aca="false">L43+SUM(L49:L58)</f>
        <v>7</v>
      </c>
      <c r="M87" s="386" t="n">
        <f aca="false">M43+SUM(M49:M58)</f>
        <v>8</v>
      </c>
      <c r="N87" s="386" t="n">
        <f aca="false">N43+SUM(N49:N58)</f>
        <v>9</v>
      </c>
      <c r="O87" s="386" t="n">
        <f aca="false">O43+SUM(O49:O58)</f>
        <v>10</v>
      </c>
      <c r="P87" s="386" t="n">
        <f aca="false">P43+SUM(P49:P58)</f>
        <v>10</v>
      </c>
      <c r="Q87" s="386" t="n">
        <f aca="false">Q43+SUM(Q49:Q58)</f>
        <v>11</v>
      </c>
      <c r="R87" s="386" t="n">
        <f aca="false">R43+SUM(R49:R58)</f>
        <v>12</v>
      </c>
      <c r="S87" s="386" t="n">
        <f aca="false">S43+SUM(S49:S58)</f>
        <v>12</v>
      </c>
      <c r="T87" s="386" t="n">
        <f aca="false">T43+SUM(T49:T58)</f>
        <v>13</v>
      </c>
      <c r="U87" s="386" t="n">
        <f aca="false">U43+SUM(U49:U58)</f>
        <v>13</v>
      </c>
      <c r="V87" s="386" t="n">
        <f aca="false">V43+SUM(V49:V58)</f>
        <v>13</v>
      </c>
      <c r="W87" s="386" t="n">
        <f aca="false">W43+SUM(W49:W58)</f>
        <v>13</v>
      </c>
      <c r="X87" s="386" t="n">
        <f aca="false">X43+SUM(X49:X58)</f>
        <v>13</v>
      </c>
      <c r="Y87" s="386" t="n">
        <f aca="false">Y43+SUM(Y49:Y58)</f>
        <v>13</v>
      </c>
      <c r="Z87" s="386" t="n">
        <f aca="false">Z43+SUM(Z49:Z58)</f>
        <v>12</v>
      </c>
      <c r="AA87" s="386" t="n">
        <f aca="false">AA43+SUM(AA49:AA58)</f>
        <v>12</v>
      </c>
      <c r="AB87" s="386" t="n">
        <f aca="false">AB43+SUM(AB49:AB58)</f>
        <v>12</v>
      </c>
      <c r="AC87" s="386" t="n">
        <f aca="false">AC43+SUM(AC49:AC58)</f>
        <v>12</v>
      </c>
      <c r="AD87" s="386" t="n">
        <f aca="false">AD43+SUM(AD49:AD58)</f>
        <v>11</v>
      </c>
      <c r="AE87" s="386" t="n">
        <f aca="false">AE43+SUM(AE49:AE58)</f>
        <v>11</v>
      </c>
      <c r="AF87" s="386" t="n">
        <f aca="false">AF43+SUM(AF49:AF58)</f>
        <v>11</v>
      </c>
      <c r="AG87" s="386" t="n">
        <f aca="false">AG43+SUM(AG49:AG58)</f>
        <v>11</v>
      </c>
      <c r="AH87" s="386" t="n">
        <f aca="false">AH43+SUM(AH49:AH58)</f>
        <v>10</v>
      </c>
      <c r="AI87" s="386" t="n">
        <f aca="false">AI43+SUM(AI49:AI58)</f>
        <v>10</v>
      </c>
      <c r="AJ87" s="386" t="n">
        <f aca="false">AJ43+SUM(AJ49:AJ58)</f>
        <v>10</v>
      </c>
      <c r="AK87" s="386" t="n">
        <f aca="false">AK43+SUM(AK49:AK58)</f>
        <v>10</v>
      </c>
      <c r="AL87" s="386" t="n">
        <f aca="false">AL43+SUM(AL49:AL58)</f>
        <v>10</v>
      </c>
      <c r="AM87" s="386" t="n">
        <f aca="false">AM43+SUM(AM49:AM58)</f>
        <v>8</v>
      </c>
      <c r="AN87" s="386" t="n">
        <f aca="false">AN43+SUM(AN49:AN58)</f>
        <v>7</v>
      </c>
      <c r="AO87" s="386" t="n">
        <f aca="false">AO43+SUM(AO49:AO58)</f>
        <v>7</v>
      </c>
      <c r="AP87" s="386" t="n">
        <f aca="false">AP43+SUM(AP49:AP58)</f>
        <v>7</v>
      </c>
      <c r="AQ87" s="386" t="n">
        <f aca="false">AQ43+SUM(AQ49:AQ58)</f>
        <v>7</v>
      </c>
      <c r="AR87" s="386" t="n">
        <f aca="false">AR43+SUM(AR49:AR58)</f>
        <v>7</v>
      </c>
      <c r="AS87" s="386" t="n">
        <f aca="false">AS43+SUM(AS49:AS58)</f>
        <v>7</v>
      </c>
      <c r="AT87" s="386" t="n">
        <f aca="false">AT43+SUM(AT49:AT58)</f>
        <v>7</v>
      </c>
      <c r="AU87" s="386" t="n">
        <f aca="false">AU43+SUM(AU49:AU58)</f>
        <v>7</v>
      </c>
      <c r="AV87" s="386" t="n">
        <f aca="false">AV43+SUM(AV49:AV58)</f>
        <v>7</v>
      </c>
      <c r="AW87" s="386" t="n">
        <f aca="false">AW43+SUM(AW49:AW58)</f>
        <v>7</v>
      </c>
      <c r="AX87" s="386" t="n">
        <f aca="false">AX43+SUM(AX49:AX58)</f>
        <v>7</v>
      </c>
      <c r="AY87" s="386" t="n">
        <f aca="false">AY43+SUM(AY49:AY58)</f>
        <v>7</v>
      </c>
      <c r="AZ87" s="386" t="n">
        <f aca="false">AZ43+SUM(AZ49:AZ58)</f>
        <v>7</v>
      </c>
      <c r="BA87" s="386" t="n">
        <f aca="false">BA43+SUM(BA49:BA58)</f>
        <v>7</v>
      </c>
      <c r="BB87" s="386" t="n">
        <f aca="false">BB43+SUM(BB49:BB58)</f>
        <v>7</v>
      </c>
      <c r="BC87" s="386" t="n">
        <f aca="false">BC43+SUM(BC49:BC58)</f>
        <v>7</v>
      </c>
      <c r="BD87" s="386" t="n">
        <f aca="false">BD43+SUM(BD49:BD58)</f>
        <v>7</v>
      </c>
      <c r="BE87" s="386" t="n">
        <f aca="false">BE43+SUM(BE49:BE58)</f>
        <v>7</v>
      </c>
      <c r="BF87" s="386" t="n">
        <f aca="false">BF43+SUM(BF49:BF58)</f>
        <v>7</v>
      </c>
      <c r="BG87" s="386" t="n">
        <f aca="false">BG43+SUM(BG49:BG58)</f>
        <v>7</v>
      </c>
      <c r="BH87" s="386" t="n">
        <f aca="false">BH43+SUM(BH49:BH58)</f>
        <v>7</v>
      </c>
      <c r="BI87" s="386" t="n">
        <f aca="false">BI43+SUM(BI49:BI58)</f>
        <v>7</v>
      </c>
      <c r="BJ87" s="386" t="n">
        <f aca="false">BJ43+SUM(BJ49:BJ58)</f>
        <v>7</v>
      </c>
      <c r="BK87" s="386" t="n">
        <f aca="false">BK43+SUM(BK49:BK58)</f>
        <v>7</v>
      </c>
      <c r="BL87" s="386" t="n">
        <f aca="false">BL43+SUM(BL49:BL58)</f>
        <v>7</v>
      </c>
      <c r="BM87" s="386" t="n">
        <f aca="false">BM43+SUM(BM49:BM58)</f>
        <v>7</v>
      </c>
      <c r="BN87" s="386" t="n">
        <f aca="false">BN43+SUM(BN49:BN58)</f>
        <v>7</v>
      </c>
      <c r="BO87" s="386" t="n">
        <f aca="false">BO43+SUM(BO49:BO58)</f>
        <v>7</v>
      </c>
      <c r="BP87" s="386" t="n">
        <f aca="false">BP43+SUM(BP49:BP58)</f>
        <v>7</v>
      </c>
      <c r="BQ87" s="386" t="n">
        <f aca="false">BQ43+SUM(BQ49:BQ58)</f>
        <v>7</v>
      </c>
      <c r="BR87" s="386" t="n">
        <f aca="false">BR43+SUM(BR49:BR58)</f>
        <v>7</v>
      </c>
      <c r="BS87" s="386" t="n">
        <f aca="false">BS43+SUM(BS49:BS58)</f>
        <v>7</v>
      </c>
      <c r="BT87" s="386" t="n">
        <f aca="false">BT43+SUM(BT49:BT58)</f>
        <v>7</v>
      </c>
      <c r="BU87" s="386" t="n">
        <f aca="false">BU43+SUM(BU49:BU58)</f>
        <v>7</v>
      </c>
      <c r="BV87" s="386" t="n">
        <f aca="false">BV43+SUM(BV49:BV58)</f>
        <v>7</v>
      </c>
      <c r="BW87" s="386" t="n">
        <f aca="false">BW43+SUM(BW49:BW58)</f>
        <v>7</v>
      </c>
      <c r="BX87" s="386" t="n">
        <f aca="false">BX43+SUM(BX49:BX58)</f>
        <v>7</v>
      </c>
      <c r="BY87" s="386" t="n">
        <f aca="false">BY43+SUM(BY49:BY58)</f>
        <v>7</v>
      </c>
      <c r="BZ87" s="386" t="n">
        <f aca="false">BZ43+SUM(BZ49:BZ58)</f>
        <v>7</v>
      </c>
      <c r="CA87" s="386" t="n">
        <f aca="false">CA43+SUM(CA49:CA58)</f>
        <v>7</v>
      </c>
      <c r="CB87" s="386" t="n">
        <f aca="false">CB43+SUM(CB49:CB58)</f>
        <v>7</v>
      </c>
      <c r="CC87" s="386" t="n">
        <f aca="false">CC43+SUM(CC49:CC58)</f>
        <v>7</v>
      </c>
      <c r="CD87" s="386" t="n">
        <f aca="false">CD43+SUM(CD49:CD58)</f>
        <v>7</v>
      </c>
      <c r="CE87" s="386" t="n">
        <f aca="false">CE43+SUM(CE49:CE58)</f>
        <v>7</v>
      </c>
      <c r="CF87" s="386" t="n">
        <f aca="false">CF43+SUM(CF49:CF58)</f>
        <v>7</v>
      </c>
      <c r="CG87" s="386" t="n">
        <f aca="false">CG43+SUM(CG49:CG58)</f>
        <v>7</v>
      </c>
      <c r="CH87" s="386" t="n">
        <f aca="false">CH43+SUM(CH49:CH58)</f>
        <v>7</v>
      </c>
      <c r="CI87" s="386" t="n">
        <f aca="false">CI43+SUM(CI49:CI58)</f>
        <v>7</v>
      </c>
      <c r="CJ87" s="386" t="n">
        <f aca="false">CJ43+SUM(CJ49:CJ58)</f>
        <v>7</v>
      </c>
      <c r="CK87" s="386" t="n">
        <f aca="false">CK43+SUM(CK49:CK58)</f>
        <v>7</v>
      </c>
      <c r="CL87" s="386" t="n">
        <f aca="false">CL43+SUM(CL49:CL58)</f>
        <v>7</v>
      </c>
      <c r="CM87" s="386" t="n">
        <f aca="false">CM43+SUM(CM49:CM58)</f>
        <v>7</v>
      </c>
      <c r="CN87" s="386" t="n">
        <f aca="false">CN43+SUM(CN49:CN58)</f>
        <v>7</v>
      </c>
      <c r="CO87" s="386" t="n">
        <f aca="false">CO43+SUM(CO49:CO58)</f>
        <v>7</v>
      </c>
      <c r="CP87" s="386" t="n">
        <f aca="false">CP43+SUM(CP49:CP58)</f>
        <v>7</v>
      </c>
      <c r="CQ87" s="386" t="n">
        <f aca="false">CQ43+SUM(CQ49:CQ58)</f>
        <v>7</v>
      </c>
      <c r="CR87" s="386" t="n">
        <f aca="false">CR43+SUM(CR49:CR58)</f>
        <v>7</v>
      </c>
      <c r="CS87" s="386" t="n">
        <f aca="false">CS43+SUM(CS49:CS58)</f>
        <v>7</v>
      </c>
      <c r="CT87" s="386" t="n">
        <f aca="false">CT43+SUM(CT49:CT58)</f>
        <v>7</v>
      </c>
      <c r="CU87" s="386" t="n">
        <f aca="false">CU43+SUM(CU49:CU58)</f>
        <v>7</v>
      </c>
      <c r="CV87" s="386" t="n">
        <f aca="false">CV43+SUM(CV49:CV58)</f>
        <v>7</v>
      </c>
      <c r="CW87" s="386" t="n">
        <f aca="false">CW43+SUM(CW49:CW58)</f>
        <v>7</v>
      </c>
      <c r="CX87" s="386" t="n">
        <f aca="false">CX43+SUM(CX49:CX58)</f>
        <v>7</v>
      </c>
      <c r="CY87" s="386" t="n">
        <f aca="false">CY43+SUM(CY49:CY58)</f>
        <v>7</v>
      </c>
      <c r="CZ87" s="386" t="n">
        <f aca="false">CZ43+SUM(CZ49:CZ58)</f>
        <v>7</v>
      </c>
      <c r="DA87" s="386" t="n">
        <f aca="false">DA43+SUM(DA49:DA58)</f>
        <v>7</v>
      </c>
      <c r="DB87" s="386" t="n">
        <f aca="false">DB43+SUM(DB49:DB58)</f>
        <v>7</v>
      </c>
      <c r="DC87" s="386" t="n">
        <f aca="false">DC43+SUM(DC49:DC58)</f>
        <v>7</v>
      </c>
      <c r="DD87" s="386" t="n">
        <f aca="false">DD43+SUM(DD49:DD58)</f>
        <v>7</v>
      </c>
      <c r="DE87" s="386" t="n">
        <f aca="false">DE43+SUM(DE49:DE58)</f>
        <v>7</v>
      </c>
    </row>
    <row r="88" customFormat="false" ht="13.5" hidden="false" customHeight="true" outlineLevel="0" collapsed="false">
      <c r="A88" s="110" t="s">
        <v>1418</v>
      </c>
      <c r="E88" s="386" t="n">
        <f aca="false">E37-E87</f>
        <v>1</v>
      </c>
      <c r="F88" s="386" t="n">
        <f aca="false">F37-F87</f>
        <v>0</v>
      </c>
      <c r="G88" s="386" t="n">
        <f aca="false">G37-G87</f>
        <v>0</v>
      </c>
      <c r="H88" s="386" t="n">
        <f aca="false">H37-H87</f>
        <v>-1</v>
      </c>
      <c r="I88" s="386" t="n">
        <f aca="false">I37-I87</f>
        <v>1</v>
      </c>
      <c r="J88" s="386" t="n">
        <f aca="false">J37-J87</f>
        <v>1</v>
      </c>
      <c r="K88" s="386" t="n">
        <f aca="false">K37-K87</f>
        <v>1</v>
      </c>
      <c r="L88" s="386" t="n">
        <f aca="false">L37-L87</f>
        <v>1</v>
      </c>
      <c r="M88" s="386" t="n">
        <f aca="false">M37-M87</f>
        <v>0</v>
      </c>
      <c r="N88" s="386" t="n">
        <f aca="false">N37-N87</f>
        <v>1</v>
      </c>
      <c r="O88" s="386" t="n">
        <f aca="false">O37-O87</f>
        <v>1</v>
      </c>
      <c r="P88" s="386" t="n">
        <f aca="false">P37-P87</f>
        <v>1</v>
      </c>
      <c r="Q88" s="386" t="n">
        <f aca="false">Q37-Q87</f>
        <v>1</v>
      </c>
      <c r="R88" s="386" t="n">
        <f aca="false">R37-R87</f>
        <v>1</v>
      </c>
      <c r="S88" s="386" t="n">
        <f aca="false">S37-S87</f>
        <v>2</v>
      </c>
      <c r="T88" s="386" t="n">
        <f aca="false">T37-T87</f>
        <v>1</v>
      </c>
      <c r="U88" s="386" t="n">
        <f aca="false">U37-U87</f>
        <v>1</v>
      </c>
      <c r="V88" s="386" t="n">
        <f aca="false">V37-V87</f>
        <v>0</v>
      </c>
      <c r="W88" s="386" t="n">
        <f aca="false">W37-W87</f>
        <v>-1</v>
      </c>
      <c r="X88" s="386" t="n">
        <f aca="false">X37-X87</f>
        <v>-1</v>
      </c>
      <c r="Y88" s="386" t="n">
        <f aca="false">Y37-Y87</f>
        <v>-1</v>
      </c>
      <c r="Z88" s="386" t="n">
        <f aca="false">Z37-Z87</f>
        <v>0</v>
      </c>
      <c r="AA88" s="386" t="n">
        <f aca="false">AA37-AA87</f>
        <v>0</v>
      </c>
      <c r="AB88" s="386" t="n">
        <f aca="false">AB37-AB87</f>
        <v>-1</v>
      </c>
      <c r="AC88" s="386" t="n">
        <f aca="false">AC37-AC87</f>
        <v>-2</v>
      </c>
      <c r="AD88" s="386" t="n">
        <f aca="false">AD37-AD87</f>
        <v>-1</v>
      </c>
      <c r="AE88" s="386" t="n">
        <f aca="false">AE37-AE87</f>
        <v>0</v>
      </c>
      <c r="AF88" s="386" t="n">
        <f aca="false">AF37-AF87</f>
        <v>0</v>
      </c>
      <c r="AG88" s="386" t="n">
        <f aca="false">AG37-AG87</f>
        <v>-2</v>
      </c>
      <c r="AH88" s="386" t="n">
        <f aca="false">AH37-AH87</f>
        <v>-2</v>
      </c>
      <c r="AI88" s="386" t="n">
        <f aca="false">AI37-AI87</f>
        <v>-2</v>
      </c>
      <c r="AJ88" s="386" t="n">
        <f aca="false">AJ37-AJ87</f>
        <v>-2</v>
      </c>
      <c r="AK88" s="386" t="n">
        <f aca="false">AK37-AK87</f>
        <v>-4</v>
      </c>
      <c r="AL88" s="386" t="n">
        <f aca="false">AL37-AL87</f>
        <v>-5</v>
      </c>
      <c r="AM88" s="386" t="n">
        <f aca="false">AM37-AM87</f>
        <v>-4</v>
      </c>
      <c r="AN88" s="386" t="n">
        <f aca="false">AN37-AN87</f>
        <v>-3</v>
      </c>
      <c r="AO88" s="386" t="n">
        <f aca="false">AO37-AO87</f>
        <v>-4</v>
      </c>
      <c r="AP88" s="386" t="n">
        <f aca="false">AP37-AP87</f>
        <v>-4</v>
      </c>
      <c r="AQ88" s="386" t="n">
        <f aca="false">AQ37-AQ87</f>
        <v>-4</v>
      </c>
      <c r="AR88" s="386" t="n">
        <f aca="false">AR37-AR87</f>
        <v>-4</v>
      </c>
      <c r="AS88" s="386" t="n">
        <f aca="false">AS37-AS87</f>
        <v>-4</v>
      </c>
      <c r="AT88" s="386" t="n">
        <f aca="false">AT37-AT87</f>
        <v>-4</v>
      </c>
      <c r="AU88" s="386" t="n">
        <f aca="false">AU37-AU87</f>
        <v>-5</v>
      </c>
      <c r="AV88" s="386" t="n">
        <f aca="false">AV37-AV87</f>
        <v>-6</v>
      </c>
      <c r="AW88" s="386" t="n">
        <f aca="false">AW37-AW87</f>
        <v>-6</v>
      </c>
      <c r="AX88" s="386" t="n">
        <f aca="false">AX37-AX87</f>
        <v>-6</v>
      </c>
      <c r="AY88" s="386" t="n">
        <f aca="false">AY37-AY87</f>
        <v>-6</v>
      </c>
      <c r="AZ88" s="386" t="n">
        <f aca="false">AZ37-AZ87</f>
        <v>-6</v>
      </c>
      <c r="BA88" s="386" t="n">
        <f aca="false">BA37-BA87</f>
        <v>-6</v>
      </c>
      <c r="BB88" s="386" t="n">
        <f aca="false">BB37-BB87</f>
        <v>-6</v>
      </c>
      <c r="BC88" s="386" t="n">
        <f aca="false">BC37-BC87</f>
        <v>-6</v>
      </c>
      <c r="BD88" s="386" t="n">
        <f aca="false">BD37-BD87</f>
        <v>-6</v>
      </c>
      <c r="BE88" s="386" t="n">
        <f aca="false">BE37-BE87</f>
        <v>-6</v>
      </c>
      <c r="BF88" s="386" t="n">
        <f aca="false">BF37-BF87</f>
        <v>-6</v>
      </c>
      <c r="BG88" s="386" t="n">
        <f aca="false">BG37-BG87</f>
        <v>-6</v>
      </c>
      <c r="BH88" s="386" t="n">
        <f aca="false">BH37-BH87</f>
        <v>-6</v>
      </c>
      <c r="BI88" s="386" t="n">
        <f aca="false">BI37-BI87</f>
        <v>-7</v>
      </c>
      <c r="BJ88" s="386" t="n">
        <f aca="false">BJ37-BJ87</f>
        <v>-7</v>
      </c>
      <c r="BK88" s="386" t="n">
        <f aca="false">BK37-BK87</f>
        <v>-7</v>
      </c>
      <c r="BL88" s="386" t="n">
        <f aca="false">BL37-BL87</f>
        <v>-7</v>
      </c>
      <c r="BM88" s="386" t="n">
        <f aca="false">BM37-BM87</f>
        <v>-7</v>
      </c>
      <c r="BN88" s="386" t="n">
        <f aca="false">BN37-BN87</f>
        <v>-7</v>
      </c>
      <c r="BO88" s="386" t="n">
        <f aca="false">BO37-BO87</f>
        <v>-7</v>
      </c>
      <c r="BP88" s="386" t="n">
        <f aca="false">BP37-BP87</f>
        <v>-7</v>
      </c>
      <c r="BQ88" s="386" t="n">
        <f aca="false">BQ37-BQ87</f>
        <v>-7</v>
      </c>
      <c r="BR88" s="386" t="n">
        <f aca="false">BR37-BR87</f>
        <v>-7</v>
      </c>
      <c r="BS88" s="386" t="n">
        <f aca="false">BS37-BS87</f>
        <v>-7</v>
      </c>
      <c r="BT88" s="386" t="n">
        <f aca="false">BT37-BT87</f>
        <v>-7</v>
      </c>
      <c r="BU88" s="386" t="n">
        <f aca="false">BU37-BU87</f>
        <v>-7</v>
      </c>
      <c r="BV88" s="386" t="n">
        <f aca="false">BV37-BV87</f>
        <v>-7</v>
      </c>
      <c r="BW88" s="386" t="n">
        <f aca="false">BW37-BW87</f>
        <v>-7</v>
      </c>
      <c r="BX88" s="386" t="n">
        <f aca="false">BX37-BX87</f>
        <v>-7</v>
      </c>
      <c r="BY88" s="386" t="n">
        <f aca="false">BY37-BY87</f>
        <v>-7</v>
      </c>
      <c r="BZ88" s="386" t="n">
        <f aca="false">BZ37-BZ87</f>
        <v>-7</v>
      </c>
      <c r="CA88" s="386" t="n">
        <f aca="false">CA37-CA87</f>
        <v>-7</v>
      </c>
      <c r="CB88" s="386" t="n">
        <f aca="false">CB37-CB87</f>
        <v>-7</v>
      </c>
      <c r="CC88" s="386" t="n">
        <f aca="false">CC37-CC87</f>
        <v>-7</v>
      </c>
      <c r="CD88" s="386" t="n">
        <f aca="false">CD37-CD87</f>
        <v>-7</v>
      </c>
      <c r="CE88" s="386" t="n">
        <f aca="false">CE37-CE87</f>
        <v>-7</v>
      </c>
      <c r="CF88" s="386" t="n">
        <f aca="false">CF37-CF87</f>
        <v>-7</v>
      </c>
      <c r="CG88" s="386" t="n">
        <f aca="false">CG37-CG87</f>
        <v>-7</v>
      </c>
      <c r="CH88" s="386" t="n">
        <f aca="false">CH37-CH87</f>
        <v>-7</v>
      </c>
      <c r="CI88" s="386" t="n">
        <f aca="false">CI37-CI87</f>
        <v>-7</v>
      </c>
      <c r="CJ88" s="386" t="n">
        <f aca="false">CJ37-CJ87</f>
        <v>-7</v>
      </c>
      <c r="CK88" s="386" t="n">
        <f aca="false">CK37-CK87</f>
        <v>-7</v>
      </c>
      <c r="CL88" s="386" t="n">
        <f aca="false">CL37-CL87</f>
        <v>-7</v>
      </c>
      <c r="CM88" s="386" t="n">
        <f aca="false">CM37-CM87</f>
        <v>-7</v>
      </c>
      <c r="CN88" s="386" t="n">
        <f aca="false">CN37-CN87</f>
        <v>-7</v>
      </c>
      <c r="CO88" s="386" t="n">
        <f aca="false">CO37-CO87</f>
        <v>-7</v>
      </c>
      <c r="CP88" s="386" t="n">
        <f aca="false">CP37-CP87</f>
        <v>-7</v>
      </c>
      <c r="CQ88" s="386" t="n">
        <f aca="false">CQ37-CQ87</f>
        <v>-7</v>
      </c>
      <c r="CR88" s="386" t="n">
        <f aca="false">CR37-CR87</f>
        <v>-7</v>
      </c>
      <c r="CS88" s="386" t="n">
        <f aca="false">CS37-CS87</f>
        <v>-7</v>
      </c>
      <c r="CT88" s="386" t="n">
        <f aca="false">CT37-CT87</f>
        <v>-7</v>
      </c>
      <c r="CU88" s="386" t="n">
        <f aca="false">CU37-CU87</f>
        <v>-7</v>
      </c>
      <c r="CV88" s="386" t="n">
        <f aca="false">CV37-CV87</f>
        <v>-7</v>
      </c>
      <c r="CW88" s="386" t="n">
        <f aca="false">CW37-CW87</f>
        <v>-7</v>
      </c>
      <c r="CX88" s="386" t="n">
        <f aca="false">CX37-CX87</f>
        <v>-7</v>
      </c>
      <c r="CY88" s="386" t="n">
        <f aca="false">CY37-CY87</f>
        <v>-7</v>
      </c>
      <c r="CZ88" s="386" t="n">
        <f aca="false">CZ37-CZ87</f>
        <v>-7</v>
      </c>
      <c r="DA88" s="386" t="n">
        <f aca="false">DA37-DA87</f>
        <v>-7</v>
      </c>
      <c r="DB88" s="386" t="n">
        <f aca="false">DB37-DB87</f>
        <v>-7</v>
      </c>
      <c r="DC88" s="386" t="n">
        <f aca="false">DC37-DC87</f>
        <v>-7</v>
      </c>
      <c r="DD88" s="386" t="n">
        <f aca="false">DD37-DD87</f>
        <v>-7</v>
      </c>
      <c r="DE88" s="386" t="n">
        <f aca="false">DE37-DE87</f>
        <v>-7</v>
      </c>
    </row>
    <row r="89" customFormat="false" ht="13.5" hidden="false" customHeight="true" outlineLevel="0" collapsed="false">
      <c r="A89" s="110" t="s">
        <v>1419</v>
      </c>
      <c r="E89" s="386" t="n">
        <f aca="false">(E87+E44+SUM(E61:E68)+E45+SUM(E71:E74))-(E38+E39+E40)</f>
        <v>0.945</v>
      </c>
      <c r="F89" s="386" t="n">
        <f aca="false">(F87+F44+SUM(F61:F68)+F45+SUM(F71:F74))-(F38+F39+F40)</f>
        <v>2.945</v>
      </c>
      <c r="G89" s="386" t="n">
        <f aca="false">(G87+G44+SUM(G61:G68)+G45+SUM(G71:G74))-(G38+G39+G40)</f>
        <v>2.945</v>
      </c>
      <c r="H89" s="386" t="n">
        <f aca="false">(H87+H44+SUM(H61:H68)+H45+SUM(H71:H74))-(H38+H39+H40)</f>
        <v>3.945</v>
      </c>
      <c r="I89" s="386" t="n">
        <f aca="false">(I87+I44+SUM(I61:I68)+I45+SUM(I71:I74))-(I38+I39+I40)</f>
        <v>0.745000000000001</v>
      </c>
      <c r="J89" s="386" t="n">
        <f aca="false">(J87+J44+SUM(J61:J68)+J45+SUM(J71:J74))-(J38+J39+J40)</f>
        <v>0.7525</v>
      </c>
      <c r="K89" s="386" t="n">
        <f aca="false">(K87+K44+SUM(K61:K68)+K45+SUM(K71:K74))-(K38+K39+K40)</f>
        <v>0.7525</v>
      </c>
      <c r="L89" s="386" t="n">
        <f aca="false">(L87+L44+SUM(L61:L68)+L45+SUM(L71:L74))-(L38+L39+L40)</f>
        <v>0.7525</v>
      </c>
      <c r="M89" s="386" t="n">
        <f aca="false">(M87+M44+SUM(M61:M68)+M45+SUM(M71:M74))-(M38+M39+M40)</f>
        <v>0.427499999999998</v>
      </c>
      <c r="N89" s="386" t="n">
        <f aca="false">(N87+N44+SUM(N61:N68)+N45+SUM(N71:N74))-(N38+N39+N40)</f>
        <v>0.77</v>
      </c>
      <c r="O89" s="386" t="n">
        <f aca="false">(O87+O44+SUM(O61:O68)+O45+SUM(O71:O74))-(O38+O39+O40)</f>
        <v>1.23</v>
      </c>
      <c r="P89" s="386" t="n">
        <f aca="false">(P87+P44+SUM(P61:P68)+P45+SUM(P71:P74))-(P38+P39+P40)</f>
        <v>1.23</v>
      </c>
      <c r="Q89" s="386" t="n">
        <f aca="false">(Q87+Q44+SUM(Q61:Q68)+Q45+SUM(Q71:Q74))-(Q38+Q39+Q40)</f>
        <v>0.6875</v>
      </c>
      <c r="R89" s="386" t="n">
        <f aca="false">(R87+R44+SUM(R61:R68)+R45+SUM(R71:R74))-(R38+R39+R40)</f>
        <v>1.3625</v>
      </c>
      <c r="S89" s="386" t="n">
        <f aca="false">(S87+S44+SUM(S61:S68)+S45+SUM(S71:S74))-(S38+S39+S40)</f>
        <v>0.262499999999999</v>
      </c>
      <c r="T89" s="386" t="n">
        <f aca="false">(T87+T44+SUM(T61:T68)+T45+SUM(T71:T74))-(T38+T39+T40)</f>
        <v>0.162499999999998</v>
      </c>
      <c r="U89" s="386" t="n">
        <f aca="false">(U87+U44+SUM(U61:U68)+U45+SUM(U71:U74))-(U38+U39+U40)</f>
        <v>1.595</v>
      </c>
      <c r="V89" s="386" t="n">
        <f aca="false">(V87+V44+SUM(V61:V68)+V45+SUM(V71:V74))-(V38+V39+V40)</f>
        <v>1.595</v>
      </c>
      <c r="W89" s="386" t="n">
        <f aca="false">(W87+W44+SUM(W61:W68)+W45+SUM(W71:W74))-(W38+W39+W40)</f>
        <v>2.695</v>
      </c>
      <c r="X89" s="386" t="n">
        <f aca="false">(X87+X44+SUM(X61:X68)+X45+SUM(X71:X74))-(X38+X39+X40)</f>
        <v>1.92</v>
      </c>
      <c r="Y89" s="386" t="n">
        <f aca="false">(Y87+Y44+SUM(Y61:Y68)+Y45+SUM(Y71:Y74))-(Y38+Y39+Y40)</f>
        <v>3.245</v>
      </c>
      <c r="Z89" s="386" t="n">
        <f aca="false">(Z87+Z44+SUM(Z61:Z68)+Z45+SUM(Z71:Z74))-(Z38+Z39+Z40)</f>
        <v>2.47</v>
      </c>
      <c r="AA89" s="386" t="n">
        <f aca="false">(AA87+AA44+SUM(AA61:AA68)+AA45+SUM(AA71:AA74))-(AA38+AA39+AA40)</f>
        <v>2.47</v>
      </c>
      <c r="AB89" s="386" t="n">
        <f aca="false">(AB87+AB44+SUM(AB61:AB68)+AB45+SUM(AB71:AB74))-(AB38+AB39+AB40)</f>
        <v>2.47</v>
      </c>
      <c r="AC89" s="386" t="n">
        <f aca="false">(AC87+AC44+SUM(AC61:AC68)+AC45+SUM(AC71:AC74))-(AC38+AC39+AC40)</f>
        <v>3.57</v>
      </c>
      <c r="AD89" s="386" t="n">
        <f aca="false">(AD87+AD44+SUM(AD61:AD68)+AD45+SUM(AD71:AD74))-(AD38+AD39+AD40)</f>
        <v>4.2275</v>
      </c>
      <c r="AE89" s="386" t="n">
        <f aca="false">(AE87+AE44+SUM(AE61:AE68)+AE45+SUM(AE71:AE74))-(AE38+AE39+AE40)</f>
        <v>2.685</v>
      </c>
      <c r="AF89" s="386" t="n">
        <f aca="false">(AF87+AF44+SUM(AF61:AF68)+AF45+SUM(AF71:AF74))-(AF38+AF39+AF40)</f>
        <v>2.685</v>
      </c>
      <c r="AG89" s="386" t="n">
        <f aca="false">(AG87+AG44+SUM(AG61:AG68)+AG45+SUM(AG71:AG74))-(AG38+AG39+AG40)</f>
        <v>2.685</v>
      </c>
      <c r="AH89" s="386" t="n">
        <f aca="false">(AH87+AH44+SUM(AH61:AH68)+AH45+SUM(AH71:AH74))-(AH38+AH39+AH40)</f>
        <v>4.4425</v>
      </c>
      <c r="AI89" s="386" t="n">
        <f aca="false">(AI87+AI44+SUM(AI61:AI68)+AI45+SUM(AI71:AI74))-(AI38+AI39+AI40)</f>
        <v>5.875</v>
      </c>
      <c r="AJ89" s="386" t="n">
        <f aca="false">(AJ87+AJ44+SUM(AJ61:AJ68)+AJ45+SUM(AJ71:AJ74))-(AJ38+AJ39+AJ40)</f>
        <v>6.1</v>
      </c>
      <c r="AK89" s="386" t="n">
        <f aca="false">(AK87+AK44+SUM(AK61:AK68)+AK45+SUM(AK71:AK74))-(AK38+AK39+AK40)</f>
        <v>6.1</v>
      </c>
      <c r="AL89" s="386" t="n">
        <f aca="false">(AL87+AL44+SUM(AL61:AL68)+AL45+SUM(AL71:AL74))-(AL38+AL39+AL40)</f>
        <v>8.8</v>
      </c>
      <c r="AM89" s="386" t="n">
        <f aca="false">(AM87+AM44+SUM(AM61:AM68)+AM45+SUM(AM71:AM74))-(AM38+AM39+AM40)</f>
        <v>5.9</v>
      </c>
      <c r="AN89" s="386" t="n">
        <f aca="false">(AN87+AN44+SUM(AN61:AN68)+AN45+SUM(AN71:AN74))-(AN38+AN39+AN40)</f>
        <v>6</v>
      </c>
      <c r="AO89" s="386" t="n">
        <f aca="false">(AO87+AO44+SUM(AO61:AO68)+AO45+SUM(AO71:AO74))-(AO38+AO39+AO40)</f>
        <v>6</v>
      </c>
      <c r="AP89" s="386" t="n">
        <f aca="false">(AP87+AP44+SUM(AP61:AP68)+AP45+SUM(AP71:AP74))-(AP38+AP39+AP40)</f>
        <v>7.375</v>
      </c>
      <c r="AQ89" s="386" t="n">
        <f aca="false">(AQ87+AQ44+SUM(AQ61:AQ68)+AQ45+SUM(AQ71:AQ74))-(AQ38+AQ39+AQ40)</f>
        <v>6.375</v>
      </c>
      <c r="AR89" s="386" t="n">
        <f aca="false">(AR87+AR44+SUM(AR61:AR68)+AR45+SUM(AR71:AR74))-(AR38+AR39+AR40)</f>
        <v>6.875</v>
      </c>
      <c r="AS89" s="386" t="n">
        <f aca="false">(AS87+AS44+SUM(AS61:AS68)+AS45+SUM(AS71:AS74))-(AS38+AS39+AS40)</f>
        <v>7.375</v>
      </c>
      <c r="AT89" s="386" t="n">
        <f aca="false">(AT87+AT44+SUM(AT61:AT68)+AT45+SUM(AT71:AT74))-(AT38+AT39+AT40)</f>
        <v>7.375</v>
      </c>
      <c r="AU89" s="386" t="n">
        <f aca="false">(AU87+AU44+SUM(AU61:AU68)+AU45+SUM(AU71:AU74))-(AU38+AU39+AU40)</f>
        <v>7.375</v>
      </c>
      <c r="AV89" s="386" t="n">
        <f aca="false">(AV87+AV44+SUM(AV61:AV68)+AV45+SUM(AV71:AV74))-(AV38+AV39+AV40)</f>
        <v>8.75</v>
      </c>
      <c r="AW89" s="386" t="n">
        <f aca="false">(AW87+AW44+SUM(AW61:AW68)+AW45+SUM(AW71:AW74))-(AW38+AW39+AW40)</f>
        <v>10.125</v>
      </c>
      <c r="AX89" s="386" t="n">
        <f aca="false">(AX87+AX44+SUM(AX61:AX68)+AX45+SUM(AX71:AX74))-(AX38+AX39+AX40)</f>
        <v>10.125</v>
      </c>
      <c r="AY89" s="386" t="n">
        <f aca="false">(AY87+AY44+SUM(AY61:AY68)+AY45+SUM(AY71:AY74))-(AY38+AY39+AY40)</f>
        <v>10.125</v>
      </c>
      <c r="AZ89" s="386" t="n">
        <f aca="false">(AZ87+AZ44+SUM(AZ61:AZ68)+AZ45+SUM(AZ71:AZ74))-(AZ38+AZ39+AZ40)</f>
        <v>10.125</v>
      </c>
      <c r="BA89" s="386" t="n">
        <f aca="false">(BA87+BA44+SUM(BA61:BA68)+BA45+SUM(BA71:BA74))-(BA38+BA39+BA40)</f>
        <v>10.125</v>
      </c>
      <c r="BB89" s="386" t="n">
        <f aca="false">(BB87+BB44+SUM(BB61:BB68)+BB45+SUM(BB71:BB74))-(BB38+BB39+BB40)</f>
        <v>10.125</v>
      </c>
      <c r="BC89" s="386" t="n">
        <f aca="false">(BC87+BC44+SUM(BC61:BC68)+BC45+SUM(BC71:BC74))-(BC38+BC39+BC40)</f>
        <v>10.125</v>
      </c>
      <c r="BD89" s="386" t="n">
        <f aca="false">(BD87+BD44+SUM(BD61:BD68)+BD45+SUM(BD71:BD74))-(BD38+BD39+BD40)</f>
        <v>10.125</v>
      </c>
      <c r="BE89" s="386" t="n">
        <f aca="false">(BE87+BE44+SUM(BE61:BE68)+BE45+SUM(BE71:BE74))-(BE38+BE39+BE40)</f>
        <v>10.125</v>
      </c>
      <c r="BF89" s="386" t="n">
        <f aca="false">(BF87+BF44+SUM(BF61:BF68)+BF45+SUM(BF71:BF74))-(BF38+BF39+BF40)</f>
        <v>10.625</v>
      </c>
      <c r="BG89" s="386" t="n">
        <f aca="false">(BG87+BG44+SUM(BG61:BG68)+BG45+SUM(BG71:BG74))-(BG38+BG39+BG40)</f>
        <v>10.625</v>
      </c>
      <c r="BH89" s="386" t="n">
        <f aca="false">(BH87+BH44+SUM(BH61:BH68)+BH45+SUM(BH71:BH74))-(BH38+BH39+BH40)</f>
        <v>10.625</v>
      </c>
      <c r="BI89" s="386" t="n">
        <f aca="false">(BI87+BI44+SUM(BI61:BI68)+BI45+SUM(BI71:BI74))-(BI38+BI39+BI40)</f>
        <v>10.625</v>
      </c>
      <c r="BJ89" s="386" t="n">
        <f aca="false">(BJ87+BJ44+SUM(BJ61:BJ68)+BJ45+SUM(BJ71:BJ74))-(BJ38+BJ39+BJ40)</f>
        <v>12</v>
      </c>
      <c r="BK89" s="386" t="n">
        <f aca="false">(BK87+BK44+SUM(BK61:BK68)+BK45+SUM(BK71:BK74))-(BK38+BK39+BK40)</f>
        <v>12</v>
      </c>
      <c r="BL89" s="386" t="n">
        <f aca="false">(BL87+BL44+SUM(BL61:BL68)+BL45+SUM(BL71:BL74))-(BL38+BL39+BL40)</f>
        <v>12</v>
      </c>
      <c r="BM89" s="386" t="n">
        <f aca="false">(BM87+BM44+SUM(BM61:BM68)+BM45+SUM(BM71:BM74))-(BM38+BM39+BM40)</f>
        <v>12</v>
      </c>
      <c r="BN89" s="386" t="n">
        <f aca="false">(BN87+BN44+SUM(BN61:BN68)+BN45+SUM(BN71:BN74))-(BN38+BN39+BN40)</f>
        <v>12</v>
      </c>
      <c r="BO89" s="386" t="n">
        <f aca="false">(BO87+BO44+SUM(BO61:BO68)+BO45+SUM(BO71:BO74))-(BO38+BO39+BO40)</f>
        <v>12</v>
      </c>
      <c r="BP89" s="386" t="n">
        <f aca="false">(BP87+BP44+SUM(BP61:BP68)+BP45+SUM(BP71:BP74))-(BP38+BP39+BP40)</f>
        <v>12</v>
      </c>
      <c r="BQ89" s="386" t="n">
        <f aca="false">(BQ87+BQ44+SUM(BQ61:BQ68)+BQ45+SUM(BQ71:BQ74))-(BQ38+BQ39+BQ40)</f>
        <v>12</v>
      </c>
      <c r="BR89" s="386" t="n">
        <f aca="false">(BR87+BR44+SUM(BR61:BR68)+BR45+SUM(BR71:BR74))-(BR38+BR39+BR40)</f>
        <v>12</v>
      </c>
      <c r="BS89" s="386" t="n">
        <f aca="false">(BS87+BS44+SUM(BS61:BS68)+BS45+SUM(BS71:BS74))-(BS38+BS39+BS40)</f>
        <v>12</v>
      </c>
      <c r="BT89" s="386" t="n">
        <f aca="false">(BT87+BT44+SUM(BT61:BT68)+BT45+SUM(BT71:BT74))-(BT38+BT39+BT40)</f>
        <v>12</v>
      </c>
      <c r="BU89" s="386" t="n">
        <f aca="false">(BU87+BU44+SUM(BU61:BU68)+BU45+SUM(BU71:BU74))-(BU38+BU39+BU40)</f>
        <v>12</v>
      </c>
      <c r="BV89" s="386" t="n">
        <f aca="false">(BV87+BV44+SUM(BV61:BV68)+BV45+SUM(BV71:BV74))-(BV38+BV39+BV40)</f>
        <v>12</v>
      </c>
      <c r="BW89" s="386" t="n">
        <f aca="false">(BW87+BW44+SUM(BW61:BW68)+BW45+SUM(BW71:BW74))-(BW38+BW39+BW40)</f>
        <v>12</v>
      </c>
      <c r="BX89" s="386" t="n">
        <f aca="false">(BX87+BX44+SUM(BX61:BX68)+BX45+SUM(BX71:BX74))-(BX38+BX39+BX40)</f>
        <v>12</v>
      </c>
      <c r="BY89" s="386" t="n">
        <f aca="false">(BY87+BY44+SUM(BY61:BY68)+BY45+SUM(BY71:BY74))-(BY38+BY39+BY40)</f>
        <v>12</v>
      </c>
      <c r="BZ89" s="386" t="n">
        <f aca="false">(BZ87+BZ44+SUM(BZ61:BZ68)+BZ45+SUM(BZ71:BZ74))-(BZ38+BZ39+BZ40)</f>
        <v>12</v>
      </c>
      <c r="CA89" s="386" t="n">
        <f aca="false">(CA87+CA44+SUM(CA61:CA68)+CA45+SUM(CA71:CA74))-(CA38+CA39+CA40)</f>
        <v>12</v>
      </c>
      <c r="CB89" s="386" t="n">
        <f aca="false">(CB87+CB44+SUM(CB61:CB68)+CB45+SUM(CB71:CB74))-(CB38+CB39+CB40)</f>
        <v>12</v>
      </c>
      <c r="CC89" s="386" t="n">
        <f aca="false">(CC87+CC44+SUM(CC61:CC68)+CC45+SUM(CC71:CC74))-(CC38+CC39+CC40)</f>
        <v>12</v>
      </c>
      <c r="CD89" s="386" t="n">
        <f aca="false">(CD87+CD44+SUM(CD61:CD68)+CD45+SUM(CD71:CD74))-(CD38+CD39+CD40)</f>
        <v>12</v>
      </c>
      <c r="CE89" s="386" t="n">
        <f aca="false">(CE87+CE44+SUM(CE61:CE68)+CE45+SUM(CE71:CE74))-(CE38+CE39+CE40)</f>
        <v>12</v>
      </c>
      <c r="CF89" s="386" t="n">
        <f aca="false">(CF87+CF44+SUM(CF61:CF68)+CF45+SUM(CF71:CF74))-(CF38+CF39+CF40)</f>
        <v>12</v>
      </c>
      <c r="CG89" s="386" t="n">
        <f aca="false">(CG87+CG44+SUM(CG61:CG68)+CG45+SUM(CG71:CG74))-(CG38+CG39+CG40)</f>
        <v>12</v>
      </c>
      <c r="CH89" s="386" t="n">
        <f aca="false">(CH87+CH44+SUM(CH61:CH68)+CH45+SUM(CH71:CH74))-(CH38+CH39+CH40)</f>
        <v>12</v>
      </c>
      <c r="CI89" s="386" t="n">
        <f aca="false">(CI87+CI44+SUM(CI61:CI68)+CI45+SUM(CI71:CI74))-(CI38+CI39+CI40)</f>
        <v>12</v>
      </c>
      <c r="CJ89" s="386" t="n">
        <f aca="false">(CJ87+CJ44+SUM(CJ61:CJ68)+CJ45+SUM(CJ71:CJ74))-(CJ38+CJ39+CJ40)</f>
        <v>12</v>
      </c>
      <c r="CK89" s="386" t="n">
        <f aca="false">(CK87+CK44+SUM(CK61:CK68)+CK45+SUM(CK71:CK74))-(CK38+CK39+CK40)</f>
        <v>12</v>
      </c>
      <c r="CL89" s="386" t="n">
        <f aca="false">(CL87+CL44+SUM(CL61:CL68)+CL45+SUM(CL71:CL74))-(CL38+CL39+CL40)</f>
        <v>12</v>
      </c>
      <c r="CM89" s="386" t="n">
        <f aca="false">(CM87+CM44+SUM(CM61:CM68)+CM45+SUM(CM71:CM74))-(CM38+CM39+CM40)</f>
        <v>12</v>
      </c>
      <c r="CN89" s="386" t="n">
        <f aca="false">(CN87+CN44+SUM(CN61:CN68)+CN45+SUM(CN71:CN74))-(CN38+CN39+CN40)</f>
        <v>12</v>
      </c>
      <c r="CO89" s="386" t="n">
        <f aca="false">(CO87+CO44+SUM(CO61:CO68)+CO45+SUM(CO71:CO74))-(CO38+CO39+CO40)</f>
        <v>12</v>
      </c>
      <c r="CP89" s="386" t="n">
        <f aca="false">(CP87+CP44+SUM(CP61:CP68)+CP45+SUM(CP71:CP74))-(CP38+CP39+CP40)</f>
        <v>12</v>
      </c>
      <c r="CQ89" s="386" t="n">
        <f aca="false">(CQ87+CQ44+SUM(CQ61:CQ68)+CQ45+SUM(CQ71:CQ74))-(CQ38+CQ39+CQ40)</f>
        <v>12</v>
      </c>
      <c r="CR89" s="386" t="n">
        <f aca="false">(CR87+CR44+SUM(CR61:CR68)+CR45+SUM(CR71:CR74))-(CR38+CR39+CR40)</f>
        <v>12</v>
      </c>
      <c r="CS89" s="386" t="n">
        <f aca="false">(CS87+CS44+SUM(CS61:CS68)+CS45+SUM(CS71:CS74))-(CS38+CS39+CS40)</f>
        <v>12</v>
      </c>
      <c r="CT89" s="386" t="n">
        <f aca="false">(CT87+CT44+SUM(CT61:CT68)+CT45+SUM(CT71:CT74))-(CT38+CT39+CT40)</f>
        <v>12</v>
      </c>
      <c r="CU89" s="386" t="n">
        <f aca="false">(CU87+CU44+SUM(CU61:CU68)+CU45+SUM(CU71:CU74))-(CU38+CU39+CU40)</f>
        <v>12</v>
      </c>
      <c r="CV89" s="386" t="n">
        <f aca="false">(CV87+CV44+SUM(CV61:CV68)+CV45+SUM(CV71:CV74))-(CV38+CV39+CV40)</f>
        <v>12</v>
      </c>
      <c r="CW89" s="386" t="n">
        <f aca="false">(CW87+CW44+SUM(CW61:CW68)+CW45+SUM(CW71:CW74))-(CW38+CW39+CW40)</f>
        <v>12</v>
      </c>
      <c r="CX89" s="386" t="n">
        <f aca="false">(CX87+CX44+SUM(CX61:CX68)+CX45+SUM(CX71:CX74))-(CX38+CX39+CX40)</f>
        <v>12</v>
      </c>
      <c r="CY89" s="386" t="n">
        <f aca="false">(CY87+CY44+SUM(CY61:CY68)+CY45+SUM(CY71:CY74))-(CY38+CY39+CY40)</f>
        <v>12</v>
      </c>
      <c r="CZ89" s="386" t="n">
        <f aca="false">(CZ87+CZ44+SUM(CZ61:CZ68)+CZ45+SUM(CZ71:CZ74))-(CZ38+CZ39+CZ40)</f>
        <v>12</v>
      </c>
      <c r="DA89" s="386" t="n">
        <f aca="false">(DA87+DA44+SUM(DA61:DA68)+DA45+SUM(DA71:DA74))-(DA38+DA39+DA40)</f>
        <v>12</v>
      </c>
      <c r="DB89" s="386" t="n">
        <f aca="false">(DB87+DB44+SUM(DB61:DB68)+DB45+SUM(DB71:DB74))-(DB38+DB39+DB40)</f>
        <v>12</v>
      </c>
      <c r="DC89" s="386" t="n">
        <f aca="false">(DC87+DC44+SUM(DC61:DC68)+DC45+SUM(DC71:DC74))-(DC38+DC39+DC40)</f>
        <v>12</v>
      </c>
      <c r="DD89" s="386" t="n">
        <f aca="false">(DD87+DD44+SUM(DD61:DD68)+DD45+SUM(DD71:DD74))-(DD38+DD39+DD40)</f>
        <v>12</v>
      </c>
      <c r="DE89" s="386" t="n">
        <f aca="false">(DE87+DE44+SUM(DE61:DE68)+DE45+SUM(DE71:DE74))-(DE38+DE39+DE40)</f>
        <v>12</v>
      </c>
    </row>
    <row r="91" customFormat="false" ht="13.5" hidden="false" customHeight="true" outlineLevel="0" collapsed="false">
      <c r="A91" s="211" t="s">
        <v>1420</v>
      </c>
      <c r="B91" s="212"/>
    </row>
    <row r="92" customFormat="false" ht="13.5" hidden="false" customHeight="true" outlineLevel="0" collapsed="false">
      <c r="A92" s="110" t="s">
        <v>1421</v>
      </c>
      <c r="B92" s="383" t="n">
        <v>1</v>
      </c>
    </row>
    <row r="93" customFormat="false" ht="13.5" hidden="false" customHeight="true" outlineLevel="0" collapsed="false">
      <c r="A93" s="110" t="s">
        <v>1422</v>
      </c>
      <c r="B93" s="383" t="n">
        <v>0.5</v>
      </c>
    </row>
    <row r="94" customFormat="false" ht="13.5" hidden="false" customHeight="true" outlineLevel="0" collapsed="false">
      <c r="A94" s="110" t="s">
        <v>1423</v>
      </c>
      <c r="B94" s="383" t="n">
        <v>0.33</v>
      </c>
    </row>
    <row r="96" customFormat="false" ht="13.5" hidden="false" customHeight="true" outlineLevel="0" collapsed="false">
      <c r="A96" s="1" t="s">
        <v>1424</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6.49</v>
      </c>
      <c r="R96" s="1" t="n">
        <f aca="false">SUMPRODUCT((Projects!$G$2:$G$45="Yes")*(14&gt;=Projects!$C$2:$C$45-$B$15)*(14&lt;=Projects!$W$2:$W$45+$B$17)*((Projects!$B$2:$B$45&gt;=$B$12)*$B$92+(Projects!$B$2:$B$45&lt;$B$12)*(Projects!$B$2:$B$45&gt;=$B$13)*$B$93+(Projects!$B$2:$B$45&lt;$B$13)*$B$94))</f>
        <v>6.99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7.99</v>
      </c>
      <c r="U96" s="1" t="n">
        <f aca="false">SUMPRODUCT((Projects!$G$2:$G$45="Yes")*(17&gt;=Projects!$C$2:$C$45-$B$15)*(17&lt;=Projects!$W$2:$W$45+$B$17)*((Projects!$B$2:$B$45&gt;=$B$12)*$B$92+(Projects!$B$2:$B$45&lt;$B$12)*(Projects!$B$2:$B$45&gt;=$B$13)*$B$93+(Projects!$B$2:$B$45&lt;$B$13)*$B$94))</f>
        <v>7.66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7.16</v>
      </c>
      <c r="X96" s="1" t="n">
        <f aca="false">SUMPRODUCT((Projects!$G$2:$G$45="Yes")*(20&gt;=Projects!$C$2:$C$45-$B$15)*(20&lt;=Projects!$W$2:$W$45+$B$17)*((Projects!$B$2:$B$45&gt;=$B$12)*$B$92+(Projects!$B$2:$B$45&lt;$B$12)*(Projects!$B$2:$B$45&gt;=$B$13)*$B$93+(Projects!$B$2:$B$45&lt;$B$13)*$B$94))</f>
        <v>7.66</v>
      </c>
      <c r="Y96" s="1" t="n">
        <f aca="false">SUMPRODUCT((Projects!$G$2:$G$45="Yes")*(21&gt;=Projects!$C$2:$C$45-$B$15)*(21&lt;=Projects!$W$2:$W$45+$B$17)*((Projects!$B$2:$B$45&gt;=$B$12)*$B$92+(Projects!$B$2:$B$45&lt;$B$12)*(Projects!$B$2:$B$45&gt;=$B$13)*$B$93+(Projects!$B$2:$B$45&lt;$B$13)*$B$94))</f>
        <v>7.16</v>
      </c>
      <c r="Z96" s="1" t="n">
        <f aca="false">SUMPRODUCT((Projects!$G$2:$G$45="Yes")*(22&gt;=Projects!$C$2:$C$45-$B$15)*(22&lt;=Projects!$W$2:$W$45+$B$17)*((Projects!$B$2:$B$45&gt;=$B$12)*$B$92+(Projects!$B$2:$B$45&lt;$B$12)*(Projects!$B$2:$B$45&gt;=$B$13)*$B$93+(Projects!$B$2:$B$45&lt;$B$13)*$B$94))</f>
        <v>7.16</v>
      </c>
      <c r="AA96" s="1" t="n">
        <f aca="false">SUMPRODUCT((Projects!$G$2:$G$45="Yes")*(23&gt;=Projects!$C$2:$C$45-$B$15)*(23&lt;=Projects!$W$2:$W$45+$B$17)*((Projects!$B$2:$B$45&gt;=$B$12)*$B$92+(Projects!$B$2:$B$45&lt;$B$12)*(Projects!$B$2:$B$45&gt;=$B$13)*$B$93+(Projects!$B$2:$B$45&lt;$B$13)*$B$94))</f>
        <v>7.16</v>
      </c>
      <c r="AB96" s="1" t="n">
        <f aca="false">SUMPRODUCT((Projects!$G$2:$G$45="Yes")*(24&gt;=Projects!$C$2:$C$45-$B$15)*(24&lt;=Projects!$W$2:$W$45+$B$17)*((Projects!$B$2:$B$45&gt;=$B$12)*$B$92+(Projects!$B$2:$B$45&lt;$B$12)*(Projects!$B$2:$B$45&gt;=$B$13)*$B$93+(Projects!$B$2:$B$45&lt;$B$13)*$B$94))</f>
        <v>7.16</v>
      </c>
      <c r="AC96" s="1" t="n">
        <f aca="false">SUMPRODUCT((Projects!$G$2:$G$45="Yes")*(25&gt;=Projects!$C$2:$C$45-$B$15)*(25&lt;=Projects!$W$2:$W$45+$B$17)*((Projects!$B$2:$B$45&gt;=$B$12)*$B$92+(Projects!$B$2:$B$45&lt;$B$12)*(Projects!$B$2:$B$45&gt;=$B$13)*$B$93+(Projects!$B$2:$B$45&lt;$B$13)*$B$94))</f>
        <v>6.66</v>
      </c>
      <c r="AD96" s="1" t="n">
        <f aca="false">SUMPRODUCT((Projects!$G$2:$G$45="Yes")*(26&gt;=Projects!$C$2:$C$45-$B$15)*(26&lt;=Projects!$W$2:$W$45+$B$17)*((Projects!$B$2:$B$45&gt;=$B$12)*$B$92+(Projects!$B$2:$B$45&lt;$B$12)*(Projects!$B$2:$B$45&gt;=$B$13)*$B$93+(Projects!$B$2:$B$45&lt;$B$13)*$B$94))</f>
        <v>6.16</v>
      </c>
      <c r="AE96" s="1" t="n">
        <f aca="false">SUMPRODUCT((Projects!$G$2:$G$45="Yes")*(27&gt;=Projects!$C$2:$C$45-$B$15)*(27&lt;=Projects!$W$2:$W$45+$B$17)*((Projects!$B$2:$B$45&gt;=$B$12)*$B$92+(Projects!$B$2:$B$45&lt;$B$12)*(Projects!$B$2:$B$45&gt;=$B$13)*$B$93+(Projects!$B$2:$B$45&lt;$B$13)*$B$94))</f>
        <v>7.16</v>
      </c>
      <c r="AF96" s="1" t="n">
        <f aca="false">SUMPRODUCT((Projects!$G$2:$G$45="Yes")*(28&gt;=Projects!$C$2:$C$45-$B$15)*(28&lt;=Projects!$W$2:$W$45+$B$17)*((Projects!$B$2:$B$45&gt;=$B$12)*$B$92+(Projects!$B$2:$B$45&lt;$B$12)*(Projects!$B$2:$B$45&gt;=$B$13)*$B$93+(Projects!$B$2:$B$45&lt;$B$13)*$B$94))</f>
        <v>7.16</v>
      </c>
      <c r="AG96" s="1" t="n">
        <f aca="false">SUMPRODUCT((Projects!$G$2:$G$45="Yes")*(29&gt;=Projects!$C$2:$C$45-$B$15)*(29&lt;=Projects!$W$2:$W$45+$B$17)*((Projects!$B$2:$B$45&gt;=$B$12)*$B$92+(Projects!$B$2:$B$45&lt;$B$12)*(Projects!$B$2:$B$45&gt;=$B$13)*$B$93+(Projects!$B$2:$B$45&lt;$B$13)*$B$94))</f>
        <v>7.16</v>
      </c>
      <c r="AH96" s="1" t="n">
        <f aca="false">SUMPRODUCT((Projects!$G$2:$G$45="Yes")*(30&gt;=Projects!$C$2:$C$45-$B$15)*(30&lt;=Projects!$W$2:$W$45+$B$17)*((Projects!$B$2:$B$45&gt;=$B$12)*$B$92+(Projects!$B$2:$B$45&lt;$B$12)*(Projects!$B$2:$B$45&gt;=$B$13)*$B$93+(Projects!$B$2:$B$45&lt;$B$13)*$B$94))</f>
        <v>6.33</v>
      </c>
      <c r="AI96" s="1" t="n">
        <f aca="false">SUMPRODUCT((Projects!$G$2:$G$45="Yes")*(31&gt;=Projects!$C$2:$C$45-$B$15)*(31&lt;=Projects!$W$2:$W$45+$B$17)*((Projects!$B$2:$B$45&gt;=$B$12)*$B$92+(Projects!$B$2:$B$45&lt;$B$12)*(Projects!$B$2:$B$45&gt;=$B$13)*$B$93+(Projects!$B$2:$B$45&lt;$B$13)*$B$94))</f>
        <v>6</v>
      </c>
      <c r="AJ96" s="1" t="n">
        <f aca="false">SUMPRODUCT((Projects!$G$2:$G$45="Yes")*(32&gt;=Projects!$C$2:$C$45-$B$15)*(32&lt;=Projects!$W$2:$W$45+$B$17)*((Projects!$B$2:$B$45&gt;=$B$12)*$B$92+(Projects!$B$2:$B$45&lt;$B$12)*(Projects!$B$2:$B$45&gt;=$B$13)*$B$93+(Projects!$B$2:$B$45&lt;$B$13)*$B$94))</f>
        <v>6</v>
      </c>
      <c r="AK96" s="1" t="n">
        <f aca="false">SUMPRODUCT((Projects!$G$2:$G$45="Yes")*(33&gt;=Projects!$C$2:$C$45-$B$15)*(33&lt;=Projects!$W$2:$W$45+$B$17)*((Projects!$B$2:$B$45&gt;=$B$12)*$B$92+(Projects!$B$2:$B$45&lt;$B$12)*(Projects!$B$2:$B$45&gt;=$B$13)*$B$93+(Projects!$B$2:$B$45&lt;$B$13)*$B$94))</f>
        <v>6</v>
      </c>
      <c r="AL96" s="1" t="n">
        <f aca="false">SUMPRODUCT((Projects!$G$2:$G$45="Yes")*(34&gt;=Projects!$C$2:$C$45-$B$15)*(34&lt;=Projects!$W$2:$W$45+$B$17)*((Projects!$B$2:$B$45&gt;=$B$12)*$B$92+(Projects!$B$2:$B$45&lt;$B$12)*(Projects!$B$2:$B$45&gt;=$B$13)*$B$93+(Projects!$B$2:$B$45&lt;$B$13)*$B$94))</f>
        <v>5</v>
      </c>
      <c r="AM96" s="1" t="n">
        <f aca="false">SUMPRODUCT((Projects!$G$2:$G$45="Yes")*(35&gt;=Projects!$C$2:$C$45-$B$15)*(35&lt;=Projects!$W$2:$W$45+$B$17)*((Projects!$B$2:$B$45&gt;=$B$12)*$B$92+(Projects!$B$2:$B$45&lt;$B$12)*(Projects!$B$2:$B$45&gt;=$B$13)*$B$93+(Projects!$B$2:$B$45&lt;$B$13)*$B$94))</f>
        <v>4.5</v>
      </c>
      <c r="AN96" s="1" t="n">
        <f aca="false">SUMPRODUCT((Projects!$G$2:$G$45="Yes")*(36&gt;=Projects!$C$2:$C$45-$B$15)*(36&lt;=Projects!$W$2:$W$45+$B$17)*((Projects!$B$2:$B$45&gt;=$B$12)*$B$92+(Projects!$B$2:$B$45&lt;$B$12)*(Projects!$B$2:$B$45&gt;=$B$13)*$B$93+(Projects!$B$2:$B$45&lt;$B$13)*$B$94))</f>
        <v>4</v>
      </c>
      <c r="AO96" s="1" t="n">
        <f aca="false">SUMPRODUCT((Projects!$G$2:$G$45="Yes")*(37&gt;=Projects!$C$2:$C$45-$B$15)*(37&lt;=Projects!$W$2:$W$45+$B$17)*((Projects!$B$2:$B$45&gt;=$B$12)*$B$92+(Projects!$B$2:$B$45&lt;$B$12)*(Projects!$B$2:$B$45&gt;=$B$13)*$B$93+(Projects!$B$2:$B$45&lt;$B$13)*$B$94))</f>
        <v>4</v>
      </c>
      <c r="AP96" s="1" t="n">
        <f aca="false">SUMPRODUCT((Projects!$G$2:$G$45="Yes")*(38&gt;=Projects!$C$2:$C$45-$B$15)*(38&lt;=Projects!$W$2:$W$45+$B$17)*((Projects!$B$2:$B$45&gt;=$B$12)*$B$92+(Projects!$B$2:$B$45&lt;$B$12)*(Projects!$B$2:$B$45&gt;=$B$13)*$B$93+(Projects!$B$2:$B$45&lt;$B$13)*$B$94))</f>
        <v>3</v>
      </c>
      <c r="AQ96" s="1" t="n">
        <f aca="false">SUMPRODUCT((Projects!$G$2:$G$45="Yes")*(39&gt;=Projects!$C$2:$C$45-$B$15)*(39&lt;=Projects!$W$2:$W$45+$B$17)*((Projects!$B$2:$B$45&gt;=$B$12)*$B$92+(Projects!$B$2:$B$45&lt;$B$12)*(Projects!$B$2:$B$45&gt;=$B$13)*$B$93+(Projects!$B$2:$B$45&lt;$B$13)*$B$94))</f>
        <v>3</v>
      </c>
      <c r="AR96" s="1" t="n">
        <f aca="false">SUMPRODUCT((Projects!$G$2:$G$45="Yes")*(40&gt;=Projects!$C$2:$C$45-$B$15)*(40&lt;=Projects!$W$2:$W$45+$B$17)*((Projects!$B$2:$B$45&gt;=$B$12)*$B$92+(Projects!$B$2:$B$45&lt;$B$12)*(Projects!$B$2:$B$45&gt;=$B$13)*$B$93+(Projects!$B$2:$B$45&lt;$B$13)*$B$94))</f>
        <v>3</v>
      </c>
      <c r="AS96" s="1" t="n">
        <f aca="false">SUMPRODUCT((Projects!$G$2:$G$45="Yes")*(41&gt;=Projects!$C$2:$C$45-$B$15)*(41&lt;=Projects!$W$2:$W$45+$B$17)*((Projects!$B$2:$B$45&gt;=$B$12)*$B$92+(Projects!$B$2:$B$45&lt;$B$12)*(Projects!$B$2:$B$45&gt;=$B$13)*$B$93+(Projects!$B$2:$B$45&lt;$B$13)*$B$94))</f>
        <v>3</v>
      </c>
      <c r="AT96" s="1" t="n">
        <f aca="false">SUMPRODUCT((Projects!$G$2:$G$45="Yes")*(42&gt;=Projects!$C$2:$C$45-$B$15)*(42&lt;=Projects!$W$2:$W$45+$B$17)*((Projects!$B$2:$B$45&gt;=$B$12)*$B$92+(Projects!$B$2:$B$45&lt;$B$12)*(Projects!$B$2:$B$45&gt;=$B$13)*$B$93+(Projects!$B$2:$B$45&lt;$B$13)*$B$94))</f>
        <v>3</v>
      </c>
      <c r="AU96" s="1" t="n">
        <f aca="false">SUMPRODUCT((Projects!$G$2:$G$45="Yes")*(43&gt;=Projects!$C$2:$C$45-$B$15)*(43&lt;=Projects!$W$2:$W$45+$B$17)*((Projects!$B$2:$B$45&gt;=$B$12)*$B$92+(Projects!$B$2:$B$45&lt;$B$12)*(Projects!$B$2:$B$45&gt;=$B$13)*$B$93+(Projects!$B$2:$B$45&lt;$B$13)*$B$94))</f>
        <v>3</v>
      </c>
      <c r="AV96" s="1" t="n">
        <f aca="false">SUMPRODUCT((Projects!$G$2:$G$45="Yes")*(44&gt;=Projects!$C$2:$C$45-$B$15)*(44&lt;=Projects!$W$2:$W$45+$B$17)*((Projects!$B$2:$B$45&gt;=$B$12)*$B$92+(Projects!$B$2:$B$45&lt;$B$12)*(Projects!$B$2:$B$45&gt;=$B$13)*$B$93+(Projects!$B$2:$B$45&lt;$B$13)*$B$94))</f>
        <v>2</v>
      </c>
      <c r="AW96" s="1" t="n">
        <f aca="false">SUMPRODUCT((Projects!$G$2:$G$45="Yes")*(45&gt;=Projects!$C$2:$C$45-$B$15)*(45&lt;=Projects!$W$2:$W$45+$B$17)*((Projects!$B$2:$B$45&gt;=$B$12)*$B$92+(Projects!$B$2:$B$45&lt;$B$12)*(Projects!$B$2:$B$45&gt;=$B$13)*$B$93+(Projects!$B$2:$B$45&lt;$B$13)*$B$94))</f>
        <v>1</v>
      </c>
      <c r="AX96" s="1" t="n">
        <f aca="false">SUMPRODUCT((Projects!$G$2:$G$45="Yes")*(46&gt;=Projects!$C$2:$C$45-$B$15)*(46&lt;=Projects!$W$2:$W$45+$B$17)*((Projects!$B$2:$B$45&gt;=$B$12)*$B$92+(Projects!$B$2:$B$45&lt;$B$12)*(Projects!$B$2:$B$45&gt;=$B$13)*$B$93+(Projects!$B$2:$B$45&lt;$B$13)*$B$94))</f>
        <v>1</v>
      </c>
      <c r="AY96" s="1" t="n">
        <f aca="false">SUMPRODUCT((Projects!$G$2:$G$45="Yes")*(47&gt;=Projects!$C$2:$C$45-$B$15)*(47&lt;=Projects!$W$2:$W$45+$B$17)*((Projects!$B$2:$B$45&gt;=$B$12)*$B$92+(Projects!$B$2:$B$45&lt;$B$12)*(Projects!$B$2:$B$45&gt;=$B$13)*$B$93+(Projects!$B$2:$B$45&lt;$B$13)*$B$94))</f>
        <v>1</v>
      </c>
      <c r="AZ96" s="1" t="n">
        <f aca="false">SUMPRODUCT((Projects!$G$2:$G$45="Yes")*(48&gt;=Projects!$C$2:$C$45-$B$15)*(48&lt;=Projects!$W$2:$W$45+$B$17)*((Projects!$B$2:$B$45&gt;=$B$12)*$B$92+(Projects!$B$2:$B$45&lt;$B$12)*(Projects!$B$2:$B$45&gt;=$B$13)*$B$93+(Projects!$B$2:$B$45&lt;$B$13)*$B$94))</f>
        <v>1</v>
      </c>
      <c r="BA96" s="1" t="n">
        <f aca="false">SUMPRODUCT((Projects!$G$2:$G$45="Yes")*(49&gt;=Projects!$C$2:$C$45-$B$15)*(49&lt;=Projects!$W$2:$W$45+$B$17)*((Projects!$B$2:$B$45&gt;=$B$12)*$B$92+(Projects!$B$2:$B$45&lt;$B$12)*(Projects!$B$2:$B$45&gt;=$B$13)*$B$93+(Projects!$B$2:$B$45&lt;$B$13)*$B$94))</f>
        <v>1</v>
      </c>
      <c r="BB96" s="1" t="n">
        <f aca="false">SUMPRODUCT((Projects!$G$2:$G$45="Yes")*(50&gt;=Projects!$C$2:$C$45-$B$15)*(50&lt;=Projects!$W$2:$W$45+$B$17)*((Projects!$B$2:$B$45&gt;=$B$12)*$B$92+(Projects!$B$2:$B$45&lt;$B$12)*(Projects!$B$2:$B$45&gt;=$B$13)*$B$93+(Projects!$B$2:$B$45&lt;$B$13)*$B$94))</f>
        <v>1</v>
      </c>
      <c r="BC96" s="1" t="n">
        <f aca="false">SUMPRODUCT((Projects!$G$2:$G$45="Yes")*(51&gt;=Projects!$C$2:$C$45-$B$15)*(51&lt;=Projects!$W$2:$W$45+$B$17)*((Projects!$B$2:$B$45&gt;=$B$12)*$B$92+(Projects!$B$2:$B$45&lt;$B$12)*(Projects!$B$2:$B$45&gt;=$B$13)*$B$93+(Projects!$B$2:$B$45&lt;$B$13)*$B$94))</f>
        <v>1</v>
      </c>
      <c r="BD96" s="1" t="n">
        <f aca="false">SUMPRODUCT((Projects!$G$2:$G$45="Yes")*(52&gt;=Projects!$C$2:$C$45-$B$15)*(52&lt;=Projects!$W$2:$W$45+$B$17)*((Projects!$B$2:$B$45&gt;=$B$12)*$B$92+(Projects!$B$2:$B$45&lt;$B$12)*(Projects!$B$2:$B$45&gt;=$B$13)*$B$93+(Projects!$B$2:$B$45&lt;$B$13)*$B$94))</f>
        <v>1</v>
      </c>
      <c r="BE96" s="1" t="n">
        <f aca="false">SUMPRODUCT((Projects!$G$2:$G$45="Yes")*(53&gt;=Projects!$C$2:$C$45-$B$15)*(53&lt;=Projects!$W$2:$W$45+$B$17)*((Projects!$B$2:$B$45&gt;=$B$12)*$B$92+(Projects!$B$2:$B$45&lt;$B$12)*(Projects!$B$2:$B$45&gt;=$B$13)*$B$93+(Projects!$B$2:$B$45&lt;$B$13)*$B$94))</f>
        <v>1</v>
      </c>
      <c r="BF96" s="1" t="n">
        <f aca="false">SUMPRODUCT((Projects!$G$2:$G$45="Yes")*(54&gt;=Projects!$C$2:$C$45-$B$15)*(54&lt;=Projects!$W$2:$W$45+$B$17)*((Projects!$B$2:$B$45&gt;=$B$12)*$B$92+(Projects!$B$2:$B$45&lt;$B$12)*(Projects!$B$2:$B$45&gt;=$B$13)*$B$93+(Projects!$B$2:$B$45&lt;$B$13)*$B$94))</f>
        <v>1</v>
      </c>
      <c r="BG96" s="1" t="n">
        <f aca="false">SUMPRODUCT((Projects!$G$2:$G$45="Yes")*(55&gt;=Projects!$C$2:$C$45-$B$15)*(55&lt;=Projects!$W$2:$W$45+$B$17)*((Projects!$B$2:$B$45&gt;=$B$12)*$B$92+(Projects!$B$2:$B$45&lt;$B$12)*(Projects!$B$2:$B$45&gt;=$B$13)*$B$93+(Projects!$B$2:$B$45&lt;$B$13)*$B$94))</f>
        <v>1</v>
      </c>
      <c r="BH96" s="1" t="n">
        <f aca="false">SUMPRODUCT((Projects!$G$2:$G$45="Yes")*(56&gt;=Projects!$C$2:$C$45-$B$15)*(56&lt;=Projects!$W$2:$W$45+$B$17)*((Projects!$B$2:$B$45&gt;=$B$12)*$B$92+(Projects!$B$2:$B$45&lt;$B$12)*(Projects!$B$2:$B$45&gt;=$B$13)*$B$93+(Projects!$B$2:$B$45&lt;$B$13)*$B$94))</f>
        <v>1</v>
      </c>
      <c r="BI96" s="1" t="n">
        <f aca="false">SUMPRODUCT((Projects!$G$2:$G$45="Yes")*(57&gt;=Projects!$C$2:$C$45-$B$15)*(57&lt;=Projects!$W$2:$W$45+$B$17)*((Projects!$B$2:$B$45&gt;=$B$12)*$B$92+(Projects!$B$2:$B$45&lt;$B$12)*(Projects!$B$2:$B$45&gt;=$B$13)*$B$93+(Projects!$B$2:$B$45&lt;$B$13)*$B$94))</f>
        <v>1</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1425</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1426</v>
      </c>
      <c r="B99" s="213" t="n">
        <f aca="false">$B$27</f>
        <v>125000</v>
      </c>
      <c r="E99" s="387" t="n">
        <f aca="false">IF(1&lt;5,0,IF(MAX(E96)&gt;E97+0+$B$18,1,0))</f>
        <v>0</v>
      </c>
      <c r="F99" s="387" t="n">
        <f aca="false">IF(2&lt;5,0,IF(MAX(E96:F96)&gt;F97+0+$B$18,1,0))</f>
        <v>0</v>
      </c>
      <c r="G99" s="387" t="n">
        <f aca="false">IF(3&lt;5,0,IF(MAX(E96:G96)&gt;G97+0+$B$18,1,0))</f>
        <v>0</v>
      </c>
      <c r="H99" s="387" t="n">
        <f aca="false">IF(4&lt;5,0,IF(MAX(E96:H96)&gt;H97+0+$B$18,1,0))</f>
        <v>0</v>
      </c>
      <c r="I99" s="387" t="n">
        <f aca="false">IF(5&lt;5,0,IF(MAX(E96:I96)&gt;I97+0+$B$18,1,0))</f>
        <v>0</v>
      </c>
      <c r="J99" s="387" t="n">
        <f aca="false">IF(6&lt;5,0,IF(MAX(E96:J96)&gt;J97+0+$B$18,1,0))</f>
        <v>0</v>
      </c>
      <c r="K99" s="387" t="n">
        <f aca="false">IF(7&lt;5,0,IF(MAX(F96:K96)&gt;K97+0+$B$18,1,0))</f>
        <v>0</v>
      </c>
      <c r="L99" s="387" t="n">
        <f aca="false">IF(8&lt;5,0,IF(MAX(G96:L96)&gt;L97+0+$B$18,1,0))</f>
        <v>0</v>
      </c>
      <c r="M99" s="387" t="n">
        <f aca="false">IF(9&lt;5,0,IF(MAX(H96:M96)&gt;M97+0+$B$18,1,0))</f>
        <v>1</v>
      </c>
      <c r="N99" s="387" t="n">
        <f aca="false">IF(10&lt;5,0,IF(MAX(I96:N96)&gt;N97+0+$B$18,1,0))</f>
        <v>1</v>
      </c>
      <c r="O99" s="387" t="n">
        <f aca="false">IF(11&lt;5,0,IF(MAX(J96:O96)&gt;O97+0+$B$18,1,0))</f>
        <v>1</v>
      </c>
      <c r="P99" s="387" t="n">
        <f aca="false">IF(12&lt;5,0,IF(MAX(K96:P96)&gt;P97+0+$B$18,1,0))</f>
        <v>1</v>
      </c>
      <c r="Q99" s="387" t="n">
        <f aca="false">IF(13&lt;5,0,IF(MAX(L96:Q96)&gt;Q97+0+$B$18,1,0))</f>
        <v>1</v>
      </c>
      <c r="R99" s="387" t="n">
        <f aca="false">IF(14&lt;5,0,IF(MAX(M96:R96)&gt;R97+0+$B$18,1,0))</f>
        <v>1</v>
      </c>
      <c r="S99" s="387" t="n">
        <f aca="false">IF(15&lt;5,0,IF(MAX(N96:S96)&gt;S97+0+$B$18,1,0))</f>
        <v>1</v>
      </c>
      <c r="T99" s="387" t="n">
        <f aca="false">IF(16&lt;5,0,IF(MAX(O96:T96)&gt;T97+0+$B$18,1,0))</f>
        <v>1</v>
      </c>
      <c r="U99" s="387" t="n">
        <f aca="false">IF(17&lt;5,0,IF(MAX(P96:U96)&gt;U97+0+$B$18,1,0))</f>
        <v>1</v>
      </c>
      <c r="V99" s="387" t="n">
        <f aca="false">IF(18&lt;5,0,IF(MAX(Q96:V96)&gt;V97+0+$B$18,1,0))</f>
        <v>1</v>
      </c>
      <c r="W99" s="387" t="n">
        <f aca="false">IF(19&lt;5,0,IF(MAX(R96:W96)&gt;W97+0+$B$18,1,0))</f>
        <v>1</v>
      </c>
      <c r="X99" s="387" t="n">
        <f aca="false">IF(20&lt;5,0,IF(MAX(S96:X96)&gt;X97+0+$B$18,1,0))</f>
        <v>1</v>
      </c>
      <c r="Y99" s="387" t="n">
        <f aca="false">IF(21&lt;5,0,IF(MAX(T96:Y96)&gt;Y97+0+$B$18,1,0))</f>
        <v>1</v>
      </c>
      <c r="Z99" s="387" t="n">
        <f aca="false">IF(22&lt;5,0,IF(MAX(U96:Z96)&gt;Z97+0+$B$18,1,0))</f>
        <v>1</v>
      </c>
      <c r="AA99" s="387" t="n">
        <f aca="false">IF(23&lt;5,0,IF(MAX(V96:AA96)&gt;AA97+0+$B$18,1,0))</f>
        <v>1</v>
      </c>
      <c r="AB99" s="387" t="n">
        <f aca="false">IF(24&lt;5,0,IF(MAX(W96:AB96)&gt;AB97+0+$B$18,1,0))</f>
        <v>1</v>
      </c>
      <c r="AC99" s="387" t="n">
        <f aca="false">IF(25&lt;5,0,IF(MAX(X96:AC96)&gt;AC97+0+$B$18,1,0))</f>
        <v>1</v>
      </c>
      <c r="AD99" s="387" t="n">
        <f aca="false">IF(26&lt;5,0,IF(MAX(Y96:AD96)&gt;AD97+0+$B$18,1,0))</f>
        <v>1</v>
      </c>
      <c r="AE99" s="387" t="n">
        <f aca="false">IF(27&lt;5,0,IF(MAX(Z96:AE96)&gt;AE97+0+$B$18,1,0))</f>
        <v>1</v>
      </c>
      <c r="AF99" s="387" t="n">
        <f aca="false">IF(28&lt;5,0,IF(MAX(AA96:AF96)&gt;AF97+0+$B$18,1,0))</f>
        <v>1</v>
      </c>
      <c r="AG99" s="387" t="n">
        <f aca="false">IF(29&lt;5,0,IF(MAX(AB96:AG96)&gt;AG97+0+$B$18,1,0))</f>
        <v>1</v>
      </c>
      <c r="AH99" s="387" t="n">
        <f aca="false">IF(30&lt;5,0,IF(MAX(AC96:AH96)&gt;AH97+0+$B$18,1,0))</f>
        <v>1</v>
      </c>
      <c r="AI99" s="387" t="n">
        <f aca="false">IF(31&lt;5,0,IF(MAX(AD96:AI96)&gt;AI97+0+$B$18,1,0))</f>
        <v>1</v>
      </c>
      <c r="AJ99" s="387" t="n">
        <f aca="false">IF(32&lt;5,0,IF(MAX(AE96:AJ96)&gt;AJ97+0+$B$18,1,0))</f>
        <v>1</v>
      </c>
      <c r="AK99" s="387" t="n">
        <f aca="false">IF(33&lt;5,0,IF(MAX(AF96:AK96)&gt;AK97+0+$B$18,1,0))</f>
        <v>1</v>
      </c>
      <c r="AL99" s="387" t="n">
        <f aca="false">IF(34&lt;5,0,IF(MAX(AG96:AL96)&gt;AL97+0+$B$18,1,0))</f>
        <v>1</v>
      </c>
      <c r="AM99" s="387" t="n">
        <f aca="false">IF(35&lt;5,0,IF(MAX(AH96:AM96)&gt;AM97+0+$B$18,1,0))</f>
        <v>1</v>
      </c>
      <c r="AN99" s="387" t="n">
        <f aca="false">IF(36&lt;5,0,IF(MAX(AI96:AN96)&gt;AN97+0+$B$18,1,0))</f>
        <v>1</v>
      </c>
      <c r="AO99" s="387" t="n">
        <f aca="false">IF(37&lt;5,0,IF(MAX(AJ96:AO96)&gt;AO97+0+$B$18,1,0))</f>
        <v>1</v>
      </c>
      <c r="AP99" s="387" t="n">
        <f aca="false">IF(38&lt;5,0,IF(MAX(AK96:AP96)&gt;AP97+0+$B$18,1,0))</f>
        <v>1</v>
      </c>
      <c r="AQ99" s="387" t="n">
        <f aca="false">IF(39&lt;5,0,IF(MAX(AL96:AQ96)&gt;AQ97+0+$B$18,1,0))</f>
        <v>1</v>
      </c>
      <c r="AR99" s="387" t="n">
        <f aca="false">IF(40&lt;5,0,IF(MAX(AM96:AR96)&gt;AR97+0+$B$18,1,0))</f>
        <v>1</v>
      </c>
      <c r="AS99" s="387" t="n">
        <f aca="false">IF(41&lt;5,0,IF(MAX(AN96:AS96)&gt;AS97+0+$B$18,1,0))</f>
        <v>0</v>
      </c>
      <c r="AT99" s="387" t="n">
        <f aca="false">IF(42&lt;5,0,IF(MAX(AO96:AT96)&gt;AT97+0+$B$18,1,0))</f>
        <v>0</v>
      </c>
      <c r="AU99" s="387" t="n">
        <f aca="false">IF(43&lt;5,0,IF(MAX(AP96:AU96)&gt;AU97+0+$B$18,1,0))</f>
        <v>0</v>
      </c>
      <c r="AV99" s="387" t="n">
        <f aca="false">IF(44&lt;5,0,IF(MAX(AQ96:AV96)&gt;AV97+0+$B$18,1,0))</f>
        <v>0</v>
      </c>
      <c r="AW99" s="387" t="n">
        <f aca="false">IF(45&lt;5,0,IF(MAX(AR96:AW96)&gt;AW97+0+$B$18,1,0))</f>
        <v>0</v>
      </c>
      <c r="AX99" s="387" t="n">
        <f aca="false">IF(46&lt;5,0,IF(MAX(AS96:AX96)&gt;AX97+0+$B$18,1,0))</f>
        <v>0</v>
      </c>
      <c r="AY99" s="387" t="n">
        <f aca="false">IF(47&lt;5,0,IF(MAX(AT96:AY96)&gt;AY97+0+$B$18,1,0))</f>
        <v>0</v>
      </c>
      <c r="AZ99" s="387" t="n">
        <f aca="false">IF(48&lt;5,0,IF(MAX(AU96:AZ96)&gt;AZ97+0+$B$18,1,0))</f>
        <v>0</v>
      </c>
      <c r="BA99" s="387" t="n">
        <f aca="false">IF(49&lt;5,0,IF(MAX(AV96:BA96)&gt;BA97+0+$B$18,1,0))</f>
        <v>0</v>
      </c>
      <c r="BB99" s="387" t="n">
        <f aca="false">IF(50&lt;5,0,IF(MAX(AW96:BB96)&gt;BB97+0+$B$18,1,0))</f>
        <v>0</v>
      </c>
      <c r="BC99" s="387" t="n">
        <f aca="false">IF(51&lt;5,0,IF(MAX(AX96:BC96)&gt;BC97+0+$B$18,1,0))</f>
        <v>0</v>
      </c>
      <c r="BD99" s="387" t="n">
        <f aca="false">IF(52&lt;5,0,IF(MAX(AY96:BD96)&gt;BD97+0+$B$18,1,0))</f>
        <v>0</v>
      </c>
      <c r="BE99" s="387" t="n">
        <f aca="false">IF(53&lt;5,0,IF(MAX(AZ96:BE96)&gt;BE97+0+$B$18,1,0))</f>
        <v>0</v>
      </c>
      <c r="BF99" s="387" t="n">
        <f aca="false">IF(54&lt;5,0,IF(MAX(BA96:BF96)&gt;BF97+0+$B$18,1,0))</f>
        <v>0</v>
      </c>
      <c r="BG99" s="387" t="n">
        <f aca="false">IF(55&lt;5,0,IF(MAX(BB96:BG96)&gt;BG97+0+$B$18,1,0))</f>
        <v>0</v>
      </c>
      <c r="BH99" s="387" t="n">
        <f aca="false">IF(56&lt;5,0,IF(MAX(BC96:BH96)&gt;BH97+0+$B$18,1,0))</f>
        <v>0</v>
      </c>
      <c r="BI99" s="387" t="n">
        <f aca="false">IF(57&lt;5,0,IF(MAX(BD96:BI96)&gt;BI97+0+$B$18,1,0))</f>
        <v>0</v>
      </c>
      <c r="BJ99" s="387" t="n">
        <f aca="false">IF(58&lt;5,0,IF(MAX(BE96:BJ96)&gt;BJ97+0+$B$18,1,0))</f>
        <v>0</v>
      </c>
      <c r="BK99" s="387" t="n">
        <f aca="false">IF(59&lt;5,0,IF(MAX(BF96:BK96)&gt;BK97+0+$B$18,1,0))</f>
        <v>0</v>
      </c>
      <c r="BL99" s="387" t="n">
        <f aca="false">IF(60&lt;5,0,IF(MAX(BG96:BL96)&gt;BL97+0+$B$18,1,0))</f>
        <v>0</v>
      </c>
      <c r="BM99" s="387" t="n">
        <f aca="false">IF(61&lt;5,0,IF(MAX(BH96:BM96)&gt;BM97+0+$B$18,1,0))</f>
        <v>0</v>
      </c>
      <c r="BN99" s="387" t="n">
        <f aca="false">IF(62&lt;5,0,IF(MAX(BI96:BN96)&gt;BN97+0+$B$18,1,0))</f>
        <v>0</v>
      </c>
      <c r="BO99" s="387" t="n">
        <f aca="false">IF(63&lt;5,0,IF(MAX(BJ96:BO96)&gt;BO97+0+$B$18,1,0))</f>
        <v>0</v>
      </c>
      <c r="BP99" s="387" t="n">
        <f aca="false">IF(64&lt;5,0,IF(MAX(BK96:BP96)&gt;BP97+0+$B$18,1,0))</f>
        <v>0</v>
      </c>
      <c r="BQ99" s="387" t="n">
        <f aca="false">IF(65&lt;5,0,IF(MAX(BL96:BQ96)&gt;BQ97+0+$B$18,1,0))</f>
        <v>0</v>
      </c>
      <c r="BR99" s="387" t="n">
        <f aca="false">IF(66&lt;5,0,IF(MAX(BM96:BR96)&gt;BR97+0+$B$18,1,0))</f>
        <v>0</v>
      </c>
      <c r="BS99" s="387" t="n">
        <f aca="false">IF(67&lt;5,0,IF(MAX(BN96:BS96)&gt;BS97+0+$B$18,1,0))</f>
        <v>0</v>
      </c>
      <c r="BT99" s="387" t="n">
        <f aca="false">IF(68&lt;5,0,IF(MAX(BO96:BT96)&gt;BT97+0+$B$18,1,0))</f>
        <v>0</v>
      </c>
      <c r="BU99" s="387" t="n">
        <f aca="false">IF(69&lt;5,0,IF(MAX(BP96:BU96)&gt;BU97+0+$B$18,1,0))</f>
        <v>0</v>
      </c>
      <c r="BV99" s="387" t="n">
        <f aca="false">IF(70&lt;5,0,IF(MAX(BQ96:BV96)&gt;BV97+0+$B$18,1,0))</f>
        <v>0</v>
      </c>
      <c r="BW99" s="387" t="n">
        <f aca="false">IF(71&lt;5,0,IF(MAX(BR96:BW96)&gt;BW97+0+$B$18,1,0))</f>
        <v>0</v>
      </c>
      <c r="BX99" s="387" t="n">
        <f aca="false">IF(72&lt;5,0,IF(MAX(BS96:BX96)&gt;BX97+0+$B$18,1,0))</f>
        <v>0</v>
      </c>
      <c r="BY99" s="387" t="n">
        <f aca="false">IF(73&lt;5,0,IF(MAX(BT96:BY96)&gt;BY97+0+$B$18,1,0))</f>
        <v>0</v>
      </c>
      <c r="BZ99" s="387" t="n">
        <f aca="false">IF(74&lt;5,0,IF(MAX(BU96:BZ96)&gt;BZ97+0+$B$18,1,0))</f>
        <v>0</v>
      </c>
      <c r="CA99" s="387" t="n">
        <f aca="false">IF(75&lt;5,0,IF(MAX(BV96:CA96)&gt;CA97+0+$B$18,1,0))</f>
        <v>0</v>
      </c>
      <c r="CB99" s="387" t="n">
        <f aca="false">IF(76&lt;5,0,IF(MAX(BW96:CB96)&gt;CB97+0+$B$18,1,0))</f>
        <v>0</v>
      </c>
      <c r="CC99" s="387" t="n">
        <f aca="false">IF(77&lt;5,0,IF(MAX(BX96:CC96)&gt;CC97+0+$B$18,1,0))</f>
        <v>0</v>
      </c>
      <c r="CD99" s="387" t="n">
        <f aca="false">IF(78&lt;5,0,IF(MAX(BY96:CD96)&gt;CD97+0+$B$18,1,0))</f>
        <v>0</v>
      </c>
      <c r="CE99" s="387" t="n">
        <f aca="false">IF(79&lt;5,0,IF(MAX(BZ96:CE96)&gt;CE97+0+$B$18,1,0))</f>
        <v>0</v>
      </c>
      <c r="CF99" s="387" t="n">
        <f aca="false">IF(80&lt;5,0,IF(MAX(CA96:CF96)&gt;CF97+0+$B$18,1,0))</f>
        <v>0</v>
      </c>
      <c r="CG99" s="387" t="n">
        <f aca="false">IF(81&lt;5,0,IF(MAX(CB96:CG96)&gt;CG97+0+$B$18,1,0))</f>
        <v>0</v>
      </c>
      <c r="CH99" s="387" t="n">
        <f aca="false">IF(82&lt;5,0,IF(MAX(CC96:CH96)&gt;CH97+0+$B$18,1,0))</f>
        <v>0</v>
      </c>
      <c r="CI99" s="387" t="n">
        <f aca="false">IF(83&lt;5,0,IF(MAX(CD96:CI96)&gt;CI97+0+$B$18,1,0))</f>
        <v>0</v>
      </c>
      <c r="CJ99" s="387" t="n">
        <f aca="false">IF(84&lt;5,0,IF(MAX(CE96:CJ96)&gt;CJ97+0+$B$18,1,0))</f>
        <v>0</v>
      </c>
      <c r="CK99" s="387" t="n">
        <f aca="false">IF(85&lt;5,0,IF(MAX(CF96:CK96)&gt;CK97+0+$B$18,1,0))</f>
        <v>0</v>
      </c>
      <c r="CL99" s="387" t="n">
        <f aca="false">IF(86&lt;5,0,IF(MAX(CG96:CL96)&gt;CL97+0+$B$18,1,0))</f>
        <v>0</v>
      </c>
      <c r="CM99" s="387" t="n">
        <f aca="false">IF(87&lt;5,0,IF(MAX(CH96:CM96)&gt;CM97+0+$B$18,1,0))</f>
        <v>0</v>
      </c>
      <c r="CN99" s="387" t="n">
        <f aca="false">IF(88&lt;5,0,IF(MAX(CI96:CN96)&gt;CN97+0+$B$18,1,0))</f>
        <v>0</v>
      </c>
      <c r="CO99" s="387" t="n">
        <f aca="false">IF(89&lt;5,0,IF(MAX(CJ96:CO96)&gt;CO97+0+$B$18,1,0))</f>
        <v>0</v>
      </c>
      <c r="CP99" s="387" t="n">
        <f aca="false">IF(90&lt;5,0,IF(MAX(CK96:CP96)&gt;CP97+0+$B$18,1,0))</f>
        <v>0</v>
      </c>
      <c r="CQ99" s="387" t="n">
        <f aca="false">IF(91&lt;5,0,IF(MAX(CL96:CQ96)&gt;CQ97+0+$B$18,1,0))</f>
        <v>0</v>
      </c>
      <c r="CR99" s="387" t="n">
        <f aca="false">IF(92&lt;5,0,IF(MAX(CM96:CR96)&gt;CR97+0+$B$18,1,0))</f>
        <v>0</v>
      </c>
      <c r="CS99" s="387" t="n">
        <f aca="false">IF(93&lt;5,0,IF(MAX(CN96:CS96)&gt;CS97+0+$B$18,1,0))</f>
        <v>0</v>
      </c>
      <c r="CT99" s="387" t="n">
        <f aca="false">IF(94&lt;5,0,IF(MAX(CO96:CT96)&gt;CT97+0+$B$18,1,0))</f>
        <v>0</v>
      </c>
      <c r="CU99" s="387" t="n">
        <f aca="false">IF(95&lt;5,0,IF(MAX(CP96:CU96)&gt;CU97+0+$B$18,1,0))</f>
        <v>0</v>
      </c>
      <c r="CV99" s="387" t="n">
        <f aca="false">IF(96&lt;5,0,IF(MAX(CQ96:CV96)&gt;CV97+0+$B$18,1,0))</f>
        <v>0</v>
      </c>
      <c r="CW99" s="387" t="n">
        <f aca="false">IF(97&lt;5,0,IF(MAX(CR96:CW96)&gt;CW97+0+$B$18,1,0))</f>
        <v>0</v>
      </c>
      <c r="CX99" s="387" t="n">
        <f aca="false">IF(98&lt;5,0,IF(MAX(CS96:CX96)&gt;CX97+0+$B$18,1,0))</f>
        <v>0</v>
      </c>
      <c r="CY99" s="387" t="n">
        <f aca="false">IF(99&lt;5,0,IF(MAX(CT96:CY96)&gt;CY97+0+$B$18,1,0))</f>
        <v>0</v>
      </c>
      <c r="CZ99" s="387" t="n">
        <f aca="false">IF(100&lt;5,0,IF(MAX(CU96:CZ96)&gt;CZ97+0+$B$18,1,0))</f>
        <v>0</v>
      </c>
      <c r="DA99" s="387" t="n">
        <f aca="false">IF(101&lt;5,0,IF(MAX(CV96:DA96)&gt;DA97+0+$B$18,1,0))</f>
        <v>0</v>
      </c>
      <c r="DB99" s="387" t="n">
        <f aca="false">IF(102&lt;5,0,IF(MAX(CW96:DB96)&gt;DB97+0+$B$18,1,0))</f>
        <v>0</v>
      </c>
      <c r="DC99" s="387" t="n">
        <f aca="false">IF(103&lt;5,0,IF(MAX(CX96:DC96)&gt;DC97+0+$B$18,1,0))</f>
        <v>0</v>
      </c>
      <c r="DD99" s="387" t="n">
        <f aca="false">IF(104&lt;5,0,IF(MAX(CY96:DD96)&gt;DD97+0+$B$18,1,0))</f>
        <v>0</v>
      </c>
      <c r="DE99" s="387" t="n">
        <f aca="false">IF(105&lt;5,0,IF(MAX(CZ96:DE96)&gt;DE97+0+$B$18,1,0))</f>
        <v>0</v>
      </c>
    </row>
    <row r="100" customFormat="false" ht="13.5" hidden="false" customHeight="true" outlineLevel="0" collapsed="false">
      <c r="A100" s="110" t="s">
        <v>1427</v>
      </c>
      <c r="B100" s="213" t="n">
        <f aca="false">$B$27</f>
        <v>125000</v>
      </c>
      <c r="E100" s="387" t="n">
        <f aca="false">IF(1&lt;5,0,IF(MAX(E96)&gt;E97+1+$B$18,1,0))</f>
        <v>0</v>
      </c>
      <c r="F100" s="387" t="n">
        <f aca="false">IF(2&lt;5,0,IF(MAX(E96:F96)&gt;F97+1+$B$18,1,0))</f>
        <v>0</v>
      </c>
      <c r="G100" s="387" t="n">
        <f aca="false">IF(3&lt;5,0,IF(MAX(E96:G96)&gt;G97+1+$B$18,1,0))</f>
        <v>0</v>
      </c>
      <c r="H100" s="387" t="n">
        <f aca="false">IF(4&lt;5,0,IF(MAX(E96:H96)&gt;H97+1+$B$18,1,0))</f>
        <v>0</v>
      </c>
      <c r="I100" s="387" t="n">
        <f aca="false">IF(5&lt;5,0,IF(MAX(E96:I96)&gt;I97+1+$B$18,1,0))</f>
        <v>0</v>
      </c>
      <c r="J100" s="387" t="n">
        <f aca="false">IF(6&lt;5,0,IF(MAX(E96:J96)&gt;J97+1+$B$18,1,0))</f>
        <v>0</v>
      </c>
      <c r="K100" s="387" t="n">
        <f aca="false">IF(7&lt;5,0,IF(MAX(F96:K96)&gt;K97+1+$B$18,1,0))</f>
        <v>0</v>
      </c>
      <c r="L100" s="387" t="n">
        <f aca="false">IF(8&lt;5,0,IF(MAX(G96:L96)&gt;L97+1+$B$18,1,0))</f>
        <v>0</v>
      </c>
      <c r="M100" s="387" t="n">
        <f aca="false">IF(9&lt;5,0,IF(MAX(H96:M96)&gt;M97+1+$B$18,1,0))</f>
        <v>0</v>
      </c>
      <c r="N100" s="387" t="n">
        <f aca="false">IF(10&lt;5,0,IF(MAX(I96:N96)&gt;N97+1+$B$18,1,0))</f>
        <v>0</v>
      </c>
      <c r="O100" s="387" t="n">
        <f aca="false">IF(11&lt;5,0,IF(MAX(J96:O96)&gt;O97+1+$B$18,1,0))</f>
        <v>1</v>
      </c>
      <c r="P100" s="387" t="n">
        <f aca="false">IF(12&lt;5,0,IF(MAX(K96:P96)&gt;P97+1+$B$18,1,0))</f>
        <v>1</v>
      </c>
      <c r="Q100" s="387" t="n">
        <f aca="false">IF(13&lt;5,0,IF(MAX(L96:Q96)&gt;Q97+1+$B$18,1,0))</f>
        <v>1</v>
      </c>
      <c r="R100" s="387" t="n">
        <f aca="false">IF(14&lt;5,0,IF(MAX(M96:R96)&gt;R97+1+$B$18,1,0))</f>
        <v>1</v>
      </c>
      <c r="S100" s="387" t="n">
        <f aca="false">IF(15&lt;5,0,IF(MAX(N96:S96)&gt;S97+1+$B$18,1,0))</f>
        <v>1</v>
      </c>
      <c r="T100" s="387" t="n">
        <f aca="false">IF(16&lt;5,0,IF(MAX(O96:T96)&gt;T97+1+$B$18,1,0))</f>
        <v>1</v>
      </c>
      <c r="U100" s="387" t="n">
        <f aca="false">IF(17&lt;5,0,IF(MAX(P96:U96)&gt;U97+1+$B$18,1,0))</f>
        <v>1</v>
      </c>
      <c r="V100" s="387" t="n">
        <f aca="false">IF(18&lt;5,0,IF(MAX(Q96:V96)&gt;V97+1+$B$18,1,0))</f>
        <v>1</v>
      </c>
      <c r="W100" s="387" t="n">
        <f aca="false">IF(19&lt;5,0,IF(MAX(R96:W96)&gt;W97+1+$B$18,1,0))</f>
        <v>1</v>
      </c>
      <c r="X100" s="387" t="n">
        <f aca="false">IF(20&lt;5,0,IF(MAX(S96:X96)&gt;X97+1+$B$18,1,0))</f>
        <v>1</v>
      </c>
      <c r="Y100" s="387" t="n">
        <f aca="false">IF(21&lt;5,0,IF(MAX(T96:Y96)&gt;Y97+1+$B$18,1,0))</f>
        <v>1</v>
      </c>
      <c r="Z100" s="387" t="n">
        <f aca="false">IF(22&lt;5,0,IF(MAX(U96:Z96)&gt;Z97+1+$B$18,1,0))</f>
        <v>1</v>
      </c>
      <c r="AA100" s="387" t="n">
        <f aca="false">IF(23&lt;5,0,IF(MAX(V96:AA96)&gt;AA97+1+$B$18,1,0))</f>
        <v>1</v>
      </c>
      <c r="AB100" s="387" t="n">
        <f aca="false">IF(24&lt;5,0,IF(MAX(W96:AB96)&gt;AB97+1+$B$18,1,0))</f>
        <v>1</v>
      </c>
      <c r="AC100" s="387" t="n">
        <f aca="false">IF(25&lt;5,0,IF(MAX(X96:AC96)&gt;AC97+1+$B$18,1,0))</f>
        <v>1</v>
      </c>
      <c r="AD100" s="387" t="n">
        <f aca="false">IF(26&lt;5,0,IF(MAX(Y96:AD96)&gt;AD97+1+$B$18,1,0))</f>
        <v>1</v>
      </c>
      <c r="AE100" s="387" t="n">
        <f aca="false">IF(27&lt;5,0,IF(MAX(Z96:AE96)&gt;AE97+1+$B$18,1,0))</f>
        <v>1</v>
      </c>
      <c r="AF100" s="387" t="n">
        <f aca="false">IF(28&lt;5,0,IF(MAX(AA96:AF96)&gt;AF97+1+$B$18,1,0))</f>
        <v>1</v>
      </c>
      <c r="AG100" s="387" t="n">
        <f aca="false">IF(29&lt;5,0,IF(MAX(AB96:AG96)&gt;AG97+1+$B$18,1,0))</f>
        <v>1</v>
      </c>
      <c r="AH100" s="387" t="n">
        <f aca="false">IF(30&lt;5,0,IF(MAX(AC96:AH96)&gt;AH97+1+$B$18,1,0))</f>
        <v>1</v>
      </c>
      <c r="AI100" s="387" t="n">
        <f aca="false">IF(31&lt;5,0,IF(MAX(AD96:AI96)&gt;AI97+1+$B$18,1,0))</f>
        <v>1</v>
      </c>
      <c r="AJ100" s="387" t="n">
        <f aca="false">IF(32&lt;5,0,IF(MAX(AE96:AJ96)&gt;AJ97+1+$B$18,1,0))</f>
        <v>1</v>
      </c>
      <c r="AK100" s="387" t="n">
        <f aca="false">IF(33&lt;5,0,IF(MAX(AF96:AK96)&gt;AK97+1+$B$18,1,0))</f>
        <v>1</v>
      </c>
      <c r="AL100" s="387" t="n">
        <f aca="false">IF(34&lt;5,0,IF(MAX(AG96:AL96)&gt;AL97+1+$B$18,1,0))</f>
        <v>1</v>
      </c>
      <c r="AM100" s="387" t="n">
        <f aca="false">IF(35&lt;5,0,IF(MAX(AH96:AM96)&gt;AM97+1+$B$18,1,0))</f>
        <v>1</v>
      </c>
      <c r="AN100" s="387" t="n">
        <f aca="false">IF(36&lt;5,0,IF(MAX(AI96:AN96)&gt;AN97+1+$B$18,1,0))</f>
        <v>1</v>
      </c>
      <c r="AO100" s="387" t="n">
        <f aca="false">IF(37&lt;5,0,IF(MAX(AJ96:AO96)&gt;AO97+1+$B$18,1,0))</f>
        <v>1</v>
      </c>
      <c r="AP100" s="387" t="n">
        <f aca="false">IF(38&lt;5,0,IF(MAX(AK96:AP96)&gt;AP97+1+$B$18,1,0))</f>
        <v>1</v>
      </c>
      <c r="AQ100" s="387" t="n">
        <f aca="false">IF(39&lt;5,0,IF(MAX(AL96:AQ96)&gt;AQ97+1+$B$18,1,0))</f>
        <v>0</v>
      </c>
      <c r="AR100" s="387" t="n">
        <f aca="false">IF(40&lt;5,0,IF(MAX(AM96:AR96)&gt;AR97+1+$B$18,1,0))</f>
        <v>0</v>
      </c>
      <c r="AS100" s="387" t="n">
        <f aca="false">IF(41&lt;5,0,IF(MAX(AN96:AS96)&gt;AS97+1+$B$18,1,0))</f>
        <v>0</v>
      </c>
      <c r="AT100" s="387" t="n">
        <f aca="false">IF(42&lt;5,0,IF(MAX(AO96:AT96)&gt;AT97+1+$B$18,1,0))</f>
        <v>0</v>
      </c>
      <c r="AU100" s="387" t="n">
        <f aca="false">IF(43&lt;5,0,IF(MAX(AP96:AU96)&gt;AU97+1+$B$18,1,0))</f>
        <v>0</v>
      </c>
      <c r="AV100" s="387" t="n">
        <f aca="false">IF(44&lt;5,0,IF(MAX(AQ96:AV96)&gt;AV97+1+$B$18,1,0))</f>
        <v>0</v>
      </c>
      <c r="AW100" s="387" t="n">
        <f aca="false">IF(45&lt;5,0,IF(MAX(AR96:AW96)&gt;AW97+1+$B$18,1,0))</f>
        <v>0</v>
      </c>
      <c r="AX100" s="387" t="n">
        <f aca="false">IF(46&lt;5,0,IF(MAX(AS96:AX96)&gt;AX97+1+$B$18,1,0))</f>
        <v>0</v>
      </c>
      <c r="AY100" s="387" t="n">
        <f aca="false">IF(47&lt;5,0,IF(MAX(AT96:AY96)&gt;AY97+1+$B$18,1,0))</f>
        <v>0</v>
      </c>
      <c r="AZ100" s="387" t="n">
        <f aca="false">IF(48&lt;5,0,IF(MAX(AU96:AZ96)&gt;AZ97+1+$B$18,1,0))</f>
        <v>0</v>
      </c>
      <c r="BA100" s="387" t="n">
        <f aca="false">IF(49&lt;5,0,IF(MAX(AV96:BA96)&gt;BA97+1+$B$18,1,0))</f>
        <v>0</v>
      </c>
      <c r="BB100" s="387" t="n">
        <f aca="false">IF(50&lt;5,0,IF(MAX(AW96:BB96)&gt;BB97+1+$B$18,1,0))</f>
        <v>0</v>
      </c>
      <c r="BC100" s="387" t="n">
        <f aca="false">IF(51&lt;5,0,IF(MAX(AX96:BC96)&gt;BC97+1+$B$18,1,0))</f>
        <v>0</v>
      </c>
      <c r="BD100" s="387" t="n">
        <f aca="false">IF(52&lt;5,0,IF(MAX(AY96:BD96)&gt;BD97+1+$B$18,1,0))</f>
        <v>0</v>
      </c>
      <c r="BE100" s="387" t="n">
        <f aca="false">IF(53&lt;5,0,IF(MAX(AZ96:BE96)&gt;BE97+1+$B$18,1,0))</f>
        <v>0</v>
      </c>
      <c r="BF100" s="387" t="n">
        <f aca="false">IF(54&lt;5,0,IF(MAX(BA96:BF96)&gt;BF97+1+$B$18,1,0))</f>
        <v>0</v>
      </c>
      <c r="BG100" s="387" t="n">
        <f aca="false">IF(55&lt;5,0,IF(MAX(BB96:BG96)&gt;BG97+1+$B$18,1,0))</f>
        <v>0</v>
      </c>
      <c r="BH100" s="387" t="n">
        <f aca="false">IF(56&lt;5,0,IF(MAX(BC96:BH96)&gt;BH97+1+$B$18,1,0))</f>
        <v>0</v>
      </c>
      <c r="BI100" s="387" t="n">
        <f aca="false">IF(57&lt;5,0,IF(MAX(BD96:BI96)&gt;BI97+1+$B$18,1,0))</f>
        <v>0</v>
      </c>
      <c r="BJ100" s="387" t="n">
        <f aca="false">IF(58&lt;5,0,IF(MAX(BE96:BJ96)&gt;BJ97+1+$B$18,1,0))</f>
        <v>0</v>
      </c>
      <c r="BK100" s="387" t="n">
        <f aca="false">IF(59&lt;5,0,IF(MAX(BF96:BK96)&gt;BK97+1+$B$18,1,0))</f>
        <v>0</v>
      </c>
      <c r="BL100" s="387" t="n">
        <f aca="false">IF(60&lt;5,0,IF(MAX(BG96:BL96)&gt;BL97+1+$B$18,1,0))</f>
        <v>0</v>
      </c>
      <c r="BM100" s="387" t="n">
        <f aca="false">IF(61&lt;5,0,IF(MAX(BH96:BM96)&gt;BM97+1+$B$18,1,0))</f>
        <v>0</v>
      </c>
      <c r="BN100" s="387" t="n">
        <f aca="false">IF(62&lt;5,0,IF(MAX(BI96:BN96)&gt;BN97+1+$B$18,1,0))</f>
        <v>0</v>
      </c>
      <c r="BO100" s="387" t="n">
        <f aca="false">IF(63&lt;5,0,IF(MAX(BJ96:BO96)&gt;BO97+1+$B$18,1,0))</f>
        <v>0</v>
      </c>
      <c r="BP100" s="387" t="n">
        <f aca="false">IF(64&lt;5,0,IF(MAX(BK96:BP96)&gt;BP97+1+$B$18,1,0))</f>
        <v>0</v>
      </c>
      <c r="BQ100" s="387" t="n">
        <f aca="false">IF(65&lt;5,0,IF(MAX(BL96:BQ96)&gt;BQ97+1+$B$18,1,0))</f>
        <v>0</v>
      </c>
      <c r="BR100" s="387" t="n">
        <f aca="false">IF(66&lt;5,0,IF(MAX(BM96:BR96)&gt;BR97+1+$B$18,1,0))</f>
        <v>0</v>
      </c>
      <c r="BS100" s="387" t="n">
        <f aca="false">IF(67&lt;5,0,IF(MAX(BN96:BS96)&gt;BS97+1+$B$18,1,0))</f>
        <v>0</v>
      </c>
      <c r="BT100" s="387" t="n">
        <f aca="false">IF(68&lt;5,0,IF(MAX(BO96:BT96)&gt;BT97+1+$B$18,1,0))</f>
        <v>0</v>
      </c>
      <c r="BU100" s="387" t="n">
        <f aca="false">IF(69&lt;5,0,IF(MAX(BP96:BU96)&gt;BU97+1+$B$18,1,0))</f>
        <v>0</v>
      </c>
      <c r="BV100" s="387" t="n">
        <f aca="false">IF(70&lt;5,0,IF(MAX(BQ96:BV96)&gt;BV97+1+$B$18,1,0))</f>
        <v>0</v>
      </c>
      <c r="BW100" s="387" t="n">
        <f aca="false">IF(71&lt;5,0,IF(MAX(BR96:BW96)&gt;BW97+1+$B$18,1,0))</f>
        <v>0</v>
      </c>
      <c r="BX100" s="387" t="n">
        <f aca="false">IF(72&lt;5,0,IF(MAX(BS96:BX96)&gt;BX97+1+$B$18,1,0))</f>
        <v>0</v>
      </c>
      <c r="BY100" s="387" t="n">
        <f aca="false">IF(73&lt;5,0,IF(MAX(BT96:BY96)&gt;BY97+1+$B$18,1,0))</f>
        <v>0</v>
      </c>
      <c r="BZ100" s="387" t="n">
        <f aca="false">IF(74&lt;5,0,IF(MAX(BU96:BZ96)&gt;BZ97+1+$B$18,1,0))</f>
        <v>0</v>
      </c>
      <c r="CA100" s="387" t="n">
        <f aca="false">IF(75&lt;5,0,IF(MAX(BV96:CA96)&gt;CA97+1+$B$18,1,0))</f>
        <v>0</v>
      </c>
      <c r="CB100" s="387" t="n">
        <f aca="false">IF(76&lt;5,0,IF(MAX(BW96:CB96)&gt;CB97+1+$B$18,1,0))</f>
        <v>0</v>
      </c>
      <c r="CC100" s="387" t="n">
        <f aca="false">IF(77&lt;5,0,IF(MAX(BX96:CC96)&gt;CC97+1+$B$18,1,0))</f>
        <v>0</v>
      </c>
      <c r="CD100" s="387" t="n">
        <f aca="false">IF(78&lt;5,0,IF(MAX(BY96:CD96)&gt;CD97+1+$B$18,1,0))</f>
        <v>0</v>
      </c>
      <c r="CE100" s="387" t="n">
        <f aca="false">IF(79&lt;5,0,IF(MAX(BZ96:CE96)&gt;CE97+1+$B$18,1,0))</f>
        <v>0</v>
      </c>
      <c r="CF100" s="387" t="n">
        <f aca="false">IF(80&lt;5,0,IF(MAX(CA96:CF96)&gt;CF97+1+$B$18,1,0))</f>
        <v>0</v>
      </c>
      <c r="CG100" s="387" t="n">
        <f aca="false">IF(81&lt;5,0,IF(MAX(CB96:CG96)&gt;CG97+1+$B$18,1,0))</f>
        <v>0</v>
      </c>
      <c r="CH100" s="387" t="n">
        <f aca="false">IF(82&lt;5,0,IF(MAX(CC96:CH96)&gt;CH97+1+$B$18,1,0))</f>
        <v>0</v>
      </c>
      <c r="CI100" s="387" t="n">
        <f aca="false">IF(83&lt;5,0,IF(MAX(CD96:CI96)&gt;CI97+1+$B$18,1,0))</f>
        <v>0</v>
      </c>
      <c r="CJ100" s="387" t="n">
        <f aca="false">IF(84&lt;5,0,IF(MAX(CE96:CJ96)&gt;CJ97+1+$B$18,1,0))</f>
        <v>0</v>
      </c>
      <c r="CK100" s="387" t="n">
        <f aca="false">IF(85&lt;5,0,IF(MAX(CF96:CK96)&gt;CK97+1+$B$18,1,0))</f>
        <v>0</v>
      </c>
      <c r="CL100" s="387" t="n">
        <f aca="false">IF(86&lt;5,0,IF(MAX(CG96:CL96)&gt;CL97+1+$B$18,1,0))</f>
        <v>0</v>
      </c>
      <c r="CM100" s="387" t="n">
        <f aca="false">IF(87&lt;5,0,IF(MAX(CH96:CM96)&gt;CM97+1+$B$18,1,0))</f>
        <v>0</v>
      </c>
      <c r="CN100" s="387" t="n">
        <f aca="false">IF(88&lt;5,0,IF(MAX(CI96:CN96)&gt;CN97+1+$B$18,1,0))</f>
        <v>0</v>
      </c>
      <c r="CO100" s="387" t="n">
        <f aca="false">IF(89&lt;5,0,IF(MAX(CJ96:CO96)&gt;CO97+1+$B$18,1,0))</f>
        <v>0</v>
      </c>
      <c r="CP100" s="387" t="n">
        <f aca="false">IF(90&lt;5,0,IF(MAX(CK96:CP96)&gt;CP97+1+$B$18,1,0))</f>
        <v>0</v>
      </c>
      <c r="CQ100" s="387" t="n">
        <f aca="false">IF(91&lt;5,0,IF(MAX(CL96:CQ96)&gt;CQ97+1+$B$18,1,0))</f>
        <v>0</v>
      </c>
      <c r="CR100" s="387" t="n">
        <f aca="false">IF(92&lt;5,0,IF(MAX(CM96:CR96)&gt;CR97+1+$B$18,1,0))</f>
        <v>0</v>
      </c>
      <c r="CS100" s="387" t="n">
        <f aca="false">IF(93&lt;5,0,IF(MAX(CN96:CS96)&gt;CS97+1+$B$18,1,0))</f>
        <v>0</v>
      </c>
      <c r="CT100" s="387" t="n">
        <f aca="false">IF(94&lt;5,0,IF(MAX(CO96:CT96)&gt;CT97+1+$B$18,1,0))</f>
        <v>0</v>
      </c>
      <c r="CU100" s="387" t="n">
        <f aca="false">IF(95&lt;5,0,IF(MAX(CP96:CU96)&gt;CU97+1+$B$18,1,0))</f>
        <v>0</v>
      </c>
      <c r="CV100" s="387" t="n">
        <f aca="false">IF(96&lt;5,0,IF(MAX(CQ96:CV96)&gt;CV97+1+$B$18,1,0))</f>
        <v>0</v>
      </c>
      <c r="CW100" s="387" t="n">
        <f aca="false">IF(97&lt;5,0,IF(MAX(CR96:CW96)&gt;CW97+1+$B$18,1,0))</f>
        <v>0</v>
      </c>
      <c r="CX100" s="387" t="n">
        <f aca="false">IF(98&lt;5,0,IF(MAX(CS96:CX96)&gt;CX97+1+$B$18,1,0))</f>
        <v>0</v>
      </c>
      <c r="CY100" s="387" t="n">
        <f aca="false">IF(99&lt;5,0,IF(MAX(CT96:CY96)&gt;CY97+1+$B$18,1,0))</f>
        <v>0</v>
      </c>
      <c r="CZ100" s="387" t="n">
        <f aca="false">IF(100&lt;5,0,IF(MAX(CU96:CZ96)&gt;CZ97+1+$B$18,1,0))</f>
        <v>0</v>
      </c>
      <c r="DA100" s="387" t="n">
        <f aca="false">IF(101&lt;5,0,IF(MAX(CV96:DA96)&gt;DA97+1+$B$18,1,0))</f>
        <v>0</v>
      </c>
      <c r="DB100" s="387" t="n">
        <f aca="false">IF(102&lt;5,0,IF(MAX(CW96:DB96)&gt;DB97+1+$B$18,1,0))</f>
        <v>0</v>
      </c>
      <c r="DC100" s="387" t="n">
        <f aca="false">IF(103&lt;5,0,IF(MAX(CX96:DC96)&gt;DC97+1+$B$18,1,0))</f>
        <v>0</v>
      </c>
      <c r="DD100" s="387" t="n">
        <f aca="false">IF(104&lt;5,0,IF(MAX(CY96:DD96)&gt;DD97+1+$B$18,1,0))</f>
        <v>0</v>
      </c>
      <c r="DE100" s="387" t="n">
        <f aca="false">IF(105&lt;5,0,IF(MAX(CZ96:DE96)&gt;DE97+1+$B$18,1,0))</f>
        <v>0</v>
      </c>
    </row>
    <row r="101" customFormat="false" ht="13.5" hidden="false" customHeight="true" outlineLevel="0" collapsed="false">
      <c r="A101" s="110" t="s">
        <v>1428</v>
      </c>
      <c r="B101" s="213" t="n">
        <f aca="false">$B$27</f>
        <v>125000</v>
      </c>
      <c r="E101" s="387" t="n">
        <f aca="false">IF(1&lt;5,0,IF(MAX(E96)&gt;E97+2+$B$18,1,0))</f>
        <v>0</v>
      </c>
      <c r="F101" s="387" t="n">
        <f aca="false">IF(2&lt;5,0,IF(MAX(E96:F96)&gt;F97+2+$B$18,1,0))</f>
        <v>0</v>
      </c>
      <c r="G101" s="387" t="n">
        <f aca="false">IF(3&lt;5,0,IF(MAX(E96:G96)&gt;G97+2+$B$18,1,0))</f>
        <v>0</v>
      </c>
      <c r="H101" s="387" t="n">
        <f aca="false">IF(4&lt;5,0,IF(MAX(E96:H96)&gt;H97+2+$B$18,1,0))</f>
        <v>0</v>
      </c>
      <c r="I101" s="387" t="n">
        <f aca="false">IF(5&lt;5,0,IF(MAX(E96:I96)&gt;I97+2+$B$18,1,0))</f>
        <v>0</v>
      </c>
      <c r="J101" s="387" t="n">
        <f aca="false">IF(6&lt;5,0,IF(MAX(E96:J96)&gt;J97+2+$B$18,1,0))</f>
        <v>0</v>
      </c>
      <c r="K101" s="387" t="n">
        <f aca="false">IF(7&lt;5,0,IF(MAX(F96:K96)&gt;K97+2+$B$18,1,0))</f>
        <v>0</v>
      </c>
      <c r="L101" s="387" t="n">
        <f aca="false">IF(8&lt;5,0,IF(MAX(G96:L96)&gt;L97+2+$B$18,1,0))</f>
        <v>0</v>
      </c>
      <c r="M101" s="387" t="n">
        <f aca="false">IF(9&lt;5,0,IF(MAX(H96:M96)&gt;M97+2+$B$18,1,0))</f>
        <v>0</v>
      </c>
      <c r="N101" s="387" t="n">
        <f aca="false">IF(10&lt;5,0,IF(MAX(I96:N96)&gt;N97+2+$B$18,1,0))</f>
        <v>0</v>
      </c>
      <c r="O101" s="387" t="n">
        <f aca="false">IF(11&lt;5,0,IF(MAX(J96:O96)&gt;O97+2+$B$18,1,0))</f>
        <v>0</v>
      </c>
      <c r="P101" s="387" t="n">
        <f aca="false">IF(12&lt;5,0,IF(MAX(K96:P96)&gt;P97+2+$B$18,1,0))</f>
        <v>0</v>
      </c>
      <c r="Q101" s="387" t="n">
        <f aca="false">IF(13&lt;5,0,IF(MAX(L96:Q96)&gt;Q97+2+$B$18,1,0))</f>
        <v>1</v>
      </c>
      <c r="R101" s="387" t="n">
        <f aca="false">IF(14&lt;5,0,IF(MAX(M96:R96)&gt;R97+2+$B$18,1,0))</f>
        <v>1</v>
      </c>
      <c r="S101" s="387" t="n">
        <f aca="false">IF(15&lt;5,0,IF(MAX(N96:S96)&gt;S97+2+$B$18,1,0))</f>
        <v>1</v>
      </c>
      <c r="T101" s="387" t="n">
        <f aca="false">IF(16&lt;5,0,IF(MAX(O96:T96)&gt;T97+2+$B$18,1,0))</f>
        <v>1</v>
      </c>
      <c r="U101" s="387" t="n">
        <f aca="false">IF(17&lt;5,0,IF(MAX(P96:U96)&gt;U97+2+$B$18,1,0))</f>
        <v>1</v>
      </c>
      <c r="V101" s="387" t="n">
        <f aca="false">IF(18&lt;5,0,IF(MAX(Q96:V96)&gt;V97+2+$B$18,1,0))</f>
        <v>1</v>
      </c>
      <c r="W101" s="387" t="n">
        <f aca="false">IF(19&lt;5,0,IF(MAX(R96:W96)&gt;W97+2+$B$18,1,0))</f>
        <v>1</v>
      </c>
      <c r="X101" s="387" t="n">
        <f aca="false">IF(20&lt;5,0,IF(MAX(S96:X96)&gt;X97+2+$B$18,1,0))</f>
        <v>1</v>
      </c>
      <c r="Y101" s="387" t="n">
        <f aca="false">IF(21&lt;5,0,IF(MAX(T96:Y96)&gt;Y97+2+$B$18,1,0))</f>
        <v>1</v>
      </c>
      <c r="Z101" s="387" t="n">
        <f aca="false">IF(22&lt;5,0,IF(MAX(U96:Z96)&gt;Z97+2+$B$18,1,0))</f>
        <v>1</v>
      </c>
      <c r="AA101" s="387" t="n">
        <f aca="false">IF(23&lt;5,0,IF(MAX(V96:AA96)&gt;AA97+2+$B$18,1,0))</f>
        <v>1</v>
      </c>
      <c r="AB101" s="387" t="n">
        <f aca="false">IF(24&lt;5,0,IF(MAX(W96:AB96)&gt;AB97+2+$B$18,1,0))</f>
        <v>1</v>
      </c>
      <c r="AC101" s="387" t="n">
        <f aca="false">IF(25&lt;5,0,IF(MAX(X96:AC96)&gt;AC97+2+$B$18,1,0))</f>
        <v>1</v>
      </c>
      <c r="AD101" s="387" t="n">
        <f aca="false">IF(26&lt;5,0,IF(MAX(Y96:AD96)&gt;AD97+2+$B$18,1,0))</f>
        <v>1</v>
      </c>
      <c r="AE101" s="387" t="n">
        <f aca="false">IF(27&lt;5,0,IF(MAX(Z96:AE96)&gt;AE97+2+$B$18,1,0))</f>
        <v>1</v>
      </c>
      <c r="AF101" s="387" t="n">
        <f aca="false">IF(28&lt;5,0,IF(MAX(AA96:AF96)&gt;AF97+2+$B$18,1,0))</f>
        <v>1</v>
      </c>
      <c r="AG101" s="387" t="n">
        <f aca="false">IF(29&lt;5,0,IF(MAX(AB96:AG96)&gt;AG97+2+$B$18,1,0))</f>
        <v>1</v>
      </c>
      <c r="AH101" s="387" t="n">
        <f aca="false">IF(30&lt;5,0,IF(MAX(AC96:AH96)&gt;AH97+2+$B$18,1,0))</f>
        <v>1</v>
      </c>
      <c r="AI101" s="387" t="n">
        <f aca="false">IF(31&lt;5,0,IF(MAX(AD96:AI96)&gt;AI97+2+$B$18,1,0))</f>
        <v>1</v>
      </c>
      <c r="AJ101" s="387" t="n">
        <f aca="false">IF(32&lt;5,0,IF(MAX(AE96:AJ96)&gt;AJ97+2+$B$18,1,0))</f>
        <v>1</v>
      </c>
      <c r="AK101" s="387" t="n">
        <f aca="false">IF(33&lt;5,0,IF(MAX(AF96:AK96)&gt;AK97+2+$B$18,1,0))</f>
        <v>1</v>
      </c>
      <c r="AL101" s="387" t="n">
        <f aca="false">IF(34&lt;5,0,IF(MAX(AG96:AL96)&gt;AL97+2+$B$18,1,0))</f>
        <v>1</v>
      </c>
      <c r="AM101" s="387" t="n">
        <f aca="false">IF(35&lt;5,0,IF(MAX(AH96:AM96)&gt;AM97+2+$B$18,1,0))</f>
        <v>1</v>
      </c>
      <c r="AN101" s="387" t="n">
        <f aca="false">IF(36&lt;5,0,IF(MAX(AI96:AN96)&gt;AN97+2+$B$18,1,0))</f>
        <v>0</v>
      </c>
      <c r="AO101" s="387" t="n">
        <f aca="false">IF(37&lt;5,0,IF(MAX(AJ96:AO96)&gt;AO97+2+$B$18,1,0))</f>
        <v>0</v>
      </c>
      <c r="AP101" s="387" t="n">
        <f aca="false">IF(38&lt;5,0,IF(MAX(AK96:AP96)&gt;AP97+2+$B$18,1,0))</f>
        <v>0</v>
      </c>
      <c r="AQ101" s="387" t="n">
        <f aca="false">IF(39&lt;5,0,IF(MAX(AL96:AQ96)&gt;AQ97+2+$B$18,1,0))</f>
        <v>0</v>
      </c>
      <c r="AR101" s="387" t="n">
        <f aca="false">IF(40&lt;5,0,IF(MAX(AM96:AR96)&gt;AR97+2+$B$18,1,0))</f>
        <v>0</v>
      </c>
      <c r="AS101" s="387" t="n">
        <f aca="false">IF(41&lt;5,0,IF(MAX(AN96:AS96)&gt;AS97+2+$B$18,1,0))</f>
        <v>0</v>
      </c>
      <c r="AT101" s="387" t="n">
        <f aca="false">IF(42&lt;5,0,IF(MAX(AO96:AT96)&gt;AT97+2+$B$18,1,0))</f>
        <v>0</v>
      </c>
      <c r="AU101" s="387" t="n">
        <f aca="false">IF(43&lt;5,0,IF(MAX(AP96:AU96)&gt;AU97+2+$B$18,1,0))</f>
        <v>0</v>
      </c>
      <c r="AV101" s="387" t="n">
        <f aca="false">IF(44&lt;5,0,IF(MAX(AQ96:AV96)&gt;AV97+2+$B$18,1,0))</f>
        <v>0</v>
      </c>
      <c r="AW101" s="387" t="n">
        <f aca="false">IF(45&lt;5,0,IF(MAX(AR96:AW96)&gt;AW97+2+$B$18,1,0))</f>
        <v>0</v>
      </c>
      <c r="AX101" s="387" t="n">
        <f aca="false">IF(46&lt;5,0,IF(MAX(AS96:AX96)&gt;AX97+2+$B$18,1,0))</f>
        <v>0</v>
      </c>
      <c r="AY101" s="387" t="n">
        <f aca="false">IF(47&lt;5,0,IF(MAX(AT96:AY96)&gt;AY97+2+$B$18,1,0))</f>
        <v>0</v>
      </c>
      <c r="AZ101" s="387" t="n">
        <f aca="false">IF(48&lt;5,0,IF(MAX(AU96:AZ96)&gt;AZ97+2+$B$18,1,0))</f>
        <v>0</v>
      </c>
      <c r="BA101" s="387" t="n">
        <f aca="false">IF(49&lt;5,0,IF(MAX(AV96:BA96)&gt;BA97+2+$B$18,1,0))</f>
        <v>0</v>
      </c>
      <c r="BB101" s="387" t="n">
        <f aca="false">IF(50&lt;5,0,IF(MAX(AW96:BB96)&gt;BB97+2+$B$18,1,0))</f>
        <v>0</v>
      </c>
      <c r="BC101" s="387" t="n">
        <f aca="false">IF(51&lt;5,0,IF(MAX(AX96:BC96)&gt;BC97+2+$B$18,1,0))</f>
        <v>0</v>
      </c>
      <c r="BD101" s="387" t="n">
        <f aca="false">IF(52&lt;5,0,IF(MAX(AY96:BD96)&gt;BD97+2+$B$18,1,0))</f>
        <v>0</v>
      </c>
      <c r="BE101" s="387" t="n">
        <f aca="false">IF(53&lt;5,0,IF(MAX(AZ96:BE96)&gt;BE97+2+$B$18,1,0))</f>
        <v>0</v>
      </c>
      <c r="BF101" s="387" t="n">
        <f aca="false">IF(54&lt;5,0,IF(MAX(BA96:BF96)&gt;BF97+2+$B$18,1,0))</f>
        <v>0</v>
      </c>
      <c r="BG101" s="387" t="n">
        <f aca="false">IF(55&lt;5,0,IF(MAX(BB96:BG96)&gt;BG97+2+$B$18,1,0))</f>
        <v>0</v>
      </c>
      <c r="BH101" s="387" t="n">
        <f aca="false">IF(56&lt;5,0,IF(MAX(BC96:BH96)&gt;BH97+2+$B$18,1,0))</f>
        <v>0</v>
      </c>
      <c r="BI101" s="387" t="n">
        <f aca="false">IF(57&lt;5,0,IF(MAX(BD96:BI96)&gt;BI97+2+$B$18,1,0))</f>
        <v>0</v>
      </c>
      <c r="BJ101" s="387" t="n">
        <f aca="false">IF(58&lt;5,0,IF(MAX(BE96:BJ96)&gt;BJ97+2+$B$18,1,0))</f>
        <v>0</v>
      </c>
      <c r="BK101" s="387" t="n">
        <f aca="false">IF(59&lt;5,0,IF(MAX(BF96:BK96)&gt;BK97+2+$B$18,1,0))</f>
        <v>0</v>
      </c>
      <c r="BL101" s="387" t="n">
        <f aca="false">IF(60&lt;5,0,IF(MAX(BG96:BL96)&gt;BL97+2+$B$18,1,0))</f>
        <v>0</v>
      </c>
      <c r="BM101" s="387" t="n">
        <f aca="false">IF(61&lt;5,0,IF(MAX(BH96:BM96)&gt;BM97+2+$B$18,1,0))</f>
        <v>0</v>
      </c>
      <c r="BN101" s="387" t="n">
        <f aca="false">IF(62&lt;5,0,IF(MAX(BI96:BN96)&gt;BN97+2+$B$18,1,0))</f>
        <v>0</v>
      </c>
      <c r="BO101" s="387" t="n">
        <f aca="false">IF(63&lt;5,0,IF(MAX(BJ96:BO96)&gt;BO97+2+$B$18,1,0))</f>
        <v>0</v>
      </c>
      <c r="BP101" s="387" t="n">
        <f aca="false">IF(64&lt;5,0,IF(MAX(BK96:BP96)&gt;BP97+2+$B$18,1,0))</f>
        <v>0</v>
      </c>
      <c r="BQ101" s="387" t="n">
        <f aca="false">IF(65&lt;5,0,IF(MAX(BL96:BQ96)&gt;BQ97+2+$B$18,1,0))</f>
        <v>0</v>
      </c>
      <c r="BR101" s="387" t="n">
        <f aca="false">IF(66&lt;5,0,IF(MAX(BM96:BR96)&gt;BR97+2+$B$18,1,0))</f>
        <v>0</v>
      </c>
      <c r="BS101" s="387" t="n">
        <f aca="false">IF(67&lt;5,0,IF(MAX(BN96:BS96)&gt;BS97+2+$B$18,1,0))</f>
        <v>0</v>
      </c>
      <c r="BT101" s="387" t="n">
        <f aca="false">IF(68&lt;5,0,IF(MAX(BO96:BT96)&gt;BT97+2+$B$18,1,0))</f>
        <v>0</v>
      </c>
      <c r="BU101" s="387" t="n">
        <f aca="false">IF(69&lt;5,0,IF(MAX(BP96:BU96)&gt;BU97+2+$B$18,1,0))</f>
        <v>0</v>
      </c>
      <c r="BV101" s="387" t="n">
        <f aca="false">IF(70&lt;5,0,IF(MAX(BQ96:BV96)&gt;BV97+2+$B$18,1,0))</f>
        <v>0</v>
      </c>
      <c r="BW101" s="387" t="n">
        <f aca="false">IF(71&lt;5,0,IF(MAX(BR96:BW96)&gt;BW97+2+$B$18,1,0))</f>
        <v>0</v>
      </c>
      <c r="BX101" s="387" t="n">
        <f aca="false">IF(72&lt;5,0,IF(MAX(BS96:BX96)&gt;BX97+2+$B$18,1,0))</f>
        <v>0</v>
      </c>
      <c r="BY101" s="387" t="n">
        <f aca="false">IF(73&lt;5,0,IF(MAX(BT96:BY96)&gt;BY97+2+$B$18,1,0))</f>
        <v>0</v>
      </c>
      <c r="BZ101" s="387" t="n">
        <f aca="false">IF(74&lt;5,0,IF(MAX(BU96:BZ96)&gt;BZ97+2+$B$18,1,0))</f>
        <v>0</v>
      </c>
      <c r="CA101" s="387" t="n">
        <f aca="false">IF(75&lt;5,0,IF(MAX(BV96:CA96)&gt;CA97+2+$B$18,1,0))</f>
        <v>0</v>
      </c>
      <c r="CB101" s="387" t="n">
        <f aca="false">IF(76&lt;5,0,IF(MAX(BW96:CB96)&gt;CB97+2+$B$18,1,0))</f>
        <v>0</v>
      </c>
      <c r="CC101" s="387" t="n">
        <f aca="false">IF(77&lt;5,0,IF(MAX(BX96:CC96)&gt;CC97+2+$B$18,1,0))</f>
        <v>0</v>
      </c>
      <c r="CD101" s="387" t="n">
        <f aca="false">IF(78&lt;5,0,IF(MAX(BY96:CD96)&gt;CD97+2+$B$18,1,0))</f>
        <v>0</v>
      </c>
      <c r="CE101" s="387" t="n">
        <f aca="false">IF(79&lt;5,0,IF(MAX(BZ96:CE96)&gt;CE97+2+$B$18,1,0))</f>
        <v>0</v>
      </c>
      <c r="CF101" s="387" t="n">
        <f aca="false">IF(80&lt;5,0,IF(MAX(CA96:CF96)&gt;CF97+2+$B$18,1,0))</f>
        <v>0</v>
      </c>
      <c r="CG101" s="387" t="n">
        <f aca="false">IF(81&lt;5,0,IF(MAX(CB96:CG96)&gt;CG97+2+$B$18,1,0))</f>
        <v>0</v>
      </c>
      <c r="CH101" s="387" t="n">
        <f aca="false">IF(82&lt;5,0,IF(MAX(CC96:CH96)&gt;CH97+2+$B$18,1,0))</f>
        <v>0</v>
      </c>
      <c r="CI101" s="387" t="n">
        <f aca="false">IF(83&lt;5,0,IF(MAX(CD96:CI96)&gt;CI97+2+$B$18,1,0))</f>
        <v>0</v>
      </c>
      <c r="CJ101" s="387" t="n">
        <f aca="false">IF(84&lt;5,0,IF(MAX(CE96:CJ96)&gt;CJ97+2+$B$18,1,0))</f>
        <v>0</v>
      </c>
      <c r="CK101" s="387" t="n">
        <f aca="false">IF(85&lt;5,0,IF(MAX(CF96:CK96)&gt;CK97+2+$B$18,1,0))</f>
        <v>0</v>
      </c>
      <c r="CL101" s="387" t="n">
        <f aca="false">IF(86&lt;5,0,IF(MAX(CG96:CL96)&gt;CL97+2+$B$18,1,0))</f>
        <v>0</v>
      </c>
      <c r="CM101" s="387" t="n">
        <f aca="false">IF(87&lt;5,0,IF(MAX(CH96:CM96)&gt;CM97+2+$B$18,1,0))</f>
        <v>0</v>
      </c>
      <c r="CN101" s="387" t="n">
        <f aca="false">IF(88&lt;5,0,IF(MAX(CI96:CN96)&gt;CN97+2+$B$18,1,0))</f>
        <v>0</v>
      </c>
      <c r="CO101" s="387" t="n">
        <f aca="false">IF(89&lt;5,0,IF(MAX(CJ96:CO96)&gt;CO97+2+$B$18,1,0))</f>
        <v>0</v>
      </c>
      <c r="CP101" s="387" t="n">
        <f aca="false">IF(90&lt;5,0,IF(MAX(CK96:CP96)&gt;CP97+2+$B$18,1,0))</f>
        <v>0</v>
      </c>
      <c r="CQ101" s="387" t="n">
        <f aca="false">IF(91&lt;5,0,IF(MAX(CL96:CQ96)&gt;CQ97+2+$B$18,1,0))</f>
        <v>0</v>
      </c>
      <c r="CR101" s="387" t="n">
        <f aca="false">IF(92&lt;5,0,IF(MAX(CM96:CR96)&gt;CR97+2+$B$18,1,0))</f>
        <v>0</v>
      </c>
      <c r="CS101" s="387" t="n">
        <f aca="false">IF(93&lt;5,0,IF(MAX(CN96:CS96)&gt;CS97+2+$B$18,1,0))</f>
        <v>0</v>
      </c>
      <c r="CT101" s="387" t="n">
        <f aca="false">IF(94&lt;5,0,IF(MAX(CO96:CT96)&gt;CT97+2+$B$18,1,0))</f>
        <v>0</v>
      </c>
      <c r="CU101" s="387" t="n">
        <f aca="false">IF(95&lt;5,0,IF(MAX(CP96:CU96)&gt;CU97+2+$B$18,1,0))</f>
        <v>0</v>
      </c>
      <c r="CV101" s="387" t="n">
        <f aca="false">IF(96&lt;5,0,IF(MAX(CQ96:CV96)&gt;CV97+2+$B$18,1,0))</f>
        <v>0</v>
      </c>
      <c r="CW101" s="387" t="n">
        <f aca="false">IF(97&lt;5,0,IF(MAX(CR96:CW96)&gt;CW97+2+$B$18,1,0))</f>
        <v>0</v>
      </c>
      <c r="CX101" s="387" t="n">
        <f aca="false">IF(98&lt;5,0,IF(MAX(CS96:CX96)&gt;CX97+2+$B$18,1,0))</f>
        <v>0</v>
      </c>
      <c r="CY101" s="387" t="n">
        <f aca="false">IF(99&lt;5,0,IF(MAX(CT96:CY96)&gt;CY97+2+$B$18,1,0))</f>
        <v>0</v>
      </c>
      <c r="CZ101" s="387" t="n">
        <f aca="false">IF(100&lt;5,0,IF(MAX(CU96:CZ96)&gt;CZ97+2+$B$18,1,0))</f>
        <v>0</v>
      </c>
      <c r="DA101" s="387" t="n">
        <f aca="false">IF(101&lt;5,0,IF(MAX(CV96:DA96)&gt;DA97+2+$B$18,1,0))</f>
        <v>0</v>
      </c>
      <c r="DB101" s="387" t="n">
        <f aca="false">IF(102&lt;5,0,IF(MAX(CW96:DB96)&gt;DB97+2+$B$18,1,0))</f>
        <v>0</v>
      </c>
      <c r="DC101" s="387" t="n">
        <f aca="false">IF(103&lt;5,0,IF(MAX(CX96:DC96)&gt;DC97+2+$B$18,1,0))</f>
        <v>0</v>
      </c>
      <c r="DD101" s="387" t="n">
        <f aca="false">IF(104&lt;5,0,IF(MAX(CY96:DD96)&gt;DD97+2+$B$18,1,0))</f>
        <v>0</v>
      </c>
      <c r="DE101" s="387" t="n">
        <f aca="false">IF(105&lt;5,0,IF(MAX(CZ96:DE96)&gt;DE97+2+$B$18,1,0))</f>
        <v>0</v>
      </c>
    </row>
    <row r="102" customFormat="false" ht="13.5" hidden="false" customHeight="true" outlineLevel="0" collapsed="false">
      <c r="A102" s="110" t="s">
        <v>1429</v>
      </c>
      <c r="B102" s="213" t="n">
        <f aca="false">$B$27</f>
        <v>125000</v>
      </c>
      <c r="E102" s="387" t="n">
        <f aca="false">IF(1&lt;5,0,IF(MAX(E96)&gt;E97+3+$B$18,1,0))</f>
        <v>0</v>
      </c>
      <c r="F102" s="387" t="n">
        <f aca="false">IF(2&lt;5,0,IF(MAX(E96:F96)&gt;F97+3+$B$18,1,0))</f>
        <v>0</v>
      </c>
      <c r="G102" s="387" t="n">
        <f aca="false">IF(3&lt;5,0,IF(MAX(E96:G96)&gt;G97+3+$B$18,1,0))</f>
        <v>0</v>
      </c>
      <c r="H102" s="387" t="n">
        <f aca="false">IF(4&lt;5,0,IF(MAX(E96:H96)&gt;H97+3+$B$18,1,0))</f>
        <v>0</v>
      </c>
      <c r="I102" s="387" t="n">
        <f aca="false">IF(5&lt;5,0,IF(MAX(E96:I96)&gt;I97+3+$B$18,1,0))</f>
        <v>0</v>
      </c>
      <c r="J102" s="387" t="n">
        <f aca="false">IF(6&lt;5,0,IF(MAX(E96:J96)&gt;J97+3+$B$18,1,0))</f>
        <v>0</v>
      </c>
      <c r="K102" s="387" t="n">
        <f aca="false">IF(7&lt;5,0,IF(MAX(F96:K96)&gt;K97+3+$B$18,1,0))</f>
        <v>0</v>
      </c>
      <c r="L102" s="387" t="n">
        <f aca="false">IF(8&lt;5,0,IF(MAX(G96:L96)&gt;L97+3+$B$18,1,0))</f>
        <v>0</v>
      </c>
      <c r="M102" s="387" t="n">
        <f aca="false">IF(9&lt;5,0,IF(MAX(H96:M96)&gt;M97+3+$B$18,1,0))</f>
        <v>0</v>
      </c>
      <c r="N102" s="387" t="n">
        <f aca="false">IF(10&lt;5,0,IF(MAX(I96:N96)&gt;N97+3+$B$18,1,0))</f>
        <v>0</v>
      </c>
      <c r="O102" s="387" t="n">
        <f aca="false">IF(11&lt;5,0,IF(MAX(J96:O96)&gt;O97+3+$B$18,1,0))</f>
        <v>0</v>
      </c>
      <c r="P102" s="387" t="n">
        <f aca="false">IF(12&lt;5,0,IF(MAX(K96:P96)&gt;P97+3+$B$18,1,0))</f>
        <v>0</v>
      </c>
      <c r="Q102" s="387" t="n">
        <f aca="false">IF(13&lt;5,0,IF(MAX(L96:Q96)&gt;Q97+3+$B$18,1,0))</f>
        <v>0</v>
      </c>
      <c r="R102" s="387" t="n">
        <f aca="false">IF(14&lt;5,0,IF(MAX(M96:R96)&gt;R97+3+$B$18,1,0))</f>
        <v>0</v>
      </c>
      <c r="S102" s="387" t="n">
        <f aca="false">IF(15&lt;5,0,IF(MAX(N96:S96)&gt;S97+3+$B$18,1,0))</f>
        <v>1</v>
      </c>
      <c r="T102" s="387" t="n">
        <f aca="false">IF(16&lt;5,0,IF(MAX(O96:T96)&gt;T97+3+$B$18,1,0))</f>
        <v>1</v>
      </c>
      <c r="U102" s="387" t="n">
        <f aca="false">IF(17&lt;5,0,IF(MAX(P96:U96)&gt;U97+3+$B$18,1,0))</f>
        <v>1</v>
      </c>
      <c r="V102" s="387" t="n">
        <f aca="false">IF(18&lt;5,0,IF(MAX(Q96:V96)&gt;V97+3+$B$18,1,0))</f>
        <v>1</v>
      </c>
      <c r="W102" s="387" t="n">
        <f aca="false">IF(19&lt;5,0,IF(MAX(R96:W96)&gt;W97+3+$B$18,1,0))</f>
        <v>1</v>
      </c>
      <c r="X102" s="387" t="n">
        <f aca="false">IF(20&lt;5,0,IF(MAX(S96:X96)&gt;X97+3+$B$18,1,0))</f>
        <v>1</v>
      </c>
      <c r="Y102" s="387" t="n">
        <f aca="false">IF(21&lt;5,0,IF(MAX(T96:Y96)&gt;Y97+3+$B$18,1,0))</f>
        <v>1</v>
      </c>
      <c r="Z102" s="387" t="n">
        <f aca="false">IF(22&lt;5,0,IF(MAX(U96:Z96)&gt;Z97+3+$B$18,1,0))</f>
        <v>1</v>
      </c>
      <c r="AA102" s="387" t="n">
        <f aca="false">IF(23&lt;5,0,IF(MAX(V96:AA96)&gt;AA97+3+$B$18,1,0))</f>
        <v>1</v>
      </c>
      <c r="AB102" s="387" t="n">
        <f aca="false">IF(24&lt;5,0,IF(MAX(W96:AB96)&gt;AB97+3+$B$18,1,0))</f>
        <v>1</v>
      </c>
      <c r="AC102" s="387" t="n">
        <f aca="false">IF(25&lt;5,0,IF(MAX(X96:AC96)&gt;AC97+3+$B$18,1,0))</f>
        <v>1</v>
      </c>
      <c r="AD102" s="387" t="n">
        <f aca="false">IF(26&lt;5,0,IF(MAX(Y96:AD96)&gt;AD97+3+$B$18,1,0))</f>
        <v>0</v>
      </c>
      <c r="AE102" s="387" t="n">
        <f aca="false">IF(27&lt;5,0,IF(MAX(Z96:AE96)&gt;AE97+3+$B$18,1,0))</f>
        <v>0</v>
      </c>
      <c r="AF102" s="387" t="n">
        <f aca="false">IF(28&lt;5,0,IF(MAX(AA96:AF96)&gt;AF97+3+$B$18,1,0))</f>
        <v>0</v>
      </c>
      <c r="AG102" s="387" t="n">
        <f aca="false">IF(29&lt;5,0,IF(MAX(AB96:AG96)&gt;AG97+3+$B$18,1,0))</f>
        <v>0</v>
      </c>
      <c r="AH102" s="387" t="n">
        <f aca="false">IF(30&lt;5,0,IF(MAX(AC96:AH96)&gt;AH97+3+$B$18,1,0))</f>
        <v>0</v>
      </c>
      <c r="AI102" s="387" t="n">
        <f aca="false">IF(31&lt;5,0,IF(MAX(AD96:AI96)&gt;AI97+3+$B$18,1,0))</f>
        <v>0</v>
      </c>
      <c r="AJ102" s="387" t="n">
        <f aca="false">IF(32&lt;5,0,IF(MAX(AE96:AJ96)&gt;AJ97+3+$B$18,1,0))</f>
        <v>0</v>
      </c>
      <c r="AK102" s="387" t="n">
        <f aca="false">IF(33&lt;5,0,IF(MAX(AF96:AK96)&gt;AK97+3+$B$18,1,0))</f>
        <v>0</v>
      </c>
      <c r="AL102" s="387" t="n">
        <f aca="false">IF(34&lt;5,0,IF(MAX(AG96:AL96)&gt;AL97+3+$B$18,1,0))</f>
        <v>0</v>
      </c>
      <c r="AM102" s="387" t="n">
        <f aca="false">IF(35&lt;5,0,IF(MAX(AH96:AM96)&gt;AM97+3+$B$18,1,0))</f>
        <v>0</v>
      </c>
      <c r="AN102" s="387" t="n">
        <f aca="false">IF(36&lt;5,0,IF(MAX(AI96:AN96)&gt;AN97+3+$B$18,1,0))</f>
        <v>0</v>
      </c>
      <c r="AO102" s="387" t="n">
        <f aca="false">IF(37&lt;5,0,IF(MAX(AJ96:AO96)&gt;AO97+3+$B$18,1,0))</f>
        <v>0</v>
      </c>
      <c r="AP102" s="387" t="n">
        <f aca="false">IF(38&lt;5,0,IF(MAX(AK96:AP96)&gt;AP97+3+$B$18,1,0))</f>
        <v>0</v>
      </c>
      <c r="AQ102" s="387" t="n">
        <f aca="false">IF(39&lt;5,0,IF(MAX(AL96:AQ96)&gt;AQ97+3+$B$18,1,0))</f>
        <v>0</v>
      </c>
      <c r="AR102" s="387" t="n">
        <f aca="false">IF(40&lt;5,0,IF(MAX(AM96:AR96)&gt;AR97+3+$B$18,1,0))</f>
        <v>0</v>
      </c>
      <c r="AS102" s="387" t="n">
        <f aca="false">IF(41&lt;5,0,IF(MAX(AN96:AS96)&gt;AS97+3+$B$18,1,0))</f>
        <v>0</v>
      </c>
      <c r="AT102" s="387" t="n">
        <f aca="false">IF(42&lt;5,0,IF(MAX(AO96:AT96)&gt;AT97+3+$B$18,1,0))</f>
        <v>0</v>
      </c>
      <c r="AU102" s="387" t="n">
        <f aca="false">IF(43&lt;5,0,IF(MAX(AP96:AU96)&gt;AU97+3+$B$18,1,0))</f>
        <v>0</v>
      </c>
      <c r="AV102" s="387" t="n">
        <f aca="false">IF(44&lt;5,0,IF(MAX(AQ96:AV96)&gt;AV97+3+$B$18,1,0))</f>
        <v>0</v>
      </c>
      <c r="AW102" s="387" t="n">
        <f aca="false">IF(45&lt;5,0,IF(MAX(AR96:AW96)&gt;AW97+3+$B$18,1,0))</f>
        <v>0</v>
      </c>
      <c r="AX102" s="387" t="n">
        <f aca="false">IF(46&lt;5,0,IF(MAX(AS96:AX96)&gt;AX97+3+$B$18,1,0))</f>
        <v>0</v>
      </c>
      <c r="AY102" s="387" t="n">
        <f aca="false">IF(47&lt;5,0,IF(MAX(AT96:AY96)&gt;AY97+3+$B$18,1,0))</f>
        <v>0</v>
      </c>
      <c r="AZ102" s="387" t="n">
        <f aca="false">IF(48&lt;5,0,IF(MAX(AU96:AZ96)&gt;AZ97+3+$B$18,1,0))</f>
        <v>0</v>
      </c>
      <c r="BA102" s="387" t="n">
        <f aca="false">IF(49&lt;5,0,IF(MAX(AV96:BA96)&gt;BA97+3+$B$18,1,0))</f>
        <v>0</v>
      </c>
      <c r="BB102" s="387" t="n">
        <f aca="false">IF(50&lt;5,0,IF(MAX(AW96:BB96)&gt;BB97+3+$B$18,1,0))</f>
        <v>0</v>
      </c>
      <c r="BC102" s="387" t="n">
        <f aca="false">IF(51&lt;5,0,IF(MAX(AX96:BC96)&gt;BC97+3+$B$18,1,0))</f>
        <v>0</v>
      </c>
      <c r="BD102" s="387" t="n">
        <f aca="false">IF(52&lt;5,0,IF(MAX(AY96:BD96)&gt;BD97+3+$B$18,1,0))</f>
        <v>0</v>
      </c>
      <c r="BE102" s="387" t="n">
        <f aca="false">IF(53&lt;5,0,IF(MAX(AZ96:BE96)&gt;BE97+3+$B$18,1,0))</f>
        <v>0</v>
      </c>
      <c r="BF102" s="387" t="n">
        <f aca="false">IF(54&lt;5,0,IF(MAX(BA96:BF96)&gt;BF97+3+$B$18,1,0))</f>
        <v>0</v>
      </c>
      <c r="BG102" s="387" t="n">
        <f aca="false">IF(55&lt;5,0,IF(MAX(BB96:BG96)&gt;BG97+3+$B$18,1,0))</f>
        <v>0</v>
      </c>
      <c r="BH102" s="387" t="n">
        <f aca="false">IF(56&lt;5,0,IF(MAX(BC96:BH96)&gt;BH97+3+$B$18,1,0))</f>
        <v>0</v>
      </c>
      <c r="BI102" s="387" t="n">
        <f aca="false">IF(57&lt;5,0,IF(MAX(BD96:BI96)&gt;BI97+3+$B$18,1,0))</f>
        <v>0</v>
      </c>
      <c r="BJ102" s="387" t="n">
        <f aca="false">IF(58&lt;5,0,IF(MAX(BE96:BJ96)&gt;BJ97+3+$B$18,1,0))</f>
        <v>0</v>
      </c>
      <c r="BK102" s="387" t="n">
        <f aca="false">IF(59&lt;5,0,IF(MAX(BF96:BK96)&gt;BK97+3+$B$18,1,0))</f>
        <v>0</v>
      </c>
      <c r="BL102" s="387" t="n">
        <f aca="false">IF(60&lt;5,0,IF(MAX(BG96:BL96)&gt;BL97+3+$B$18,1,0))</f>
        <v>0</v>
      </c>
      <c r="BM102" s="387" t="n">
        <f aca="false">IF(61&lt;5,0,IF(MAX(BH96:BM96)&gt;BM97+3+$B$18,1,0))</f>
        <v>0</v>
      </c>
      <c r="BN102" s="387" t="n">
        <f aca="false">IF(62&lt;5,0,IF(MAX(BI96:BN96)&gt;BN97+3+$B$18,1,0))</f>
        <v>0</v>
      </c>
      <c r="BO102" s="387" t="n">
        <f aca="false">IF(63&lt;5,0,IF(MAX(BJ96:BO96)&gt;BO97+3+$B$18,1,0))</f>
        <v>0</v>
      </c>
      <c r="BP102" s="387" t="n">
        <f aca="false">IF(64&lt;5,0,IF(MAX(BK96:BP96)&gt;BP97+3+$B$18,1,0))</f>
        <v>0</v>
      </c>
      <c r="BQ102" s="387" t="n">
        <f aca="false">IF(65&lt;5,0,IF(MAX(BL96:BQ96)&gt;BQ97+3+$B$18,1,0))</f>
        <v>0</v>
      </c>
      <c r="BR102" s="387" t="n">
        <f aca="false">IF(66&lt;5,0,IF(MAX(BM96:BR96)&gt;BR97+3+$B$18,1,0))</f>
        <v>0</v>
      </c>
      <c r="BS102" s="387" t="n">
        <f aca="false">IF(67&lt;5,0,IF(MAX(BN96:BS96)&gt;BS97+3+$B$18,1,0))</f>
        <v>0</v>
      </c>
      <c r="BT102" s="387" t="n">
        <f aca="false">IF(68&lt;5,0,IF(MAX(BO96:BT96)&gt;BT97+3+$B$18,1,0))</f>
        <v>0</v>
      </c>
      <c r="BU102" s="387" t="n">
        <f aca="false">IF(69&lt;5,0,IF(MAX(BP96:BU96)&gt;BU97+3+$B$18,1,0))</f>
        <v>0</v>
      </c>
      <c r="BV102" s="387" t="n">
        <f aca="false">IF(70&lt;5,0,IF(MAX(BQ96:BV96)&gt;BV97+3+$B$18,1,0))</f>
        <v>0</v>
      </c>
      <c r="BW102" s="387" t="n">
        <f aca="false">IF(71&lt;5,0,IF(MAX(BR96:BW96)&gt;BW97+3+$B$18,1,0))</f>
        <v>0</v>
      </c>
      <c r="BX102" s="387" t="n">
        <f aca="false">IF(72&lt;5,0,IF(MAX(BS96:BX96)&gt;BX97+3+$B$18,1,0))</f>
        <v>0</v>
      </c>
      <c r="BY102" s="387" t="n">
        <f aca="false">IF(73&lt;5,0,IF(MAX(BT96:BY96)&gt;BY97+3+$B$18,1,0))</f>
        <v>0</v>
      </c>
      <c r="BZ102" s="387" t="n">
        <f aca="false">IF(74&lt;5,0,IF(MAX(BU96:BZ96)&gt;BZ97+3+$B$18,1,0))</f>
        <v>0</v>
      </c>
      <c r="CA102" s="387" t="n">
        <f aca="false">IF(75&lt;5,0,IF(MAX(BV96:CA96)&gt;CA97+3+$B$18,1,0))</f>
        <v>0</v>
      </c>
      <c r="CB102" s="387" t="n">
        <f aca="false">IF(76&lt;5,0,IF(MAX(BW96:CB96)&gt;CB97+3+$B$18,1,0))</f>
        <v>0</v>
      </c>
      <c r="CC102" s="387" t="n">
        <f aca="false">IF(77&lt;5,0,IF(MAX(BX96:CC96)&gt;CC97+3+$B$18,1,0))</f>
        <v>0</v>
      </c>
      <c r="CD102" s="387" t="n">
        <f aca="false">IF(78&lt;5,0,IF(MAX(BY96:CD96)&gt;CD97+3+$B$18,1,0))</f>
        <v>0</v>
      </c>
      <c r="CE102" s="387" t="n">
        <f aca="false">IF(79&lt;5,0,IF(MAX(BZ96:CE96)&gt;CE97+3+$B$18,1,0))</f>
        <v>0</v>
      </c>
      <c r="CF102" s="387" t="n">
        <f aca="false">IF(80&lt;5,0,IF(MAX(CA96:CF96)&gt;CF97+3+$B$18,1,0))</f>
        <v>0</v>
      </c>
      <c r="CG102" s="387" t="n">
        <f aca="false">IF(81&lt;5,0,IF(MAX(CB96:CG96)&gt;CG97+3+$B$18,1,0))</f>
        <v>0</v>
      </c>
      <c r="CH102" s="387" t="n">
        <f aca="false">IF(82&lt;5,0,IF(MAX(CC96:CH96)&gt;CH97+3+$B$18,1,0))</f>
        <v>0</v>
      </c>
      <c r="CI102" s="387" t="n">
        <f aca="false">IF(83&lt;5,0,IF(MAX(CD96:CI96)&gt;CI97+3+$B$18,1,0))</f>
        <v>0</v>
      </c>
      <c r="CJ102" s="387" t="n">
        <f aca="false">IF(84&lt;5,0,IF(MAX(CE96:CJ96)&gt;CJ97+3+$B$18,1,0))</f>
        <v>0</v>
      </c>
      <c r="CK102" s="387" t="n">
        <f aca="false">IF(85&lt;5,0,IF(MAX(CF96:CK96)&gt;CK97+3+$B$18,1,0))</f>
        <v>0</v>
      </c>
      <c r="CL102" s="387" t="n">
        <f aca="false">IF(86&lt;5,0,IF(MAX(CG96:CL96)&gt;CL97+3+$B$18,1,0))</f>
        <v>0</v>
      </c>
      <c r="CM102" s="387" t="n">
        <f aca="false">IF(87&lt;5,0,IF(MAX(CH96:CM96)&gt;CM97+3+$B$18,1,0))</f>
        <v>0</v>
      </c>
      <c r="CN102" s="387" t="n">
        <f aca="false">IF(88&lt;5,0,IF(MAX(CI96:CN96)&gt;CN97+3+$B$18,1,0))</f>
        <v>0</v>
      </c>
      <c r="CO102" s="387" t="n">
        <f aca="false">IF(89&lt;5,0,IF(MAX(CJ96:CO96)&gt;CO97+3+$B$18,1,0))</f>
        <v>0</v>
      </c>
      <c r="CP102" s="387" t="n">
        <f aca="false">IF(90&lt;5,0,IF(MAX(CK96:CP96)&gt;CP97+3+$B$18,1,0))</f>
        <v>0</v>
      </c>
      <c r="CQ102" s="387" t="n">
        <f aca="false">IF(91&lt;5,0,IF(MAX(CL96:CQ96)&gt;CQ97+3+$B$18,1,0))</f>
        <v>0</v>
      </c>
      <c r="CR102" s="387" t="n">
        <f aca="false">IF(92&lt;5,0,IF(MAX(CM96:CR96)&gt;CR97+3+$B$18,1,0))</f>
        <v>0</v>
      </c>
      <c r="CS102" s="387" t="n">
        <f aca="false">IF(93&lt;5,0,IF(MAX(CN96:CS96)&gt;CS97+3+$B$18,1,0))</f>
        <v>0</v>
      </c>
      <c r="CT102" s="387" t="n">
        <f aca="false">IF(94&lt;5,0,IF(MAX(CO96:CT96)&gt;CT97+3+$B$18,1,0))</f>
        <v>0</v>
      </c>
      <c r="CU102" s="387" t="n">
        <f aca="false">IF(95&lt;5,0,IF(MAX(CP96:CU96)&gt;CU97+3+$B$18,1,0))</f>
        <v>0</v>
      </c>
      <c r="CV102" s="387" t="n">
        <f aca="false">IF(96&lt;5,0,IF(MAX(CQ96:CV96)&gt;CV97+3+$B$18,1,0))</f>
        <v>0</v>
      </c>
      <c r="CW102" s="387" t="n">
        <f aca="false">IF(97&lt;5,0,IF(MAX(CR96:CW96)&gt;CW97+3+$B$18,1,0))</f>
        <v>0</v>
      </c>
      <c r="CX102" s="387" t="n">
        <f aca="false">IF(98&lt;5,0,IF(MAX(CS96:CX96)&gt;CX97+3+$B$18,1,0))</f>
        <v>0</v>
      </c>
      <c r="CY102" s="387" t="n">
        <f aca="false">IF(99&lt;5,0,IF(MAX(CT96:CY96)&gt;CY97+3+$B$18,1,0))</f>
        <v>0</v>
      </c>
      <c r="CZ102" s="387" t="n">
        <f aca="false">IF(100&lt;5,0,IF(MAX(CU96:CZ96)&gt;CZ97+3+$B$18,1,0))</f>
        <v>0</v>
      </c>
      <c r="DA102" s="387" t="n">
        <f aca="false">IF(101&lt;5,0,IF(MAX(CV96:DA96)&gt;DA97+3+$B$18,1,0))</f>
        <v>0</v>
      </c>
      <c r="DB102" s="387" t="n">
        <f aca="false">IF(102&lt;5,0,IF(MAX(CW96:DB96)&gt;DB97+3+$B$18,1,0))</f>
        <v>0</v>
      </c>
      <c r="DC102" s="387" t="n">
        <f aca="false">IF(103&lt;5,0,IF(MAX(CX96:DC96)&gt;DC97+3+$B$18,1,0))</f>
        <v>0</v>
      </c>
      <c r="DD102" s="387" t="n">
        <f aca="false">IF(104&lt;5,0,IF(MAX(CY96:DD96)&gt;DD97+3+$B$18,1,0))</f>
        <v>0</v>
      </c>
      <c r="DE102" s="387" t="n">
        <f aca="false">IF(105&lt;5,0,IF(MAX(CZ96:DE96)&gt;DE97+3+$B$18,1,0))</f>
        <v>0</v>
      </c>
    </row>
    <row r="103" customFormat="false" ht="13.5" hidden="false" customHeight="true" outlineLevel="0" collapsed="false">
      <c r="A103" s="110" t="s">
        <v>1430</v>
      </c>
      <c r="B103" s="213" t="n">
        <f aca="false">$B$27</f>
        <v>125000</v>
      </c>
      <c r="E103" s="387" t="n">
        <f aca="false">IF(1&lt;5,0,IF(MAX(E96)&gt;E97+4+$B$18,1,0))</f>
        <v>0</v>
      </c>
      <c r="F103" s="387" t="n">
        <f aca="false">IF(2&lt;5,0,IF(MAX(E96:F96)&gt;F97+4+$B$18,1,0))</f>
        <v>0</v>
      </c>
      <c r="G103" s="387" t="n">
        <f aca="false">IF(3&lt;5,0,IF(MAX(E96:G96)&gt;G97+4+$B$18,1,0))</f>
        <v>0</v>
      </c>
      <c r="H103" s="387" t="n">
        <f aca="false">IF(4&lt;5,0,IF(MAX(E96:H96)&gt;H97+4+$B$18,1,0))</f>
        <v>0</v>
      </c>
      <c r="I103" s="387" t="n">
        <f aca="false">IF(5&lt;5,0,IF(MAX(E96:I96)&gt;I97+4+$B$18,1,0))</f>
        <v>0</v>
      </c>
      <c r="J103" s="387" t="n">
        <f aca="false">IF(6&lt;5,0,IF(MAX(E96:J96)&gt;J97+4+$B$18,1,0))</f>
        <v>0</v>
      </c>
      <c r="K103" s="387" t="n">
        <f aca="false">IF(7&lt;5,0,IF(MAX(F96:K96)&gt;K97+4+$B$18,1,0))</f>
        <v>0</v>
      </c>
      <c r="L103" s="387" t="n">
        <f aca="false">IF(8&lt;5,0,IF(MAX(G96:L96)&gt;L97+4+$B$18,1,0))</f>
        <v>0</v>
      </c>
      <c r="M103" s="387" t="n">
        <f aca="false">IF(9&lt;5,0,IF(MAX(H96:M96)&gt;M97+4+$B$18,1,0))</f>
        <v>0</v>
      </c>
      <c r="N103" s="387" t="n">
        <f aca="false">IF(10&lt;5,0,IF(MAX(I96:N96)&gt;N97+4+$B$18,1,0))</f>
        <v>0</v>
      </c>
      <c r="O103" s="387" t="n">
        <f aca="false">IF(11&lt;5,0,IF(MAX(J96:O96)&gt;O97+4+$B$18,1,0))</f>
        <v>0</v>
      </c>
      <c r="P103" s="387" t="n">
        <f aca="false">IF(12&lt;5,0,IF(MAX(K96:P96)&gt;P97+4+$B$18,1,0))</f>
        <v>0</v>
      </c>
      <c r="Q103" s="387" t="n">
        <f aca="false">IF(13&lt;5,0,IF(MAX(L96:Q96)&gt;Q97+4+$B$18,1,0))</f>
        <v>0</v>
      </c>
      <c r="R103" s="387" t="n">
        <f aca="false">IF(14&lt;5,0,IF(MAX(M96:R96)&gt;R97+4+$B$18,1,0))</f>
        <v>0</v>
      </c>
      <c r="S103" s="387" t="n">
        <f aca="false">IF(15&lt;5,0,IF(MAX(N96:S96)&gt;S97+4+$B$18,1,0))</f>
        <v>0</v>
      </c>
      <c r="T103" s="387" t="n">
        <f aca="false">IF(16&lt;5,0,IF(MAX(O96:T96)&gt;T97+4+$B$18,1,0))</f>
        <v>0</v>
      </c>
      <c r="U103" s="387" t="n">
        <f aca="false">IF(17&lt;5,0,IF(MAX(P96:U96)&gt;U97+4+$B$18,1,0))</f>
        <v>0</v>
      </c>
      <c r="V103" s="387" t="n">
        <f aca="false">IF(18&lt;5,0,IF(MAX(Q96:V96)&gt;V97+4+$B$18,1,0))</f>
        <v>0</v>
      </c>
      <c r="W103" s="387" t="n">
        <f aca="false">IF(19&lt;5,0,IF(MAX(R96:W96)&gt;W97+4+$B$18,1,0))</f>
        <v>0</v>
      </c>
      <c r="X103" s="387" t="n">
        <f aca="false">IF(20&lt;5,0,IF(MAX(S96:X96)&gt;X97+4+$B$18,1,0))</f>
        <v>0</v>
      </c>
      <c r="Y103" s="387" t="n">
        <f aca="false">IF(21&lt;5,0,IF(MAX(T96:Y96)&gt;Y97+4+$B$18,1,0))</f>
        <v>0</v>
      </c>
      <c r="Z103" s="387" t="n">
        <f aca="false">IF(22&lt;5,0,IF(MAX(U96:Z96)&gt;Z97+4+$B$18,1,0))</f>
        <v>0</v>
      </c>
      <c r="AA103" s="387" t="n">
        <f aca="false">IF(23&lt;5,0,IF(MAX(V96:AA96)&gt;AA97+4+$B$18,1,0))</f>
        <v>0</v>
      </c>
      <c r="AB103" s="387" t="n">
        <f aca="false">IF(24&lt;5,0,IF(MAX(W96:AB96)&gt;AB97+4+$B$18,1,0))</f>
        <v>0</v>
      </c>
      <c r="AC103" s="387" t="n">
        <f aca="false">IF(25&lt;5,0,IF(MAX(X96:AC96)&gt;AC97+4+$B$18,1,0))</f>
        <v>0</v>
      </c>
      <c r="AD103" s="387" t="n">
        <f aca="false">IF(26&lt;5,0,IF(MAX(Y96:AD96)&gt;AD97+4+$B$18,1,0))</f>
        <v>0</v>
      </c>
      <c r="AE103" s="387" t="n">
        <f aca="false">IF(27&lt;5,0,IF(MAX(Z96:AE96)&gt;AE97+4+$B$18,1,0))</f>
        <v>0</v>
      </c>
      <c r="AF103" s="387" t="n">
        <f aca="false">IF(28&lt;5,0,IF(MAX(AA96:AF96)&gt;AF97+4+$B$18,1,0))</f>
        <v>0</v>
      </c>
      <c r="AG103" s="387" t="n">
        <f aca="false">IF(29&lt;5,0,IF(MAX(AB96:AG96)&gt;AG97+4+$B$18,1,0))</f>
        <v>0</v>
      </c>
      <c r="AH103" s="387" t="n">
        <f aca="false">IF(30&lt;5,0,IF(MAX(AC96:AH96)&gt;AH97+4+$B$18,1,0))</f>
        <v>0</v>
      </c>
      <c r="AI103" s="387" t="n">
        <f aca="false">IF(31&lt;5,0,IF(MAX(AD96:AI96)&gt;AI97+4+$B$18,1,0))</f>
        <v>0</v>
      </c>
      <c r="AJ103" s="387" t="n">
        <f aca="false">IF(32&lt;5,0,IF(MAX(AE96:AJ96)&gt;AJ97+4+$B$18,1,0))</f>
        <v>0</v>
      </c>
      <c r="AK103" s="387" t="n">
        <f aca="false">IF(33&lt;5,0,IF(MAX(AF96:AK96)&gt;AK97+4+$B$18,1,0))</f>
        <v>0</v>
      </c>
      <c r="AL103" s="387" t="n">
        <f aca="false">IF(34&lt;5,0,IF(MAX(AG96:AL96)&gt;AL97+4+$B$18,1,0))</f>
        <v>0</v>
      </c>
      <c r="AM103" s="387" t="n">
        <f aca="false">IF(35&lt;5,0,IF(MAX(AH96:AM96)&gt;AM97+4+$B$18,1,0))</f>
        <v>0</v>
      </c>
      <c r="AN103" s="387" t="n">
        <f aca="false">IF(36&lt;5,0,IF(MAX(AI96:AN96)&gt;AN97+4+$B$18,1,0))</f>
        <v>0</v>
      </c>
      <c r="AO103" s="387" t="n">
        <f aca="false">IF(37&lt;5,0,IF(MAX(AJ96:AO96)&gt;AO97+4+$B$18,1,0))</f>
        <v>0</v>
      </c>
      <c r="AP103" s="387" t="n">
        <f aca="false">IF(38&lt;5,0,IF(MAX(AK96:AP96)&gt;AP97+4+$B$18,1,0))</f>
        <v>0</v>
      </c>
      <c r="AQ103" s="387" t="n">
        <f aca="false">IF(39&lt;5,0,IF(MAX(AL96:AQ96)&gt;AQ97+4+$B$18,1,0))</f>
        <v>0</v>
      </c>
      <c r="AR103" s="387" t="n">
        <f aca="false">IF(40&lt;5,0,IF(MAX(AM96:AR96)&gt;AR97+4+$B$18,1,0))</f>
        <v>0</v>
      </c>
      <c r="AS103" s="387" t="n">
        <f aca="false">IF(41&lt;5,0,IF(MAX(AN96:AS96)&gt;AS97+4+$B$18,1,0))</f>
        <v>0</v>
      </c>
      <c r="AT103" s="387" t="n">
        <f aca="false">IF(42&lt;5,0,IF(MAX(AO96:AT96)&gt;AT97+4+$B$18,1,0))</f>
        <v>0</v>
      </c>
      <c r="AU103" s="387" t="n">
        <f aca="false">IF(43&lt;5,0,IF(MAX(AP96:AU96)&gt;AU97+4+$B$18,1,0))</f>
        <v>0</v>
      </c>
      <c r="AV103" s="387" t="n">
        <f aca="false">IF(44&lt;5,0,IF(MAX(AQ96:AV96)&gt;AV97+4+$B$18,1,0))</f>
        <v>0</v>
      </c>
      <c r="AW103" s="387" t="n">
        <f aca="false">IF(45&lt;5,0,IF(MAX(AR96:AW96)&gt;AW97+4+$B$18,1,0))</f>
        <v>0</v>
      </c>
      <c r="AX103" s="387" t="n">
        <f aca="false">IF(46&lt;5,0,IF(MAX(AS96:AX96)&gt;AX97+4+$B$18,1,0))</f>
        <v>0</v>
      </c>
      <c r="AY103" s="387" t="n">
        <f aca="false">IF(47&lt;5,0,IF(MAX(AT96:AY96)&gt;AY97+4+$B$18,1,0))</f>
        <v>0</v>
      </c>
      <c r="AZ103" s="387" t="n">
        <f aca="false">IF(48&lt;5,0,IF(MAX(AU96:AZ96)&gt;AZ97+4+$B$18,1,0))</f>
        <v>0</v>
      </c>
      <c r="BA103" s="387" t="n">
        <f aca="false">IF(49&lt;5,0,IF(MAX(AV96:BA96)&gt;BA97+4+$B$18,1,0))</f>
        <v>0</v>
      </c>
      <c r="BB103" s="387" t="n">
        <f aca="false">IF(50&lt;5,0,IF(MAX(AW96:BB96)&gt;BB97+4+$B$18,1,0))</f>
        <v>0</v>
      </c>
      <c r="BC103" s="387" t="n">
        <f aca="false">IF(51&lt;5,0,IF(MAX(AX96:BC96)&gt;BC97+4+$B$18,1,0))</f>
        <v>0</v>
      </c>
      <c r="BD103" s="387" t="n">
        <f aca="false">IF(52&lt;5,0,IF(MAX(AY96:BD96)&gt;BD97+4+$B$18,1,0))</f>
        <v>0</v>
      </c>
      <c r="BE103" s="387" t="n">
        <f aca="false">IF(53&lt;5,0,IF(MAX(AZ96:BE96)&gt;BE97+4+$B$18,1,0))</f>
        <v>0</v>
      </c>
      <c r="BF103" s="387" t="n">
        <f aca="false">IF(54&lt;5,0,IF(MAX(BA96:BF96)&gt;BF97+4+$B$18,1,0))</f>
        <v>0</v>
      </c>
      <c r="BG103" s="387" t="n">
        <f aca="false">IF(55&lt;5,0,IF(MAX(BB96:BG96)&gt;BG97+4+$B$18,1,0))</f>
        <v>0</v>
      </c>
      <c r="BH103" s="387" t="n">
        <f aca="false">IF(56&lt;5,0,IF(MAX(BC96:BH96)&gt;BH97+4+$B$18,1,0))</f>
        <v>0</v>
      </c>
      <c r="BI103" s="387" t="n">
        <f aca="false">IF(57&lt;5,0,IF(MAX(BD96:BI96)&gt;BI97+4+$B$18,1,0))</f>
        <v>0</v>
      </c>
      <c r="BJ103" s="387" t="n">
        <f aca="false">IF(58&lt;5,0,IF(MAX(BE96:BJ96)&gt;BJ97+4+$B$18,1,0))</f>
        <v>0</v>
      </c>
      <c r="BK103" s="387" t="n">
        <f aca="false">IF(59&lt;5,0,IF(MAX(BF96:BK96)&gt;BK97+4+$B$18,1,0))</f>
        <v>0</v>
      </c>
      <c r="BL103" s="387" t="n">
        <f aca="false">IF(60&lt;5,0,IF(MAX(BG96:BL96)&gt;BL97+4+$B$18,1,0))</f>
        <v>0</v>
      </c>
      <c r="BM103" s="387" t="n">
        <f aca="false">IF(61&lt;5,0,IF(MAX(BH96:BM96)&gt;BM97+4+$B$18,1,0))</f>
        <v>0</v>
      </c>
      <c r="BN103" s="387" t="n">
        <f aca="false">IF(62&lt;5,0,IF(MAX(BI96:BN96)&gt;BN97+4+$B$18,1,0))</f>
        <v>0</v>
      </c>
      <c r="BO103" s="387" t="n">
        <f aca="false">IF(63&lt;5,0,IF(MAX(BJ96:BO96)&gt;BO97+4+$B$18,1,0))</f>
        <v>0</v>
      </c>
      <c r="BP103" s="387" t="n">
        <f aca="false">IF(64&lt;5,0,IF(MAX(BK96:BP96)&gt;BP97+4+$B$18,1,0))</f>
        <v>0</v>
      </c>
      <c r="BQ103" s="387" t="n">
        <f aca="false">IF(65&lt;5,0,IF(MAX(BL96:BQ96)&gt;BQ97+4+$B$18,1,0))</f>
        <v>0</v>
      </c>
      <c r="BR103" s="387" t="n">
        <f aca="false">IF(66&lt;5,0,IF(MAX(BM96:BR96)&gt;BR97+4+$B$18,1,0))</f>
        <v>0</v>
      </c>
      <c r="BS103" s="387" t="n">
        <f aca="false">IF(67&lt;5,0,IF(MAX(BN96:BS96)&gt;BS97+4+$B$18,1,0))</f>
        <v>0</v>
      </c>
      <c r="BT103" s="387" t="n">
        <f aca="false">IF(68&lt;5,0,IF(MAX(BO96:BT96)&gt;BT97+4+$B$18,1,0))</f>
        <v>0</v>
      </c>
      <c r="BU103" s="387" t="n">
        <f aca="false">IF(69&lt;5,0,IF(MAX(BP96:BU96)&gt;BU97+4+$B$18,1,0))</f>
        <v>0</v>
      </c>
      <c r="BV103" s="387" t="n">
        <f aca="false">IF(70&lt;5,0,IF(MAX(BQ96:BV96)&gt;BV97+4+$B$18,1,0))</f>
        <v>0</v>
      </c>
      <c r="BW103" s="387" t="n">
        <f aca="false">IF(71&lt;5,0,IF(MAX(BR96:BW96)&gt;BW97+4+$B$18,1,0))</f>
        <v>0</v>
      </c>
      <c r="BX103" s="387" t="n">
        <f aca="false">IF(72&lt;5,0,IF(MAX(BS96:BX96)&gt;BX97+4+$B$18,1,0))</f>
        <v>0</v>
      </c>
      <c r="BY103" s="387" t="n">
        <f aca="false">IF(73&lt;5,0,IF(MAX(BT96:BY96)&gt;BY97+4+$B$18,1,0))</f>
        <v>0</v>
      </c>
      <c r="BZ103" s="387" t="n">
        <f aca="false">IF(74&lt;5,0,IF(MAX(BU96:BZ96)&gt;BZ97+4+$B$18,1,0))</f>
        <v>0</v>
      </c>
      <c r="CA103" s="387" t="n">
        <f aca="false">IF(75&lt;5,0,IF(MAX(BV96:CA96)&gt;CA97+4+$B$18,1,0))</f>
        <v>0</v>
      </c>
      <c r="CB103" s="387" t="n">
        <f aca="false">IF(76&lt;5,0,IF(MAX(BW96:CB96)&gt;CB97+4+$B$18,1,0))</f>
        <v>0</v>
      </c>
      <c r="CC103" s="387" t="n">
        <f aca="false">IF(77&lt;5,0,IF(MAX(BX96:CC96)&gt;CC97+4+$B$18,1,0))</f>
        <v>0</v>
      </c>
      <c r="CD103" s="387" t="n">
        <f aca="false">IF(78&lt;5,0,IF(MAX(BY96:CD96)&gt;CD97+4+$B$18,1,0))</f>
        <v>0</v>
      </c>
      <c r="CE103" s="387" t="n">
        <f aca="false">IF(79&lt;5,0,IF(MAX(BZ96:CE96)&gt;CE97+4+$B$18,1,0))</f>
        <v>0</v>
      </c>
      <c r="CF103" s="387" t="n">
        <f aca="false">IF(80&lt;5,0,IF(MAX(CA96:CF96)&gt;CF97+4+$B$18,1,0))</f>
        <v>0</v>
      </c>
      <c r="CG103" s="387" t="n">
        <f aca="false">IF(81&lt;5,0,IF(MAX(CB96:CG96)&gt;CG97+4+$B$18,1,0))</f>
        <v>0</v>
      </c>
      <c r="CH103" s="387" t="n">
        <f aca="false">IF(82&lt;5,0,IF(MAX(CC96:CH96)&gt;CH97+4+$B$18,1,0))</f>
        <v>0</v>
      </c>
      <c r="CI103" s="387" t="n">
        <f aca="false">IF(83&lt;5,0,IF(MAX(CD96:CI96)&gt;CI97+4+$B$18,1,0))</f>
        <v>0</v>
      </c>
      <c r="CJ103" s="387" t="n">
        <f aca="false">IF(84&lt;5,0,IF(MAX(CE96:CJ96)&gt;CJ97+4+$B$18,1,0))</f>
        <v>0</v>
      </c>
      <c r="CK103" s="387" t="n">
        <f aca="false">IF(85&lt;5,0,IF(MAX(CF96:CK96)&gt;CK97+4+$B$18,1,0))</f>
        <v>0</v>
      </c>
      <c r="CL103" s="387" t="n">
        <f aca="false">IF(86&lt;5,0,IF(MAX(CG96:CL96)&gt;CL97+4+$B$18,1,0))</f>
        <v>0</v>
      </c>
      <c r="CM103" s="387" t="n">
        <f aca="false">IF(87&lt;5,0,IF(MAX(CH96:CM96)&gt;CM97+4+$B$18,1,0))</f>
        <v>0</v>
      </c>
      <c r="CN103" s="387" t="n">
        <f aca="false">IF(88&lt;5,0,IF(MAX(CI96:CN96)&gt;CN97+4+$B$18,1,0))</f>
        <v>0</v>
      </c>
      <c r="CO103" s="387" t="n">
        <f aca="false">IF(89&lt;5,0,IF(MAX(CJ96:CO96)&gt;CO97+4+$B$18,1,0))</f>
        <v>0</v>
      </c>
      <c r="CP103" s="387" t="n">
        <f aca="false">IF(90&lt;5,0,IF(MAX(CK96:CP96)&gt;CP97+4+$B$18,1,0))</f>
        <v>0</v>
      </c>
      <c r="CQ103" s="387" t="n">
        <f aca="false">IF(91&lt;5,0,IF(MAX(CL96:CQ96)&gt;CQ97+4+$B$18,1,0))</f>
        <v>0</v>
      </c>
      <c r="CR103" s="387" t="n">
        <f aca="false">IF(92&lt;5,0,IF(MAX(CM96:CR96)&gt;CR97+4+$B$18,1,0))</f>
        <v>0</v>
      </c>
      <c r="CS103" s="387" t="n">
        <f aca="false">IF(93&lt;5,0,IF(MAX(CN96:CS96)&gt;CS97+4+$B$18,1,0))</f>
        <v>0</v>
      </c>
      <c r="CT103" s="387" t="n">
        <f aca="false">IF(94&lt;5,0,IF(MAX(CO96:CT96)&gt;CT97+4+$B$18,1,0))</f>
        <v>0</v>
      </c>
      <c r="CU103" s="387" t="n">
        <f aca="false">IF(95&lt;5,0,IF(MAX(CP96:CU96)&gt;CU97+4+$B$18,1,0))</f>
        <v>0</v>
      </c>
      <c r="CV103" s="387" t="n">
        <f aca="false">IF(96&lt;5,0,IF(MAX(CQ96:CV96)&gt;CV97+4+$B$18,1,0))</f>
        <v>0</v>
      </c>
      <c r="CW103" s="387" t="n">
        <f aca="false">IF(97&lt;5,0,IF(MAX(CR96:CW96)&gt;CW97+4+$B$18,1,0))</f>
        <v>0</v>
      </c>
      <c r="CX103" s="387" t="n">
        <f aca="false">IF(98&lt;5,0,IF(MAX(CS96:CX96)&gt;CX97+4+$B$18,1,0))</f>
        <v>0</v>
      </c>
      <c r="CY103" s="387" t="n">
        <f aca="false">IF(99&lt;5,0,IF(MAX(CT96:CY96)&gt;CY97+4+$B$18,1,0))</f>
        <v>0</v>
      </c>
      <c r="CZ103" s="387" t="n">
        <f aca="false">IF(100&lt;5,0,IF(MAX(CU96:CZ96)&gt;CZ97+4+$B$18,1,0))</f>
        <v>0</v>
      </c>
      <c r="DA103" s="387" t="n">
        <f aca="false">IF(101&lt;5,0,IF(MAX(CV96:DA96)&gt;DA97+4+$B$18,1,0))</f>
        <v>0</v>
      </c>
      <c r="DB103" s="387" t="n">
        <f aca="false">IF(102&lt;5,0,IF(MAX(CW96:DB96)&gt;DB97+4+$B$18,1,0))</f>
        <v>0</v>
      </c>
      <c r="DC103" s="387" t="n">
        <f aca="false">IF(103&lt;5,0,IF(MAX(CX96:DC96)&gt;DC97+4+$B$18,1,0))</f>
        <v>0</v>
      </c>
      <c r="DD103" s="387" t="n">
        <f aca="false">IF(104&lt;5,0,IF(MAX(CY96:DD96)&gt;DD97+4+$B$18,1,0))</f>
        <v>0</v>
      </c>
      <c r="DE103" s="387" t="n">
        <f aca="false">IF(105&lt;5,0,IF(MAX(CZ96:DE96)&gt;DE97+4+$B$18,1,0))</f>
        <v>0</v>
      </c>
    </row>
    <row r="104" customFormat="false" ht="13.5" hidden="false" customHeight="true" outlineLevel="0" collapsed="false">
      <c r="A104" s="110" t="s">
        <v>1431</v>
      </c>
      <c r="B104" s="213" t="n">
        <f aca="false">$B$27</f>
        <v>125000</v>
      </c>
      <c r="E104" s="387" t="n">
        <f aca="false">IF(1&lt;5,0,IF(MAX(E96)&gt;E97+5+$B$18,1,0))</f>
        <v>0</v>
      </c>
      <c r="F104" s="387" t="n">
        <f aca="false">IF(2&lt;5,0,IF(MAX(E96:F96)&gt;F97+5+$B$18,1,0))</f>
        <v>0</v>
      </c>
      <c r="G104" s="387" t="n">
        <f aca="false">IF(3&lt;5,0,IF(MAX(E96:G96)&gt;G97+5+$B$18,1,0))</f>
        <v>0</v>
      </c>
      <c r="H104" s="387" t="n">
        <f aca="false">IF(4&lt;5,0,IF(MAX(E96:H96)&gt;H97+5+$B$18,1,0))</f>
        <v>0</v>
      </c>
      <c r="I104" s="387" t="n">
        <f aca="false">IF(5&lt;5,0,IF(MAX(E96:I96)&gt;I97+5+$B$18,1,0))</f>
        <v>0</v>
      </c>
      <c r="J104" s="387" t="n">
        <f aca="false">IF(6&lt;5,0,IF(MAX(E96:J96)&gt;J97+5+$B$18,1,0))</f>
        <v>0</v>
      </c>
      <c r="K104" s="387" t="n">
        <f aca="false">IF(7&lt;5,0,IF(MAX(F96:K96)&gt;K97+5+$B$18,1,0))</f>
        <v>0</v>
      </c>
      <c r="L104" s="387" t="n">
        <f aca="false">IF(8&lt;5,0,IF(MAX(G96:L96)&gt;L97+5+$B$18,1,0))</f>
        <v>0</v>
      </c>
      <c r="M104" s="387" t="n">
        <f aca="false">IF(9&lt;5,0,IF(MAX(H96:M96)&gt;M97+5+$B$18,1,0))</f>
        <v>0</v>
      </c>
      <c r="N104" s="387" t="n">
        <f aca="false">IF(10&lt;5,0,IF(MAX(I96:N96)&gt;N97+5+$B$18,1,0))</f>
        <v>0</v>
      </c>
      <c r="O104" s="387" t="n">
        <f aca="false">IF(11&lt;5,0,IF(MAX(J96:O96)&gt;O97+5+$B$18,1,0))</f>
        <v>0</v>
      </c>
      <c r="P104" s="387" t="n">
        <f aca="false">IF(12&lt;5,0,IF(MAX(K96:P96)&gt;P97+5+$B$18,1,0))</f>
        <v>0</v>
      </c>
      <c r="Q104" s="387" t="n">
        <f aca="false">IF(13&lt;5,0,IF(MAX(L96:Q96)&gt;Q97+5+$B$18,1,0))</f>
        <v>0</v>
      </c>
      <c r="R104" s="387" t="n">
        <f aca="false">IF(14&lt;5,0,IF(MAX(M96:R96)&gt;R97+5+$B$18,1,0))</f>
        <v>0</v>
      </c>
      <c r="S104" s="387" t="n">
        <f aca="false">IF(15&lt;5,0,IF(MAX(N96:S96)&gt;S97+5+$B$18,1,0))</f>
        <v>0</v>
      </c>
      <c r="T104" s="387" t="n">
        <f aca="false">IF(16&lt;5,0,IF(MAX(O96:T96)&gt;T97+5+$B$18,1,0))</f>
        <v>0</v>
      </c>
      <c r="U104" s="387" t="n">
        <f aca="false">IF(17&lt;5,0,IF(MAX(P96:U96)&gt;U97+5+$B$18,1,0))</f>
        <v>0</v>
      </c>
      <c r="V104" s="387" t="n">
        <f aca="false">IF(18&lt;5,0,IF(MAX(Q96:V96)&gt;V97+5+$B$18,1,0))</f>
        <v>0</v>
      </c>
      <c r="W104" s="387" t="n">
        <f aca="false">IF(19&lt;5,0,IF(MAX(R96:W96)&gt;W97+5+$B$18,1,0))</f>
        <v>0</v>
      </c>
      <c r="X104" s="387" t="n">
        <f aca="false">IF(20&lt;5,0,IF(MAX(S96:X96)&gt;X97+5+$B$18,1,0))</f>
        <v>0</v>
      </c>
      <c r="Y104" s="387" t="n">
        <f aca="false">IF(21&lt;5,0,IF(MAX(T96:Y96)&gt;Y97+5+$B$18,1,0))</f>
        <v>0</v>
      </c>
      <c r="Z104" s="387" t="n">
        <f aca="false">IF(22&lt;5,0,IF(MAX(U96:Z96)&gt;Z97+5+$B$18,1,0))</f>
        <v>0</v>
      </c>
      <c r="AA104" s="387" t="n">
        <f aca="false">IF(23&lt;5,0,IF(MAX(V96:AA96)&gt;AA97+5+$B$18,1,0))</f>
        <v>0</v>
      </c>
      <c r="AB104" s="387" t="n">
        <f aca="false">IF(24&lt;5,0,IF(MAX(W96:AB96)&gt;AB97+5+$B$18,1,0))</f>
        <v>0</v>
      </c>
      <c r="AC104" s="387" t="n">
        <f aca="false">IF(25&lt;5,0,IF(MAX(X96:AC96)&gt;AC97+5+$B$18,1,0))</f>
        <v>0</v>
      </c>
      <c r="AD104" s="387" t="n">
        <f aca="false">IF(26&lt;5,0,IF(MAX(Y96:AD96)&gt;AD97+5+$B$18,1,0))</f>
        <v>0</v>
      </c>
      <c r="AE104" s="387" t="n">
        <f aca="false">IF(27&lt;5,0,IF(MAX(Z96:AE96)&gt;AE97+5+$B$18,1,0))</f>
        <v>0</v>
      </c>
      <c r="AF104" s="387" t="n">
        <f aca="false">IF(28&lt;5,0,IF(MAX(AA96:AF96)&gt;AF97+5+$B$18,1,0))</f>
        <v>0</v>
      </c>
      <c r="AG104" s="387" t="n">
        <f aca="false">IF(29&lt;5,0,IF(MAX(AB96:AG96)&gt;AG97+5+$B$18,1,0))</f>
        <v>0</v>
      </c>
      <c r="AH104" s="387" t="n">
        <f aca="false">IF(30&lt;5,0,IF(MAX(AC96:AH96)&gt;AH97+5+$B$18,1,0))</f>
        <v>0</v>
      </c>
      <c r="AI104" s="387" t="n">
        <f aca="false">IF(31&lt;5,0,IF(MAX(AD96:AI96)&gt;AI97+5+$B$18,1,0))</f>
        <v>0</v>
      </c>
      <c r="AJ104" s="387" t="n">
        <f aca="false">IF(32&lt;5,0,IF(MAX(AE96:AJ96)&gt;AJ97+5+$B$18,1,0))</f>
        <v>0</v>
      </c>
      <c r="AK104" s="387" t="n">
        <f aca="false">IF(33&lt;5,0,IF(MAX(AF96:AK96)&gt;AK97+5+$B$18,1,0))</f>
        <v>0</v>
      </c>
      <c r="AL104" s="387" t="n">
        <f aca="false">IF(34&lt;5,0,IF(MAX(AG96:AL96)&gt;AL97+5+$B$18,1,0))</f>
        <v>0</v>
      </c>
      <c r="AM104" s="387" t="n">
        <f aca="false">IF(35&lt;5,0,IF(MAX(AH96:AM96)&gt;AM97+5+$B$18,1,0))</f>
        <v>0</v>
      </c>
      <c r="AN104" s="387" t="n">
        <f aca="false">IF(36&lt;5,0,IF(MAX(AI96:AN96)&gt;AN97+5+$B$18,1,0))</f>
        <v>0</v>
      </c>
      <c r="AO104" s="387" t="n">
        <f aca="false">IF(37&lt;5,0,IF(MAX(AJ96:AO96)&gt;AO97+5+$B$18,1,0))</f>
        <v>0</v>
      </c>
      <c r="AP104" s="387" t="n">
        <f aca="false">IF(38&lt;5,0,IF(MAX(AK96:AP96)&gt;AP97+5+$B$18,1,0))</f>
        <v>0</v>
      </c>
      <c r="AQ104" s="387" t="n">
        <f aca="false">IF(39&lt;5,0,IF(MAX(AL96:AQ96)&gt;AQ97+5+$B$18,1,0))</f>
        <v>0</v>
      </c>
      <c r="AR104" s="387" t="n">
        <f aca="false">IF(40&lt;5,0,IF(MAX(AM96:AR96)&gt;AR97+5+$B$18,1,0))</f>
        <v>0</v>
      </c>
      <c r="AS104" s="387" t="n">
        <f aca="false">IF(41&lt;5,0,IF(MAX(AN96:AS96)&gt;AS97+5+$B$18,1,0))</f>
        <v>0</v>
      </c>
      <c r="AT104" s="387" t="n">
        <f aca="false">IF(42&lt;5,0,IF(MAX(AO96:AT96)&gt;AT97+5+$B$18,1,0))</f>
        <v>0</v>
      </c>
      <c r="AU104" s="387" t="n">
        <f aca="false">IF(43&lt;5,0,IF(MAX(AP96:AU96)&gt;AU97+5+$B$18,1,0))</f>
        <v>0</v>
      </c>
      <c r="AV104" s="387" t="n">
        <f aca="false">IF(44&lt;5,0,IF(MAX(AQ96:AV96)&gt;AV97+5+$B$18,1,0))</f>
        <v>0</v>
      </c>
      <c r="AW104" s="387" t="n">
        <f aca="false">IF(45&lt;5,0,IF(MAX(AR96:AW96)&gt;AW97+5+$B$18,1,0))</f>
        <v>0</v>
      </c>
      <c r="AX104" s="387" t="n">
        <f aca="false">IF(46&lt;5,0,IF(MAX(AS96:AX96)&gt;AX97+5+$B$18,1,0))</f>
        <v>0</v>
      </c>
      <c r="AY104" s="387" t="n">
        <f aca="false">IF(47&lt;5,0,IF(MAX(AT96:AY96)&gt;AY97+5+$B$18,1,0))</f>
        <v>0</v>
      </c>
      <c r="AZ104" s="387" t="n">
        <f aca="false">IF(48&lt;5,0,IF(MAX(AU96:AZ96)&gt;AZ97+5+$B$18,1,0))</f>
        <v>0</v>
      </c>
      <c r="BA104" s="387" t="n">
        <f aca="false">IF(49&lt;5,0,IF(MAX(AV96:BA96)&gt;BA97+5+$B$18,1,0))</f>
        <v>0</v>
      </c>
      <c r="BB104" s="387" t="n">
        <f aca="false">IF(50&lt;5,0,IF(MAX(AW96:BB96)&gt;BB97+5+$B$18,1,0))</f>
        <v>0</v>
      </c>
      <c r="BC104" s="387" t="n">
        <f aca="false">IF(51&lt;5,0,IF(MAX(AX96:BC96)&gt;BC97+5+$B$18,1,0))</f>
        <v>0</v>
      </c>
      <c r="BD104" s="387" t="n">
        <f aca="false">IF(52&lt;5,0,IF(MAX(AY96:BD96)&gt;BD97+5+$B$18,1,0))</f>
        <v>0</v>
      </c>
      <c r="BE104" s="387" t="n">
        <f aca="false">IF(53&lt;5,0,IF(MAX(AZ96:BE96)&gt;BE97+5+$B$18,1,0))</f>
        <v>0</v>
      </c>
      <c r="BF104" s="387" t="n">
        <f aca="false">IF(54&lt;5,0,IF(MAX(BA96:BF96)&gt;BF97+5+$B$18,1,0))</f>
        <v>0</v>
      </c>
      <c r="BG104" s="387" t="n">
        <f aca="false">IF(55&lt;5,0,IF(MAX(BB96:BG96)&gt;BG97+5+$B$18,1,0))</f>
        <v>0</v>
      </c>
      <c r="BH104" s="387" t="n">
        <f aca="false">IF(56&lt;5,0,IF(MAX(BC96:BH96)&gt;BH97+5+$B$18,1,0))</f>
        <v>0</v>
      </c>
      <c r="BI104" s="387" t="n">
        <f aca="false">IF(57&lt;5,0,IF(MAX(BD96:BI96)&gt;BI97+5+$B$18,1,0))</f>
        <v>0</v>
      </c>
      <c r="BJ104" s="387" t="n">
        <f aca="false">IF(58&lt;5,0,IF(MAX(BE96:BJ96)&gt;BJ97+5+$B$18,1,0))</f>
        <v>0</v>
      </c>
      <c r="BK104" s="387" t="n">
        <f aca="false">IF(59&lt;5,0,IF(MAX(BF96:BK96)&gt;BK97+5+$B$18,1,0))</f>
        <v>0</v>
      </c>
      <c r="BL104" s="387" t="n">
        <f aca="false">IF(60&lt;5,0,IF(MAX(BG96:BL96)&gt;BL97+5+$B$18,1,0))</f>
        <v>0</v>
      </c>
      <c r="BM104" s="387" t="n">
        <f aca="false">IF(61&lt;5,0,IF(MAX(BH96:BM96)&gt;BM97+5+$B$18,1,0))</f>
        <v>0</v>
      </c>
      <c r="BN104" s="387" t="n">
        <f aca="false">IF(62&lt;5,0,IF(MAX(BI96:BN96)&gt;BN97+5+$B$18,1,0))</f>
        <v>0</v>
      </c>
      <c r="BO104" s="387" t="n">
        <f aca="false">IF(63&lt;5,0,IF(MAX(BJ96:BO96)&gt;BO97+5+$B$18,1,0))</f>
        <v>0</v>
      </c>
      <c r="BP104" s="387" t="n">
        <f aca="false">IF(64&lt;5,0,IF(MAX(BK96:BP96)&gt;BP97+5+$B$18,1,0))</f>
        <v>0</v>
      </c>
      <c r="BQ104" s="387" t="n">
        <f aca="false">IF(65&lt;5,0,IF(MAX(BL96:BQ96)&gt;BQ97+5+$B$18,1,0))</f>
        <v>0</v>
      </c>
      <c r="BR104" s="387" t="n">
        <f aca="false">IF(66&lt;5,0,IF(MAX(BM96:BR96)&gt;BR97+5+$B$18,1,0))</f>
        <v>0</v>
      </c>
      <c r="BS104" s="387" t="n">
        <f aca="false">IF(67&lt;5,0,IF(MAX(BN96:BS96)&gt;BS97+5+$B$18,1,0))</f>
        <v>0</v>
      </c>
      <c r="BT104" s="387" t="n">
        <f aca="false">IF(68&lt;5,0,IF(MAX(BO96:BT96)&gt;BT97+5+$B$18,1,0))</f>
        <v>0</v>
      </c>
      <c r="BU104" s="387" t="n">
        <f aca="false">IF(69&lt;5,0,IF(MAX(BP96:BU96)&gt;BU97+5+$B$18,1,0))</f>
        <v>0</v>
      </c>
      <c r="BV104" s="387" t="n">
        <f aca="false">IF(70&lt;5,0,IF(MAX(BQ96:BV96)&gt;BV97+5+$B$18,1,0))</f>
        <v>0</v>
      </c>
      <c r="BW104" s="387" t="n">
        <f aca="false">IF(71&lt;5,0,IF(MAX(BR96:BW96)&gt;BW97+5+$B$18,1,0))</f>
        <v>0</v>
      </c>
      <c r="BX104" s="387" t="n">
        <f aca="false">IF(72&lt;5,0,IF(MAX(BS96:BX96)&gt;BX97+5+$B$18,1,0))</f>
        <v>0</v>
      </c>
      <c r="BY104" s="387" t="n">
        <f aca="false">IF(73&lt;5,0,IF(MAX(BT96:BY96)&gt;BY97+5+$B$18,1,0))</f>
        <v>0</v>
      </c>
      <c r="BZ104" s="387" t="n">
        <f aca="false">IF(74&lt;5,0,IF(MAX(BU96:BZ96)&gt;BZ97+5+$B$18,1,0))</f>
        <v>0</v>
      </c>
      <c r="CA104" s="387" t="n">
        <f aca="false">IF(75&lt;5,0,IF(MAX(BV96:CA96)&gt;CA97+5+$B$18,1,0))</f>
        <v>0</v>
      </c>
      <c r="CB104" s="387" t="n">
        <f aca="false">IF(76&lt;5,0,IF(MAX(BW96:CB96)&gt;CB97+5+$B$18,1,0))</f>
        <v>0</v>
      </c>
      <c r="CC104" s="387" t="n">
        <f aca="false">IF(77&lt;5,0,IF(MAX(BX96:CC96)&gt;CC97+5+$B$18,1,0))</f>
        <v>0</v>
      </c>
      <c r="CD104" s="387" t="n">
        <f aca="false">IF(78&lt;5,0,IF(MAX(BY96:CD96)&gt;CD97+5+$B$18,1,0))</f>
        <v>0</v>
      </c>
      <c r="CE104" s="387" t="n">
        <f aca="false">IF(79&lt;5,0,IF(MAX(BZ96:CE96)&gt;CE97+5+$B$18,1,0))</f>
        <v>0</v>
      </c>
      <c r="CF104" s="387" t="n">
        <f aca="false">IF(80&lt;5,0,IF(MAX(CA96:CF96)&gt;CF97+5+$B$18,1,0))</f>
        <v>0</v>
      </c>
      <c r="CG104" s="387" t="n">
        <f aca="false">IF(81&lt;5,0,IF(MAX(CB96:CG96)&gt;CG97+5+$B$18,1,0))</f>
        <v>0</v>
      </c>
      <c r="CH104" s="387" t="n">
        <f aca="false">IF(82&lt;5,0,IF(MAX(CC96:CH96)&gt;CH97+5+$B$18,1,0))</f>
        <v>0</v>
      </c>
      <c r="CI104" s="387" t="n">
        <f aca="false">IF(83&lt;5,0,IF(MAX(CD96:CI96)&gt;CI97+5+$B$18,1,0))</f>
        <v>0</v>
      </c>
      <c r="CJ104" s="387" t="n">
        <f aca="false">IF(84&lt;5,0,IF(MAX(CE96:CJ96)&gt;CJ97+5+$B$18,1,0))</f>
        <v>0</v>
      </c>
      <c r="CK104" s="387" t="n">
        <f aca="false">IF(85&lt;5,0,IF(MAX(CF96:CK96)&gt;CK97+5+$B$18,1,0))</f>
        <v>0</v>
      </c>
      <c r="CL104" s="387" t="n">
        <f aca="false">IF(86&lt;5,0,IF(MAX(CG96:CL96)&gt;CL97+5+$B$18,1,0))</f>
        <v>0</v>
      </c>
      <c r="CM104" s="387" t="n">
        <f aca="false">IF(87&lt;5,0,IF(MAX(CH96:CM96)&gt;CM97+5+$B$18,1,0))</f>
        <v>0</v>
      </c>
      <c r="CN104" s="387" t="n">
        <f aca="false">IF(88&lt;5,0,IF(MAX(CI96:CN96)&gt;CN97+5+$B$18,1,0))</f>
        <v>0</v>
      </c>
      <c r="CO104" s="387" t="n">
        <f aca="false">IF(89&lt;5,0,IF(MAX(CJ96:CO96)&gt;CO97+5+$B$18,1,0))</f>
        <v>0</v>
      </c>
      <c r="CP104" s="387" t="n">
        <f aca="false">IF(90&lt;5,0,IF(MAX(CK96:CP96)&gt;CP97+5+$B$18,1,0))</f>
        <v>0</v>
      </c>
      <c r="CQ104" s="387" t="n">
        <f aca="false">IF(91&lt;5,0,IF(MAX(CL96:CQ96)&gt;CQ97+5+$B$18,1,0))</f>
        <v>0</v>
      </c>
      <c r="CR104" s="387" t="n">
        <f aca="false">IF(92&lt;5,0,IF(MAX(CM96:CR96)&gt;CR97+5+$B$18,1,0))</f>
        <v>0</v>
      </c>
      <c r="CS104" s="387" t="n">
        <f aca="false">IF(93&lt;5,0,IF(MAX(CN96:CS96)&gt;CS97+5+$B$18,1,0))</f>
        <v>0</v>
      </c>
      <c r="CT104" s="387" t="n">
        <f aca="false">IF(94&lt;5,0,IF(MAX(CO96:CT96)&gt;CT97+5+$B$18,1,0))</f>
        <v>0</v>
      </c>
      <c r="CU104" s="387" t="n">
        <f aca="false">IF(95&lt;5,0,IF(MAX(CP96:CU96)&gt;CU97+5+$B$18,1,0))</f>
        <v>0</v>
      </c>
      <c r="CV104" s="387" t="n">
        <f aca="false">IF(96&lt;5,0,IF(MAX(CQ96:CV96)&gt;CV97+5+$B$18,1,0))</f>
        <v>0</v>
      </c>
      <c r="CW104" s="387" t="n">
        <f aca="false">IF(97&lt;5,0,IF(MAX(CR96:CW96)&gt;CW97+5+$B$18,1,0))</f>
        <v>0</v>
      </c>
      <c r="CX104" s="387" t="n">
        <f aca="false">IF(98&lt;5,0,IF(MAX(CS96:CX96)&gt;CX97+5+$B$18,1,0))</f>
        <v>0</v>
      </c>
      <c r="CY104" s="387" t="n">
        <f aca="false">IF(99&lt;5,0,IF(MAX(CT96:CY96)&gt;CY97+5+$B$18,1,0))</f>
        <v>0</v>
      </c>
      <c r="CZ104" s="387" t="n">
        <f aca="false">IF(100&lt;5,0,IF(MAX(CU96:CZ96)&gt;CZ97+5+$B$18,1,0))</f>
        <v>0</v>
      </c>
      <c r="DA104" s="387" t="n">
        <f aca="false">IF(101&lt;5,0,IF(MAX(CV96:DA96)&gt;DA97+5+$B$18,1,0))</f>
        <v>0</v>
      </c>
      <c r="DB104" s="387" t="n">
        <f aca="false">IF(102&lt;5,0,IF(MAX(CW96:DB96)&gt;DB97+5+$B$18,1,0))</f>
        <v>0</v>
      </c>
      <c r="DC104" s="387" t="n">
        <f aca="false">IF(103&lt;5,0,IF(MAX(CX96:DC96)&gt;DC97+5+$B$18,1,0))</f>
        <v>0</v>
      </c>
      <c r="DD104" s="387" t="n">
        <f aca="false">IF(104&lt;5,0,IF(MAX(CY96:DD96)&gt;DD97+5+$B$18,1,0))</f>
        <v>0</v>
      </c>
      <c r="DE104" s="387" t="n">
        <f aca="false">IF(105&lt;5,0,IF(MAX(CZ96:DE96)&gt;DE97+5+$B$18,1,0))</f>
        <v>0</v>
      </c>
    </row>
    <row r="106" customFormat="false" ht="13.5" hidden="false" customHeight="true" outlineLevel="0" collapsed="false">
      <c r="A106" s="110" t="s">
        <v>1432</v>
      </c>
      <c r="B106" s="383" t="n">
        <v>3</v>
      </c>
    </row>
    <row r="107" customFormat="false" ht="13.5" hidden="false" customHeight="true" outlineLevel="0" collapsed="false">
      <c r="A107" s="110" t="s">
        <v>1433</v>
      </c>
      <c r="B107" s="383" t="n">
        <v>0.5</v>
      </c>
    </row>
    <row r="108" customFormat="false" ht="13.5" hidden="false" customHeight="true" outlineLevel="0" collapsed="false">
      <c r="A108" s="1" t="s">
        <v>1434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3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6" t="s">
        <v>1435</v>
      </c>
    </row>
    <row r="2" customFormat="false" ht="13.5" hidden="false" customHeight="true" outlineLevel="0" collapsed="false">
      <c r="A2" s="389" t="s">
        <v>1436</v>
      </c>
    </row>
    <row r="3" customFormat="false" ht="15" hidden="false" customHeight="true" outlineLevel="0" collapsed="false">
      <c r="A3" s="390" t="s">
        <v>1437</v>
      </c>
    </row>
    <row r="4" customFormat="false" ht="15" hidden="false" customHeight="true" outlineLevel="0" collapsed="false">
      <c r="A4" s="120" t="s">
        <v>1438</v>
      </c>
      <c r="C4" s="391" t="n">
        <f aca="false">Assumptions!$B$15</f>
        <v>0.015</v>
      </c>
      <c r="D4" s="392" t="s">
        <v>1439</v>
      </c>
    </row>
    <row r="5" customFormat="false" ht="15" hidden="false" customHeight="true" outlineLevel="0" collapsed="false">
      <c r="A5" s="120" t="s">
        <v>1440</v>
      </c>
      <c r="C5" s="393" t="n">
        <f aca="false">95034/12993776.05</f>
        <v>0.00731380929102591</v>
      </c>
      <c r="D5" s="392" t="s">
        <v>1441</v>
      </c>
    </row>
    <row r="6" customFormat="false" ht="15" hidden="false" customHeight="true" outlineLevel="0" collapsed="false">
      <c r="A6" s="120" t="s">
        <v>1442</v>
      </c>
      <c r="C6" s="391" t="n">
        <f aca="false">Assumptions!$B$17</f>
        <v>0.0325</v>
      </c>
      <c r="D6" s="392" t="s">
        <v>1443</v>
      </c>
    </row>
    <row r="7" customFormat="false" ht="15" hidden="false" customHeight="true" outlineLevel="0" collapsed="false">
      <c r="A7" s="120" t="s">
        <v>1444</v>
      </c>
      <c r="C7" s="394" t="n">
        <v>1800000</v>
      </c>
      <c r="D7" s="392" t="s">
        <v>1445</v>
      </c>
      <c r="F7" s="120" t="s">
        <v>1446</v>
      </c>
      <c r="H7" s="395" t="n">
        <f aca="false">SUMPRODUCT(($S$11:$S$54=1)*($H$11:$H$54&lt;=$C$8)*$Z$11:$Z$54)</f>
        <v>692876.895125</v>
      </c>
    </row>
    <row r="8" customFormat="false" ht="15" hidden="false" customHeight="true" outlineLevel="0" collapsed="false">
      <c r="A8" s="120" t="s">
        <v>1447</v>
      </c>
      <c r="C8" s="396" t="n">
        <f aca="false">SUMPRODUCT(--(Model!$B$4:$DE$4="Actuals"))-3</f>
        <v>5</v>
      </c>
      <c r="D8" s="392" t="s">
        <v>1448</v>
      </c>
      <c r="F8" s="120" t="s">
        <v>1449</v>
      </c>
      <c r="H8" s="395" t="n">
        <f aca="false">SUMIFS($O$11:$O$54,$H$11:$H$54,"&lt;="&amp;$C$8)</f>
        <v>0</v>
      </c>
    </row>
    <row r="9" customFormat="false" ht="15" hidden="false" customHeight="true" outlineLevel="0" collapsed="false">
      <c r="A9" s="120" t="s">
        <v>1450</v>
      </c>
      <c r="C9" s="397" t="n">
        <f aca="false">SUM(AC11:AC54)</f>
        <v>692876.895125</v>
      </c>
      <c r="D9" s="392" t="s">
        <v>1451</v>
      </c>
      <c r="F9" s="120" t="s">
        <v>1452</v>
      </c>
      <c r="H9" s="398" t="n">
        <v>10</v>
      </c>
    </row>
    <row r="10" customFormat="false" ht="48" hidden="false" customHeight="true" outlineLevel="0" collapsed="false">
      <c r="A10" s="176" t="s">
        <v>457</v>
      </c>
      <c r="B10" s="176" t="s">
        <v>1453</v>
      </c>
      <c r="C10" s="176" t="s">
        <v>555</v>
      </c>
      <c r="D10" s="176" t="s">
        <v>556</v>
      </c>
      <c r="E10" s="176" t="s">
        <v>1454</v>
      </c>
      <c r="F10" s="176" t="s">
        <v>1455</v>
      </c>
      <c r="G10" s="176" t="s">
        <v>1456</v>
      </c>
      <c r="H10" s="176" t="s">
        <v>1457</v>
      </c>
      <c r="I10" s="176" t="s">
        <v>1458</v>
      </c>
      <c r="J10" s="176" t="s">
        <v>1459</v>
      </c>
      <c r="K10" s="176" t="s">
        <v>1460</v>
      </c>
      <c r="L10" s="176" t="s">
        <v>1461</v>
      </c>
      <c r="M10" s="176" t="s">
        <v>1460</v>
      </c>
      <c r="N10" s="176" t="s">
        <v>1462</v>
      </c>
      <c r="O10" s="176" t="s">
        <v>1463</v>
      </c>
      <c r="P10" s="176" t="s">
        <v>1460</v>
      </c>
      <c r="Q10" s="176" t="s">
        <v>1464</v>
      </c>
      <c r="R10" s="176" t="s">
        <v>1465</v>
      </c>
      <c r="S10" s="176" t="s">
        <v>1466</v>
      </c>
      <c r="T10" s="176" t="s">
        <v>1467</v>
      </c>
      <c r="U10" s="176" t="s">
        <v>1468</v>
      </c>
      <c r="V10" s="176" t="s">
        <v>1469</v>
      </c>
      <c r="W10" s="176" t="s">
        <v>1470</v>
      </c>
      <c r="X10" s="176" t="s">
        <v>1471</v>
      </c>
      <c r="Y10" s="176" t="s">
        <v>1472</v>
      </c>
      <c r="Z10" s="176" t="s">
        <v>1473</v>
      </c>
      <c r="AA10" s="176" t="s">
        <v>1474</v>
      </c>
      <c r="AB10" s="176" t="s">
        <v>1475</v>
      </c>
      <c r="AC10" s="176" t="s">
        <v>1476</v>
      </c>
      <c r="AD10" s="176" t="s">
        <v>617</v>
      </c>
    </row>
    <row r="11" customFormat="false" ht="15" hidden="false" customHeight="true" outlineLevel="0" collapsed="false">
      <c r="A11" s="399" t="str">
        <f aca="false">Projects!$A$2</f>
        <v>Crenshaw</v>
      </c>
      <c r="B11" s="400"/>
      <c r="C11" s="401" t="str">
        <f aca="false">Projects!$F$2</f>
        <v>No</v>
      </c>
      <c r="D11" s="401" t="str">
        <f aca="false">Projects!$G$2</f>
        <v>Yes</v>
      </c>
      <c r="E11" s="402"/>
      <c r="F11" s="403" t="n">
        <f aca="false">IF($E11&lt;&gt;"",$E11,Projects!$B$2)</f>
        <v>7126075</v>
      </c>
      <c r="G11" s="400"/>
      <c r="H11" s="404" t="n">
        <f aca="false">IF($G11&lt;&gt;"",$G11,Projects!$C$2)</f>
        <v>1</v>
      </c>
      <c r="I11" s="405"/>
      <c r="J11" s="402"/>
      <c r="K11" s="400"/>
      <c r="L11" s="402"/>
      <c r="M11" s="400"/>
      <c r="N11" s="405"/>
      <c r="O11" s="402"/>
      <c r="P11" s="400"/>
      <c r="Q11" s="402"/>
      <c r="R11" s="400"/>
      <c r="S11" s="404" t="n">
        <f aca="false">IF(AND($C11="Yes",$D11="Yes"),1,0)</f>
        <v>0</v>
      </c>
      <c r="T11" s="403" t="n">
        <f aca="false">$S11*IF($J11&lt;&gt;"",$J11,$F11*IF($I11&lt;&gt;"",$I11,$C$4)/(1+IF($I11&lt;&gt;"",$I11,$C$4)))</f>
        <v>0</v>
      </c>
      <c r="U11" s="403" t="n">
        <f aca="false">$S11*IF($L11&lt;&gt;"",$L11,$F11*$C$5)</f>
        <v>0</v>
      </c>
      <c r="V11" s="403" t="n">
        <f aca="false">$S11*$F11*IF($N11&lt;&gt;"",$N11,$C$6)</f>
        <v>0</v>
      </c>
      <c r="W11" s="403" t="n">
        <f aca="false">MAX(0,$V11-$U11)</f>
        <v>0</v>
      </c>
      <c r="X11" s="404" t="n">
        <f aca="false">IF($B11&lt;&gt;"",$B11,100+$H11)</f>
        <v>101</v>
      </c>
      <c r="Y11" s="403" t="n">
        <f aca="false">$S11*MAX(0,MIN($W11,$C$7-SUMIFS($W$11:$W$54,$X$11:$X$54,"&lt;"&amp;$X11)))</f>
        <v>0</v>
      </c>
      <c r="Z11" s="403" t="n">
        <f aca="false">$W11-$Y11</f>
        <v>0</v>
      </c>
      <c r="AA11" s="406" t="n">
        <f aca="false">$S11*($T11-$U11-$Z11)</f>
        <v>0</v>
      </c>
      <c r="AB11" s="406" t="n">
        <f aca="false">$S11*($T11-$U11)</f>
        <v>0</v>
      </c>
      <c r="AC11" s="403" t="n">
        <f aca="false">IF(AND($S11=1,$H11&lt;=$C$8),$Z11-N($O11),0)</f>
        <v>0</v>
      </c>
      <c r="AD11" s="407"/>
    </row>
    <row r="12" customFormat="false" ht="15" hidden="false" customHeight="true" outlineLevel="0" collapsed="false">
      <c r="A12" s="408" t="str">
        <f aca="false">Projects!$A$3</f>
        <v>Ramsgate</v>
      </c>
      <c r="B12" s="400"/>
      <c r="C12" s="409" t="str">
        <f aca="false">Projects!$F$3</f>
        <v>No</v>
      </c>
      <c r="D12" s="409" t="str">
        <f aca="false">Projects!$G$3</f>
        <v>Yes</v>
      </c>
      <c r="E12" s="402"/>
      <c r="F12" s="410" t="n">
        <f aca="false">IF($E12&lt;&gt;"",$E12,Projects!$B$3)</f>
        <v>20176449</v>
      </c>
      <c r="G12" s="400"/>
      <c r="H12" s="411" t="n">
        <f aca="false">IF($G12&lt;&gt;"",$G12,Projects!$C$3)</f>
        <v>1</v>
      </c>
      <c r="I12" s="405"/>
      <c r="J12" s="402"/>
      <c r="K12" s="400"/>
      <c r="L12" s="402"/>
      <c r="M12" s="400"/>
      <c r="N12" s="405"/>
      <c r="O12" s="402"/>
      <c r="P12" s="400"/>
      <c r="Q12" s="402"/>
      <c r="R12" s="400"/>
      <c r="S12" s="411" t="n">
        <f aca="false">IF(AND($C12="Yes",$D12="Yes"),1,0)</f>
        <v>0</v>
      </c>
      <c r="T12" s="410" t="n">
        <f aca="false">$S12*IF($J12&lt;&gt;"",$J12,$F12*IF($I12&lt;&gt;"",$I12,$C$4)/(1+IF($I12&lt;&gt;"",$I12,$C$4)))</f>
        <v>0</v>
      </c>
      <c r="U12" s="410" t="n">
        <f aca="false">$S12*IF($L12&lt;&gt;"",$L12,$F12*$C$5)</f>
        <v>0</v>
      </c>
      <c r="V12" s="410" t="n">
        <f aca="false">$S12*$F12*IF($N12&lt;&gt;"",$N12,$C$6)</f>
        <v>0</v>
      </c>
      <c r="W12" s="410" t="n">
        <f aca="false">MAX(0,$V12-$U12)</f>
        <v>0</v>
      </c>
      <c r="X12" s="411" t="n">
        <f aca="false">IF($B12&lt;&gt;"",$B12,100+$H12)</f>
        <v>101</v>
      </c>
      <c r="Y12" s="410" t="n">
        <f aca="false">$S12*MAX(0,MIN($W12,$C$7-SUMIFS($W$11:$W$54,$X$11:$X$54,"&lt;"&amp;$X12)))</f>
        <v>0</v>
      </c>
      <c r="Z12" s="410" t="n">
        <f aca="false">$W12-$Y12</f>
        <v>0</v>
      </c>
      <c r="AA12" s="412" t="n">
        <f aca="false">$S12*($T12-$U12-$Z12)</f>
        <v>0</v>
      </c>
      <c r="AB12" s="412" t="n">
        <f aca="false">$S12*($T12-$U12)</f>
        <v>0</v>
      </c>
      <c r="AC12" s="410" t="n">
        <f aca="false">IF(AND($S12=1,$H12&lt;=$C$8),$Z12-N($O12),0)</f>
        <v>0</v>
      </c>
      <c r="AD12" s="413"/>
    </row>
    <row r="13" customFormat="false" ht="15" hidden="false" customHeight="true" outlineLevel="0" collapsed="false">
      <c r="A13" s="399" t="str">
        <f aca="false">Projects!$A$4</f>
        <v>Califa</v>
      </c>
      <c r="B13" s="400" t="n">
        <v>1</v>
      </c>
      <c r="C13" s="401" t="str">
        <f aca="false">Projects!$F$4</f>
        <v>Yes</v>
      </c>
      <c r="D13" s="401" t="str">
        <f aca="false">Projects!$G$4</f>
        <v>Yes</v>
      </c>
      <c r="E13" s="402" t="n">
        <v>13425608</v>
      </c>
      <c r="F13" s="403" t="n">
        <f aca="false">IF($E13&lt;&gt;"",$E13,Projects!$B$4)</f>
        <v>13425608</v>
      </c>
      <c r="G13" s="400" t="n">
        <v>-99</v>
      </c>
      <c r="H13" s="404" t="n">
        <f aca="false">IF($G13&lt;&gt;"",$G13,Projects!$C$4)</f>
        <v>-99</v>
      </c>
      <c r="I13" s="405"/>
      <c r="J13" s="402" t="n">
        <v>198408</v>
      </c>
      <c r="K13" s="400" t="n">
        <v>-99</v>
      </c>
      <c r="L13" s="402" t="n">
        <v>97905</v>
      </c>
      <c r="M13" s="400" t="n">
        <v>-99</v>
      </c>
      <c r="N13" s="405"/>
      <c r="O13" s="402"/>
      <c r="P13" s="400"/>
      <c r="Q13" s="402"/>
      <c r="R13" s="400"/>
      <c r="S13" s="404" t="n">
        <f aca="false">IF(AND($C13="Yes",$D13="Yes"),1,0)</f>
        <v>1</v>
      </c>
      <c r="T13" s="403" t="n">
        <f aca="false">$S13*IF($J13&lt;&gt;"",$J13,$F13*IF($I13&lt;&gt;"",$I13,$C$4)/(1+IF($I13&lt;&gt;"",$I13,$C$4)))</f>
        <v>198408</v>
      </c>
      <c r="U13" s="403" t="n">
        <f aca="false">$S13*IF($L13&lt;&gt;"",$L13,$F13*$C$5)</f>
        <v>97905</v>
      </c>
      <c r="V13" s="403" t="n">
        <f aca="false">$S13*$F13*IF($N13&lt;&gt;"",$N13,$C$6)</f>
        <v>436332.26</v>
      </c>
      <c r="W13" s="403" t="n">
        <f aca="false">MAX(0,$V13-$U13)</f>
        <v>338427.26</v>
      </c>
      <c r="X13" s="404" t="n">
        <f aca="false">IF($B13&lt;&gt;"",$B13,100+$H13)</f>
        <v>1</v>
      </c>
      <c r="Y13" s="403" t="n">
        <f aca="false">$S13*MAX(0,MIN($W13,$C$7-SUMIFS($W$11:$W$54,$X$11:$X$54,"&lt;"&amp;$X13)))</f>
        <v>338427.26</v>
      </c>
      <c r="Z13" s="403" t="n">
        <f aca="false">$W13-$Y13</f>
        <v>0</v>
      </c>
      <c r="AA13" s="406" t="n">
        <f aca="false">$S13*($T13-$U13-$Z13)</f>
        <v>100503</v>
      </c>
      <c r="AB13" s="406" t="n">
        <f aca="false">$S13*($T13-$U13)</f>
        <v>100503</v>
      </c>
      <c r="AC13" s="403" t="n">
        <f aca="false">IF(AND($S13=1,$H13&lt;=$C$8),$Z13-N($O13),0)</f>
        <v>0</v>
      </c>
      <c r="AD13" s="407" t="s">
        <v>1477</v>
      </c>
    </row>
    <row r="14" customFormat="false" ht="15" hidden="false" customHeight="true" outlineLevel="0" collapsed="false">
      <c r="A14" s="408" t="str">
        <f aca="false">Projects!$A$5</f>
        <v>Whipple</v>
      </c>
      <c r="B14" s="400" t="n">
        <v>2</v>
      </c>
      <c r="C14" s="409" t="str">
        <f aca="false">Projects!$F$5</f>
        <v>Yes</v>
      </c>
      <c r="D14" s="409" t="str">
        <f aca="false">Projects!$G$5</f>
        <v>Yes</v>
      </c>
      <c r="E14" s="402" t="n">
        <v>15347360</v>
      </c>
      <c r="F14" s="410" t="n">
        <f aca="false">IF($E14&lt;&gt;"",$E14,Projects!$B$5)</f>
        <v>15347360</v>
      </c>
      <c r="G14" s="400" t="n">
        <v>-99</v>
      </c>
      <c r="H14" s="411" t="n">
        <f aca="false">IF($G14&lt;&gt;"",$G14,Projects!$C$5)</f>
        <v>-99</v>
      </c>
      <c r="I14" s="405"/>
      <c r="J14" s="402" t="n">
        <v>226808</v>
      </c>
      <c r="K14" s="400" t="n">
        <v>-99</v>
      </c>
      <c r="L14" s="402" t="n">
        <v>110685</v>
      </c>
      <c r="M14" s="400" t="n">
        <v>-99</v>
      </c>
      <c r="N14" s="405"/>
      <c r="O14" s="402"/>
      <c r="P14" s="400"/>
      <c r="Q14" s="402"/>
      <c r="R14" s="400"/>
      <c r="S14" s="411" t="n">
        <f aca="false">IF(AND($C14="Yes",$D14="Yes"),1,0)</f>
        <v>1</v>
      </c>
      <c r="T14" s="410" t="n">
        <f aca="false">$S14*IF($J14&lt;&gt;"",$J14,$F14*IF($I14&lt;&gt;"",$I14,$C$4)/(1+IF($I14&lt;&gt;"",$I14,$C$4)))</f>
        <v>226808</v>
      </c>
      <c r="U14" s="410" t="n">
        <f aca="false">$S14*IF($L14&lt;&gt;"",$L14,$F14*$C$5)</f>
        <v>110685</v>
      </c>
      <c r="V14" s="410" t="n">
        <f aca="false">$S14*$F14*IF($N14&lt;&gt;"",$N14,$C$6)</f>
        <v>498789.2</v>
      </c>
      <c r="W14" s="410" t="n">
        <f aca="false">MAX(0,$V14-$U14)</f>
        <v>388104.2</v>
      </c>
      <c r="X14" s="411" t="n">
        <f aca="false">IF($B14&lt;&gt;"",$B14,100+$H14)</f>
        <v>2</v>
      </c>
      <c r="Y14" s="410" t="n">
        <f aca="false">$S14*MAX(0,MIN($W14,$C$7-SUMIFS($W$11:$W$54,$X$11:$X$54,"&lt;"&amp;$X14)))</f>
        <v>388104.2</v>
      </c>
      <c r="Z14" s="410" t="n">
        <f aca="false">$W14-$Y14</f>
        <v>0</v>
      </c>
      <c r="AA14" s="412" t="n">
        <f aca="false">$S14*($T14-$U14-$Z14)</f>
        <v>116123</v>
      </c>
      <c r="AB14" s="412" t="n">
        <f aca="false">$S14*($T14-$U14)</f>
        <v>116123</v>
      </c>
      <c r="AC14" s="410" t="n">
        <f aca="false">IF(AND($S14=1,$H14&lt;=$C$8),$Z14-N($O14),0)</f>
        <v>0</v>
      </c>
      <c r="AD14" s="413" t="s">
        <v>1477</v>
      </c>
    </row>
    <row r="15" customFormat="false" ht="15" hidden="false" customHeight="true" outlineLevel="0" collapsed="false">
      <c r="A15" s="399" t="str">
        <f aca="false">Projects!$A$6</f>
        <v>Nelrose</v>
      </c>
      <c r="B15" s="400"/>
      <c r="C15" s="401" t="str">
        <f aca="false">Projects!$F$6</f>
        <v>No</v>
      </c>
      <c r="D15" s="401" t="str">
        <f aca="false">Projects!$G$6</f>
        <v>Yes</v>
      </c>
      <c r="E15" s="402"/>
      <c r="F15" s="403" t="n">
        <f aca="false">IF($E15&lt;&gt;"",$E15,Projects!$B$6)</f>
        <v>3623245</v>
      </c>
      <c r="G15" s="400"/>
      <c r="H15" s="404" t="n">
        <f aca="false">IF($G15&lt;&gt;"",$G15,Projects!$C$6)</f>
        <v>1</v>
      </c>
      <c r="I15" s="405"/>
      <c r="J15" s="402"/>
      <c r="K15" s="400"/>
      <c r="L15" s="402"/>
      <c r="M15" s="400"/>
      <c r="N15" s="405"/>
      <c r="O15" s="402"/>
      <c r="P15" s="400"/>
      <c r="Q15" s="402"/>
      <c r="R15" s="400"/>
      <c r="S15" s="404" t="n">
        <f aca="false">IF(AND($C15="Yes",$D15="Yes"),1,0)</f>
        <v>0</v>
      </c>
      <c r="T15" s="403" t="n">
        <f aca="false">$S15*IF($J15&lt;&gt;"",$J15,$F15*IF($I15&lt;&gt;"",$I15,$C$4)/(1+IF($I15&lt;&gt;"",$I15,$C$4)))</f>
        <v>0</v>
      </c>
      <c r="U15" s="403" t="n">
        <f aca="false">$S15*IF($L15&lt;&gt;"",$L15,$F15*$C$5)</f>
        <v>0</v>
      </c>
      <c r="V15" s="403" t="n">
        <f aca="false">$S15*$F15*IF($N15&lt;&gt;"",$N15,$C$6)</f>
        <v>0</v>
      </c>
      <c r="W15" s="403" t="n">
        <f aca="false">MAX(0,$V15-$U15)</f>
        <v>0</v>
      </c>
      <c r="X15" s="404" t="n">
        <f aca="false">IF($B15&lt;&gt;"",$B15,100+$H15)</f>
        <v>101</v>
      </c>
      <c r="Y15" s="403" t="n">
        <f aca="false">$S15*MAX(0,MIN($W15,$C$7-SUMIFS($W$11:$W$54,$X$11:$X$54,"&lt;"&amp;$X15)))</f>
        <v>0</v>
      </c>
      <c r="Z15" s="403" t="n">
        <f aca="false">$W15-$Y15</f>
        <v>0</v>
      </c>
      <c r="AA15" s="406" t="n">
        <f aca="false">$S15*($T15-$U15-$Z15)</f>
        <v>0</v>
      </c>
      <c r="AB15" s="406" t="n">
        <f aca="false">$S15*($T15-$U15)</f>
        <v>0</v>
      </c>
      <c r="AC15" s="403" t="n">
        <f aca="false">IF(AND($S15=1,$H15&lt;=$C$8),$Z15-N($O15),0)</f>
        <v>0</v>
      </c>
      <c r="AD15" s="407"/>
    </row>
    <row r="16" customFormat="false" ht="15" hidden="false" customHeight="true" outlineLevel="0" collapsed="false">
      <c r="A16" s="408" t="str">
        <f aca="false">Projects!$A$7</f>
        <v>Francis</v>
      </c>
      <c r="B16" s="400" t="n">
        <v>4</v>
      </c>
      <c r="C16" s="409" t="str">
        <f aca="false">Projects!$F$7</f>
        <v>Yes</v>
      </c>
      <c r="D16" s="409" t="str">
        <f aca="false">Projects!$G$7</f>
        <v>Yes</v>
      </c>
      <c r="E16" s="402"/>
      <c r="F16" s="410" t="n">
        <f aca="false">IF($E16&lt;&gt;"",$E16,Projects!$B$7)</f>
        <v>42794765</v>
      </c>
      <c r="G16" s="400" t="n">
        <v>4</v>
      </c>
      <c r="H16" s="411" t="n">
        <f aca="false">IF($G16&lt;&gt;"",$G16,Projects!$C$7)</f>
        <v>4</v>
      </c>
      <c r="I16" s="405" t="n">
        <v>0.02</v>
      </c>
      <c r="J16" s="402" t="n">
        <v>839113</v>
      </c>
      <c r="K16" s="400" t="n">
        <v>4</v>
      </c>
      <c r="L16" s="402" t="n">
        <v>313735</v>
      </c>
      <c r="M16" s="400" t="n">
        <v>5</v>
      </c>
      <c r="N16" s="405"/>
      <c r="O16" s="402"/>
      <c r="P16" s="400"/>
      <c r="Q16" s="402"/>
      <c r="R16" s="400"/>
      <c r="S16" s="411" t="n">
        <f aca="false">IF(AND($C16="Yes",$D16="Yes"),1,0)</f>
        <v>1</v>
      </c>
      <c r="T16" s="410" t="n">
        <f aca="false">$S16*IF($J16&lt;&gt;"",$J16,$F16*IF($I16&lt;&gt;"",$I16,$C$4)/(1+IF($I16&lt;&gt;"",$I16,$C$4)))</f>
        <v>839113</v>
      </c>
      <c r="U16" s="410" t="n">
        <f aca="false">$S16*IF($L16&lt;&gt;"",$L16,$F16*$C$5)</f>
        <v>313735</v>
      </c>
      <c r="V16" s="410" t="n">
        <f aca="false">$S16*$F16*IF($N16&lt;&gt;"",$N16,$C$6)</f>
        <v>1390829.8625</v>
      </c>
      <c r="W16" s="410" t="n">
        <f aca="false">MAX(0,$V16-$U16)</f>
        <v>1077094.8625</v>
      </c>
      <c r="X16" s="411" t="n">
        <f aca="false">IF($B16&lt;&gt;"",$B16,100+$H16)</f>
        <v>4</v>
      </c>
      <c r="Y16" s="410" t="n">
        <f aca="false">$S16*MAX(0,MIN($W16,$C$7-SUMIFS($W$11:$W$54,$X$11:$X$54,"&lt;"&amp;$X16)))</f>
        <v>711481.689</v>
      </c>
      <c r="Z16" s="410" t="n">
        <f aca="false">$W16-$Y16</f>
        <v>365613.1735</v>
      </c>
      <c r="AA16" s="412" t="n">
        <f aca="false">$S16*($T16-$U16-$Z16)</f>
        <v>159764.8265</v>
      </c>
      <c r="AB16" s="412" t="n">
        <f aca="false">$S16*($T16-$U16)</f>
        <v>525378</v>
      </c>
      <c r="AC16" s="410" t="n">
        <f aca="false">IF(AND($S16=1,$H16&lt;=$C$8),$Z16-N($O16),0)</f>
        <v>365613.1735</v>
      </c>
      <c r="AD16" s="413" t="s">
        <v>1478</v>
      </c>
    </row>
    <row r="17" customFormat="false" ht="15" hidden="false" customHeight="true" outlineLevel="0" collapsed="false">
      <c r="A17" s="399" t="str">
        <f aca="false">Projects!$A$8</f>
        <v>Lexington</v>
      </c>
      <c r="B17" s="400" t="n">
        <v>5</v>
      </c>
      <c r="C17" s="401" t="str">
        <f aca="false">Projects!$F$8</f>
        <v>Yes</v>
      </c>
      <c r="D17" s="401" t="str">
        <f aca="false">Projects!$G$8</f>
        <v>Yes</v>
      </c>
      <c r="E17" s="402"/>
      <c r="F17" s="403" t="n">
        <f aca="false">IF($E17&lt;&gt;"",$E17,Projects!$B$8)</f>
        <v>12993776.05</v>
      </c>
      <c r="G17" s="400" t="n">
        <v>5</v>
      </c>
      <c r="H17" s="404" t="n">
        <f aca="false">IF($G17&lt;&gt;"",$G17,Projects!$C$8)</f>
        <v>5</v>
      </c>
      <c r="I17" s="405"/>
      <c r="J17" s="402" t="n">
        <v>192026.25</v>
      </c>
      <c r="K17" s="400" t="n">
        <v>5</v>
      </c>
      <c r="L17" s="402" t="n">
        <v>95034</v>
      </c>
      <c r="M17" s="400" t="n">
        <v>5</v>
      </c>
      <c r="N17" s="405"/>
      <c r="O17" s="402"/>
      <c r="P17" s="400"/>
      <c r="Q17" s="402"/>
      <c r="R17" s="400"/>
      <c r="S17" s="404" t="n">
        <f aca="false">IF(AND($C17="Yes",$D17="Yes"),1,0)</f>
        <v>1</v>
      </c>
      <c r="T17" s="403" t="n">
        <f aca="false">$S17*IF($J17&lt;&gt;"",$J17,$F17*IF($I17&lt;&gt;"",$I17,$C$4)/(1+IF($I17&lt;&gt;"",$I17,$C$4)))</f>
        <v>192026.25</v>
      </c>
      <c r="U17" s="403" t="n">
        <f aca="false">$S17*IF($L17&lt;&gt;"",$L17,$F17*$C$5)</f>
        <v>95034</v>
      </c>
      <c r="V17" s="403" t="n">
        <f aca="false">$S17*$F17*IF($N17&lt;&gt;"",$N17,$C$6)</f>
        <v>422297.721625</v>
      </c>
      <c r="W17" s="403" t="n">
        <f aca="false">MAX(0,$V17-$U17)</f>
        <v>327263.721625</v>
      </c>
      <c r="X17" s="404" t="n">
        <f aca="false">IF($B17&lt;&gt;"",$B17,100+$H17)</f>
        <v>5</v>
      </c>
      <c r="Y17" s="403" t="n">
        <f aca="false">$S17*MAX(0,MIN($W17,$C$7-SUMIFS($W$11:$W$54,$X$11:$X$54,"&lt;"&amp;$X17)))</f>
        <v>0</v>
      </c>
      <c r="Z17" s="403" t="n">
        <f aca="false">$W17-$Y17</f>
        <v>327263.721625</v>
      </c>
      <c r="AA17" s="406" t="n">
        <f aca="false">$S17*($T17-$U17-$Z17)</f>
        <v>-230271.471625</v>
      </c>
      <c r="AB17" s="406" t="n">
        <f aca="false">$S17*($T17-$U17)</f>
        <v>96992.25</v>
      </c>
      <c r="AC17" s="403" t="n">
        <f aca="false">IF(AND($S17=1,$H17&lt;=$C$8),$Z17-N($O17),0)</f>
        <v>327263.721625</v>
      </c>
      <c r="AD17" s="407" t="s">
        <v>1479</v>
      </c>
    </row>
    <row r="18" customFormat="false" ht="15" hidden="false" customHeight="true" outlineLevel="0" collapsed="false">
      <c r="A18" s="408" t="str">
        <f aca="false">Projects!$A$9</f>
        <v>Riverton</v>
      </c>
      <c r="B18" s="400" t="n">
        <v>3</v>
      </c>
      <c r="C18" s="409" t="str">
        <f aca="false">Projects!$F$9</f>
        <v>Yes</v>
      </c>
      <c r="D18" s="409" t="str">
        <f aca="false">Projects!$G$9</f>
        <v>Yes</v>
      </c>
      <c r="E18" s="402"/>
      <c r="F18" s="410" t="n">
        <f aca="false">IF($E18&lt;&gt;"",$E18,Projects!$B$9)</f>
        <v>14337010.8</v>
      </c>
      <c r="G18" s="400" t="n">
        <v>4</v>
      </c>
      <c r="H18" s="411" t="n">
        <f aca="false">IF($G18&lt;&gt;"",$G18,Projects!$C$9)</f>
        <v>4</v>
      </c>
      <c r="I18" s="405"/>
      <c r="J18" s="402" t="n">
        <v>211877</v>
      </c>
      <c r="K18" s="400" t="n">
        <v>4</v>
      </c>
      <c r="L18" s="402" t="n">
        <v>103966</v>
      </c>
      <c r="M18" s="400" t="n">
        <v>4</v>
      </c>
      <c r="N18" s="405"/>
      <c r="O18" s="402"/>
      <c r="P18" s="400"/>
      <c r="Q18" s="402"/>
      <c r="R18" s="400"/>
      <c r="S18" s="411" t="n">
        <f aca="false">IF(AND($C18="Yes",$D18="Yes"),1,0)</f>
        <v>1</v>
      </c>
      <c r="T18" s="410" t="n">
        <f aca="false">$S18*IF($J18&lt;&gt;"",$J18,$F18*IF($I18&lt;&gt;"",$I18,$C$4)/(1+IF($I18&lt;&gt;"",$I18,$C$4)))</f>
        <v>211877</v>
      </c>
      <c r="U18" s="410" t="n">
        <f aca="false">$S18*IF($L18&lt;&gt;"",$L18,$F18*$C$5)</f>
        <v>103966</v>
      </c>
      <c r="V18" s="410" t="n">
        <f aca="false">$S18*$F18*IF($N18&lt;&gt;"",$N18,$C$6)</f>
        <v>465952.851</v>
      </c>
      <c r="W18" s="410" t="n">
        <f aca="false">MAX(0,$V18-$U18)</f>
        <v>361986.851</v>
      </c>
      <c r="X18" s="411" t="n">
        <f aca="false">IF($B18&lt;&gt;"",$B18,100+$H18)</f>
        <v>3</v>
      </c>
      <c r="Y18" s="410" t="n">
        <f aca="false">$S18*MAX(0,MIN($W18,$C$7-SUMIFS($W$11:$W$54,$X$11:$X$54,"&lt;"&amp;$X18)))</f>
        <v>361986.851</v>
      </c>
      <c r="Z18" s="410" t="n">
        <f aca="false">$W18-$Y18</f>
        <v>0</v>
      </c>
      <c r="AA18" s="412" t="n">
        <f aca="false">$S18*($T18-$U18-$Z18)</f>
        <v>107911</v>
      </c>
      <c r="AB18" s="412" t="n">
        <f aca="false">$S18*($T18-$U18)</f>
        <v>107911</v>
      </c>
      <c r="AC18" s="410" t="n">
        <f aca="false">IF(AND($S18=1,$H18&lt;=$C$8),$Z18-N($O18),0)</f>
        <v>0</v>
      </c>
      <c r="AD18" s="413" t="s">
        <v>1480</v>
      </c>
    </row>
    <row r="19" customFormat="false" ht="15" hidden="false" customHeight="true" outlineLevel="0" collapsed="false">
      <c r="A19" s="399" t="str">
        <f aca="false">Projects!$A$10</f>
        <v>Acama</v>
      </c>
      <c r="B19" s="400"/>
      <c r="C19" s="401" t="str">
        <f aca="false">Projects!$F$10</f>
        <v>Yes</v>
      </c>
      <c r="D19" s="401" t="str">
        <f aca="false">Projects!$G$10</f>
        <v>Yes</v>
      </c>
      <c r="E19" s="402"/>
      <c r="F19" s="403" t="n">
        <f aca="false">IF($E19&lt;&gt;"",$E19,Projects!$B$10)</f>
        <v>21263405</v>
      </c>
      <c r="G19" s="400"/>
      <c r="H19" s="404" t="n">
        <f aca="false">IF($G19&lt;&gt;"",$G19,Projects!$C$10)</f>
        <v>9</v>
      </c>
      <c r="I19" s="405"/>
      <c r="J19" s="402"/>
      <c r="K19" s="400"/>
      <c r="L19" s="402"/>
      <c r="M19" s="400"/>
      <c r="N19" s="405"/>
      <c r="O19" s="402"/>
      <c r="P19" s="400"/>
      <c r="Q19" s="402"/>
      <c r="R19" s="400"/>
      <c r="S19" s="404" t="n">
        <f aca="false">IF(AND($C19="Yes",$D19="Yes"),1,0)</f>
        <v>1</v>
      </c>
      <c r="T19" s="403" t="n">
        <f aca="false">$S19*IF($J19&lt;&gt;"",$J19,$F19*IF($I19&lt;&gt;"",$I19,$C$4)/(1+IF($I19&lt;&gt;"",$I19,$C$4)))</f>
        <v>314237.512315271</v>
      </c>
      <c r="U19" s="403" t="n">
        <f aca="false">$S19*IF($L19&lt;&gt;"",$L19,$F19*$C$5)</f>
        <v>155516.489047847</v>
      </c>
      <c r="V19" s="403" t="n">
        <f aca="false">$S19*$F19*IF($N19&lt;&gt;"",$N19,$C$6)</f>
        <v>691060.6625</v>
      </c>
      <c r="W19" s="403" t="n">
        <f aca="false">MAX(0,$V19-$U19)</f>
        <v>535544.173452153</v>
      </c>
      <c r="X19" s="404" t="n">
        <f aca="false">IF($B19&lt;&gt;"",$B19,100+$H19)</f>
        <v>109</v>
      </c>
      <c r="Y19" s="403" t="n">
        <f aca="false">$S19*MAX(0,MIN($W19,$C$7-SUMIFS($W$11:$W$54,$X$11:$X$54,"&lt;"&amp;$X19)))</f>
        <v>0</v>
      </c>
      <c r="Z19" s="403" t="n">
        <f aca="false">$W19-$Y19</f>
        <v>535544.173452153</v>
      </c>
      <c r="AA19" s="406" t="n">
        <f aca="false">$S19*($T19-$U19-$Z19)</f>
        <v>-376823.150184729</v>
      </c>
      <c r="AB19" s="406" t="n">
        <f aca="false">$S19*($T19-$U19)</f>
        <v>158721.023267424</v>
      </c>
      <c r="AC19" s="403" t="n">
        <f aca="false">IF(AND($S19=1,$H19&lt;=$C$8),$Z19-N($O19),0)</f>
        <v>0</v>
      </c>
      <c r="AD19" s="407" t="s">
        <v>1481</v>
      </c>
    </row>
    <row r="20" customFormat="false" ht="15" hidden="false" customHeight="true" outlineLevel="0" collapsed="false">
      <c r="A20" s="408" t="str">
        <f aca="false">Projects!$A$11</f>
        <v>Klump</v>
      </c>
      <c r="B20" s="400"/>
      <c r="C20" s="409" t="str">
        <f aca="false">Projects!$F$11</f>
        <v>No</v>
      </c>
      <c r="D20" s="409" t="str">
        <f aca="false">Projects!$G$11</f>
        <v>Yes</v>
      </c>
      <c r="E20" s="402"/>
      <c r="F20" s="410" t="n">
        <f aca="false">IF($E20&lt;&gt;"",$E20,Projects!$B$11)</f>
        <v>9577109</v>
      </c>
      <c r="G20" s="400"/>
      <c r="H20" s="411" t="n">
        <f aca="false">IF($G20&lt;&gt;"",$G20,Projects!$C$11)</f>
        <v>11</v>
      </c>
      <c r="I20" s="405"/>
      <c r="J20" s="402"/>
      <c r="K20" s="400"/>
      <c r="L20" s="402"/>
      <c r="M20" s="400"/>
      <c r="N20" s="405"/>
      <c r="O20" s="402"/>
      <c r="P20" s="400"/>
      <c r="Q20" s="402"/>
      <c r="R20" s="400"/>
      <c r="S20" s="411" t="n">
        <f aca="false">IF(AND($C20="Yes",$D20="Yes"),1,0)</f>
        <v>0</v>
      </c>
      <c r="T20" s="410" t="n">
        <f aca="false">$S20*IF($J20&lt;&gt;"",$J20,$F20*IF($I20&lt;&gt;"",$I20,$C$4)/(1+IF($I20&lt;&gt;"",$I20,$C$4)))</f>
        <v>0</v>
      </c>
      <c r="U20" s="410" t="n">
        <f aca="false">$S20*IF($L20&lt;&gt;"",$L20,$F20*$C$5)</f>
        <v>0</v>
      </c>
      <c r="V20" s="410" t="n">
        <f aca="false">$S20*$F20*IF($N20&lt;&gt;"",$N20,$C$6)</f>
        <v>0</v>
      </c>
      <c r="W20" s="410" t="n">
        <f aca="false">MAX(0,$V20-$U20)</f>
        <v>0</v>
      </c>
      <c r="X20" s="411" t="n">
        <f aca="false">IF($B20&lt;&gt;"",$B20,100+$H20)</f>
        <v>111</v>
      </c>
      <c r="Y20" s="410" t="n">
        <f aca="false">$S20*MAX(0,MIN($W20,$C$7-SUMIFS($W$11:$W$54,$X$11:$X$54,"&lt;"&amp;$X20)))</f>
        <v>0</v>
      </c>
      <c r="Z20" s="410" t="n">
        <f aca="false">$W20-$Y20</f>
        <v>0</v>
      </c>
      <c r="AA20" s="412" t="n">
        <f aca="false">$S20*($T20-$U20-$Z20)</f>
        <v>0</v>
      </c>
      <c r="AB20" s="412" t="n">
        <f aca="false">$S20*($T20-$U20)</f>
        <v>0</v>
      </c>
      <c r="AC20" s="410" t="n">
        <f aca="false">IF(AND($S20=1,$H20&lt;=$C$8),$Z20-N($O20),0)</f>
        <v>0</v>
      </c>
      <c r="AD20" s="413"/>
    </row>
    <row r="21" customFormat="false" ht="15" hidden="false" customHeight="true" outlineLevel="0" collapsed="false">
      <c r="A21" s="399" t="str">
        <f aca="false">Projects!$A$12</f>
        <v>Scott</v>
      </c>
      <c r="B21" s="400"/>
      <c r="C21" s="401" t="str">
        <f aca="false">Projects!$F$12</f>
        <v>No</v>
      </c>
      <c r="D21" s="401" t="str">
        <f aca="false">Projects!$G$12</f>
        <v>Yes</v>
      </c>
      <c r="E21" s="402"/>
      <c r="F21" s="403" t="n">
        <f aca="false">IF($E21&lt;&gt;"",$E21,Projects!$B$12)</f>
        <v>7545203</v>
      </c>
      <c r="G21" s="400"/>
      <c r="H21" s="404" t="n">
        <f aca="false">IF($G21&lt;&gt;"",$G21,Projects!$C$12)</f>
        <v>10</v>
      </c>
      <c r="I21" s="405"/>
      <c r="J21" s="402"/>
      <c r="K21" s="400"/>
      <c r="L21" s="402"/>
      <c r="M21" s="400"/>
      <c r="N21" s="405"/>
      <c r="O21" s="402"/>
      <c r="P21" s="400"/>
      <c r="Q21" s="402"/>
      <c r="R21" s="400"/>
      <c r="S21" s="404" t="n">
        <f aca="false">IF(AND($C21="Yes",$D21="Yes"),1,0)</f>
        <v>0</v>
      </c>
      <c r="T21" s="403" t="n">
        <f aca="false">$S21*IF($J21&lt;&gt;"",$J21,$F21*IF($I21&lt;&gt;"",$I21,$C$4)/(1+IF($I21&lt;&gt;"",$I21,$C$4)))</f>
        <v>0</v>
      </c>
      <c r="U21" s="403" t="n">
        <f aca="false">$S21*IF($L21&lt;&gt;"",$L21,$F21*$C$5)</f>
        <v>0</v>
      </c>
      <c r="V21" s="403" t="n">
        <f aca="false">$S21*$F21*IF($N21&lt;&gt;"",$N21,$C$6)</f>
        <v>0</v>
      </c>
      <c r="W21" s="403" t="n">
        <f aca="false">MAX(0,$V21-$U21)</f>
        <v>0</v>
      </c>
      <c r="X21" s="404" t="n">
        <f aca="false">IF($B21&lt;&gt;"",$B21,100+$H21)</f>
        <v>110</v>
      </c>
      <c r="Y21" s="403" t="n">
        <f aca="false">$S21*MAX(0,MIN($W21,$C$7-SUMIFS($W$11:$W$54,$X$11:$X$54,"&lt;"&amp;$X21)))</f>
        <v>0</v>
      </c>
      <c r="Z21" s="403" t="n">
        <f aca="false">$W21-$Y21</f>
        <v>0</v>
      </c>
      <c r="AA21" s="406" t="n">
        <f aca="false">$S21*($T21-$U21-$Z21)</f>
        <v>0</v>
      </c>
      <c r="AB21" s="406" t="n">
        <f aca="false">$S21*($T21-$U21)</f>
        <v>0</v>
      </c>
      <c r="AC21" s="403" t="n">
        <f aca="false">IF(AND($S21=1,$H21&lt;=$C$8),$Z21-N($O21),0)</f>
        <v>0</v>
      </c>
      <c r="AD21" s="407"/>
    </row>
    <row r="22" customFormat="false" ht="15" hidden="false" customHeight="true" outlineLevel="0" collapsed="false">
      <c r="A22" s="408" t="str">
        <f aca="false">Projects!$A$13</f>
        <v>Reseda</v>
      </c>
      <c r="B22" s="400"/>
      <c r="C22" s="409" t="str">
        <f aca="false">Projects!$F$13</f>
        <v>Yes</v>
      </c>
      <c r="D22" s="409" t="str">
        <f aca="false">Projects!$G$13</f>
        <v>Yes</v>
      </c>
      <c r="E22" s="402"/>
      <c r="F22" s="410" t="n">
        <f aca="false">IF($E22&lt;&gt;"",$E22,Projects!$B$13)</f>
        <v>45266770</v>
      </c>
      <c r="G22" s="400"/>
      <c r="H22" s="411" t="n">
        <f aca="false">IF($G22&lt;&gt;"",$G22,Projects!$C$13)</f>
        <v>13</v>
      </c>
      <c r="I22" s="405"/>
      <c r="J22" s="402"/>
      <c r="K22" s="400"/>
      <c r="L22" s="402"/>
      <c r="M22" s="400"/>
      <c r="N22" s="405"/>
      <c r="O22" s="402"/>
      <c r="P22" s="400"/>
      <c r="Q22" s="402"/>
      <c r="R22" s="400"/>
      <c r="S22" s="411" t="n">
        <f aca="false">IF(AND($C22="Yes",$D22="Yes"),1,0)</f>
        <v>1</v>
      </c>
      <c r="T22" s="410" t="n">
        <f aca="false">$S22*IF($J22&lt;&gt;"",$J22,$F22*IF($I22&lt;&gt;"",$I22,$C$4)/(1+IF($I22&lt;&gt;"",$I22,$C$4)))</f>
        <v>668967.044334975</v>
      </c>
      <c r="U22" s="410" t="n">
        <f aca="false">$S22*IF($L22&lt;&gt;"",$L22,$F22*$C$5)</f>
        <v>331072.523000733</v>
      </c>
      <c r="V22" s="410" t="n">
        <f aca="false">$S22*$F22*IF($N22&lt;&gt;"",$N22,$C$6)</f>
        <v>1471170.025</v>
      </c>
      <c r="W22" s="410" t="n">
        <f aca="false">MAX(0,$V22-$U22)</f>
        <v>1140097.50199927</v>
      </c>
      <c r="X22" s="411" t="n">
        <f aca="false">IF($B22&lt;&gt;"",$B22,100+$H22)</f>
        <v>113</v>
      </c>
      <c r="Y22" s="410" t="n">
        <f aca="false">$S22*MAX(0,MIN($W22,$C$7-SUMIFS($W$11:$W$54,$X$11:$X$54,"&lt;"&amp;$X22)))</f>
        <v>0</v>
      </c>
      <c r="Z22" s="410" t="n">
        <f aca="false">$W22-$Y22</f>
        <v>1140097.50199927</v>
      </c>
      <c r="AA22" s="412" t="n">
        <f aca="false">$S22*($T22-$U22-$Z22)</f>
        <v>-802202.980665025</v>
      </c>
      <c r="AB22" s="412" t="n">
        <f aca="false">$S22*($T22-$U22)</f>
        <v>337894.521334242</v>
      </c>
      <c r="AC22" s="410" t="n">
        <f aca="false">IF(AND($S22=1,$H22&lt;=$C$8),$Z22-N($O22),0)</f>
        <v>0</v>
      </c>
      <c r="AD22" s="413"/>
    </row>
    <row r="23" customFormat="false" ht="15" hidden="false" customHeight="true" outlineLevel="0" collapsed="false">
      <c r="A23" s="399" t="str">
        <f aca="false">Projects!$A$14</f>
        <v>3rd St</v>
      </c>
      <c r="B23" s="400"/>
      <c r="C23" s="401" t="str">
        <f aca="false">Projects!$F$14</f>
        <v>Yes</v>
      </c>
      <c r="D23" s="401" t="str">
        <f aca="false">Projects!$G$14</f>
        <v>Yes</v>
      </c>
      <c r="E23" s="402"/>
      <c r="F23" s="403" t="n">
        <f aca="false">IF($E23&lt;&gt;"",$E23,Projects!$B$14)</f>
        <v>41354632</v>
      </c>
      <c r="G23" s="400"/>
      <c r="H23" s="404" t="n">
        <f aca="false">IF($G23&lt;&gt;"",$G23,Projects!$C$14)</f>
        <v>27</v>
      </c>
      <c r="I23" s="405"/>
      <c r="J23" s="402"/>
      <c r="K23" s="400"/>
      <c r="L23" s="402"/>
      <c r="M23" s="400"/>
      <c r="N23" s="405"/>
      <c r="O23" s="402"/>
      <c r="P23" s="400"/>
      <c r="Q23" s="402"/>
      <c r="R23" s="400"/>
      <c r="S23" s="404" t="n">
        <f aca="false">IF(AND($C23="Yes",$D23="Yes"),1,0)</f>
        <v>1</v>
      </c>
      <c r="T23" s="403" t="n">
        <f aca="false">$S23*IF($J23&lt;&gt;"",$J23,$F23*IF($I23&lt;&gt;"",$I23,$C$4)/(1+IF($I23&lt;&gt;"",$I23,$C$4)))</f>
        <v>611152.197044335</v>
      </c>
      <c r="U23" s="403" t="n">
        <f aca="false">$S23*IF($L23&lt;&gt;"",$L23,$F23*$C$5)</f>
        <v>302459.891748558</v>
      </c>
      <c r="V23" s="403" t="n">
        <f aca="false">$S23*$F23*IF($N23&lt;&gt;"",$N23,$C$6)</f>
        <v>1344025.54</v>
      </c>
      <c r="W23" s="403" t="n">
        <f aca="false">MAX(0,$V23-$U23)</f>
        <v>1041565.64825144</v>
      </c>
      <c r="X23" s="404" t="n">
        <f aca="false">IF($B23&lt;&gt;"",$B23,100+$H23)</f>
        <v>127</v>
      </c>
      <c r="Y23" s="403" t="n">
        <f aca="false">$S23*MAX(0,MIN($W23,$C$7-SUMIFS($W$11:$W$54,$X$11:$X$54,"&lt;"&amp;$X23)))</f>
        <v>0</v>
      </c>
      <c r="Z23" s="403" t="n">
        <f aca="false">$W23-$Y23</f>
        <v>1041565.64825144</v>
      </c>
      <c r="AA23" s="406" t="n">
        <f aca="false">$S23*($T23-$U23-$Z23)</f>
        <v>-732873.342955665</v>
      </c>
      <c r="AB23" s="406" t="n">
        <f aca="false">$S23*($T23-$U23)</f>
        <v>308692.305295778</v>
      </c>
      <c r="AC23" s="403" t="n">
        <f aca="false">IF(AND($S23=1,$H23&lt;=$C$8),$Z23-N($O23),0)</f>
        <v>0</v>
      </c>
      <c r="AD23" s="407"/>
    </row>
    <row r="24" customFormat="false" ht="15" hidden="false" customHeight="true" outlineLevel="0" collapsed="false">
      <c r="A24" s="408" t="str">
        <f aca="false">Projects!$A$17</f>
        <v>Dickens</v>
      </c>
      <c r="B24" s="400"/>
      <c r="C24" s="409" t="str">
        <f aca="false">Projects!$F$17</f>
        <v>Yes</v>
      </c>
      <c r="D24" s="409" t="str">
        <f aca="false">Projects!$G$17</f>
        <v>Yes</v>
      </c>
      <c r="E24" s="402"/>
      <c r="F24" s="410" t="n">
        <f aca="false">IF($E24&lt;&gt;"",$E24,Projects!$B$17)</f>
        <v>15316015</v>
      </c>
      <c r="G24" s="400"/>
      <c r="H24" s="411" t="n">
        <f aca="false">IF($G24&lt;&gt;"",$G24,Projects!$C$17)</f>
        <v>14</v>
      </c>
      <c r="I24" s="405"/>
      <c r="J24" s="402"/>
      <c r="K24" s="400"/>
      <c r="L24" s="402"/>
      <c r="M24" s="400"/>
      <c r="N24" s="405"/>
      <c r="O24" s="402"/>
      <c r="P24" s="400"/>
      <c r="Q24" s="402"/>
      <c r="R24" s="400"/>
      <c r="S24" s="411" t="n">
        <f aca="false">IF(AND($C24="Yes",$D24="Yes"),1,0)</f>
        <v>1</v>
      </c>
      <c r="T24" s="410" t="n">
        <f aca="false">$S24*IF($J24&lt;&gt;"",$J24,$F24*IF($I24&lt;&gt;"",$I24,$C$4)/(1+IF($I24&lt;&gt;"",$I24,$C$4)))</f>
        <v>226345.049261084</v>
      </c>
      <c r="U24" s="410" t="n">
        <f aca="false">$S24*IF($L24&lt;&gt;"",$L24,$F24*$C$5)</f>
        <v>112018.412808492</v>
      </c>
      <c r="V24" s="410" t="n">
        <f aca="false">$S24*$F24*IF($N24&lt;&gt;"",$N24,$C$6)</f>
        <v>497770.4875</v>
      </c>
      <c r="W24" s="410" t="n">
        <f aca="false">MAX(0,$V24-$U24)</f>
        <v>385752.074691508</v>
      </c>
      <c r="X24" s="411" t="n">
        <f aca="false">IF($B24&lt;&gt;"",$B24,100+$H24)</f>
        <v>114</v>
      </c>
      <c r="Y24" s="410" t="n">
        <f aca="false">$S24*MAX(0,MIN($W24,$C$7-SUMIFS($W$11:$W$54,$X$11:$X$54,"&lt;"&amp;$X24)))</f>
        <v>0</v>
      </c>
      <c r="Z24" s="410" t="n">
        <f aca="false">$W24-$Y24</f>
        <v>385752.074691508</v>
      </c>
      <c r="AA24" s="412" t="n">
        <f aca="false">$S24*($T24-$U24-$Z24)</f>
        <v>-271425.438238916</v>
      </c>
      <c r="AB24" s="412" t="n">
        <f aca="false">$S24*($T24-$U24)</f>
        <v>114326.636452592</v>
      </c>
      <c r="AC24" s="410" t="n">
        <f aca="false">IF(AND($S24=1,$H24&lt;=$C$8),$Z24-N($O24),0)</f>
        <v>0</v>
      </c>
      <c r="AD24" s="413"/>
    </row>
    <row r="25" customFormat="false" ht="15" hidden="false" customHeight="true" outlineLevel="0" collapsed="false">
      <c r="A25" s="399" t="str">
        <f aca="false">Projects!$A$18</f>
        <v>Riverton 75</v>
      </c>
      <c r="B25" s="400"/>
      <c r="C25" s="401" t="str">
        <f aca="false">Projects!$F$18</f>
        <v>Yes</v>
      </c>
      <c r="D25" s="401" t="str">
        <f aca="false">Projects!$G$18</f>
        <v>Yes</v>
      </c>
      <c r="E25" s="402"/>
      <c r="F25" s="403" t="n">
        <f aca="false">IF($E25&lt;&gt;"",$E25,Projects!$B$18)</f>
        <v>11317385</v>
      </c>
      <c r="G25" s="400"/>
      <c r="H25" s="404" t="n">
        <f aca="false">IF($G25&lt;&gt;"",$G25,Projects!$C$18)</f>
        <v>15</v>
      </c>
      <c r="I25" s="405"/>
      <c r="J25" s="402"/>
      <c r="K25" s="400"/>
      <c r="L25" s="402"/>
      <c r="M25" s="400"/>
      <c r="N25" s="405"/>
      <c r="O25" s="402"/>
      <c r="P25" s="400"/>
      <c r="Q25" s="402"/>
      <c r="R25" s="400"/>
      <c r="S25" s="404" t="n">
        <f aca="false">IF(AND($C25="Yes",$D25="Yes"),1,0)</f>
        <v>1</v>
      </c>
      <c r="T25" s="403" t="n">
        <f aca="false">$S25*IF($J25&lt;&gt;"",$J25,$F25*IF($I25&lt;&gt;"",$I25,$C$4)/(1+IF($I25&lt;&gt;"",$I25,$C$4)))</f>
        <v>167251.995073892</v>
      </c>
      <c r="U25" s="403" t="n">
        <f aca="false">$S25*IF($L25&lt;&gt;"",$L25,$F25*$C$5)</f>
        <v>82773.1955631173</v>
      </c>
      <c r="V25" s="403" t="n">
        <f aca="false">$S25*$F25*IF($N25&lt;&gt;"",$N25,$C$6)</f>
        <v>367815.0125</v>
      </c>
      <c r="W25" s="403" t="n">
        <f aca="false">MAX(0,$V25-$U25)</f>
        <v>285041.816936883</v>
      </c>
      <c r="X25" s="404" t="n">
        <f aca="false">IF($B25&lt;&gt;"",$B25,100+$H25)</f>
        <v>115</v>
      </c>
      <c r="Y25" s="403" t="n">
        <f aca="false">$S25*MAX(0,MIN($W25,$C$7-SUMIFS($W$11:$W$54,$X$11:$X$54,"&lt;"&amp;$X25)))</f>
        <v>0</v>
      </c>
      <c r="Z25" s="403" t="n">
        <f aca="false">$W25-$Y25</f>
        <v>285041.816936883</v>
      </c>
      <c r="AA25" s="406" t="n">
        <f aca="false">$S25*($T25-$U25-$Z25)</f>
        <v>-200563.017426108</v>
      </c>
      <c r="AB25" s="406" t="n">
        <f aca="false">$S25*($T25-$U25)</f>
        <v>84478.7995107743</v>
      </c>
      <c r="AC25" s="403" t="n">
        <f aca="false">IF(AND($S25=1,$H25&lt;=$C$8),$Z25-N($O25),0)</f>
        <v>0</v>
      </c>
      <c r="AD25" s="407"/>
    </row>
    <row r="26" customFormat="false" ht="15" hidden="false" customHeight="true" outlineLevel="0" collapsed="false">
      <c r="A26" s="408" t="str">
        <f aca="false">Projects!$A$19</f>
        <v>Moorpark</v>
      </c>
      <c r="B26" s="400"/>
      <c r="C26" s="409" t="str">
        <f aca="false">Projects!$F$19</f>
        <v>Yes</v>
      </c>
      <c r="D26" s="409" t="str">
        <f aca="false">Projects!$G$19</f>
        <v>Yes</v>
      </c>
      <c r="E26" s="402"/>
      <c r="F26" s="410" t="n">
        <f aca="false">IF($E26&lt;&gt;"",$E26,Projects!$B$19)</f>
        <v>18442769</v>
      </c>
      <c r="G26" s="400"/>
      <c r="H26" s="411" t="n">
        <f aca="false">IF($G26&lt;&gt;"",$G26,Projects!$C$19)</f>
        <v>16</v>
      </c>
      <c r="I26" s="405"/>
      <c r="J26" s="402"/>
      <c r="K26" s="400"/>
      <c r="L26" s="402"/>
      <c r="M26" s="400"/>
      <c r="N26" s="405"/>
      <c r="O26" s="402"/>
      <c r="P26" s="400"/>
      <c r="Q26" s="402"/>
      <c r="R26" s="400"/>
      <c r="S26" s="411" t="n">
        <f aca="false">IF(AND($C26="Yes",$D26="Yes"),1,0)</f>
        <v>1</v>
      </c>
      <c r="T26" s="410" t="n">
        <f aca="false">$S26*IF($J26&lt;&gt;"",$J26,$F26*IF($I26&lt;&gt;"",$I26,$C$4)/(1+IF($I26&lt;&gt;"",$I26,$C$4)))</f>
        <v>272553.236453202</v>
      </c>
      <c r="U26" s="410" t="n">
        <f aca="false">$S26*IF($L26&lt;&gt;"",$L26,$F26*$C$5)</f>
        <v>134886.895264445</v>
      </c>
      <c r="V26" s="410" t="n">
        <f aca="false">$S26*$F26*IF($N26&lt;&gt;"",$N26,$C$6)</f>
        <v>599389.9925</v>
      </c>
      <c r="W26" s="410" t="n">
        <f aca="false">MAX(0,$V26-$U26)</f>
        <v>464503.097235555</v>
      </c>
      <c r="X26" s="411" t="n">
        <f aca="false">IF($B26&lt;&gt;"",$B26,100+$H26)</f>
        <v>116</v>
      </c>
      <c r="Y26" s="410" t="n">
        <f aca="false">$S26*MAX(0,MIN($W26,$C$7-SUMIFS($W$11:$W$54,$X$11:$X$54,"&lt;"&amp;$X26)))</f>
        <v>0</v>
      </c>
      <c r="Z26" s="410" t="n">
        <f aca="false">$W26-$Y26</f>
        <v>464503.097235555</v>
      </c>
      <c r="AA26" s="412" t="n">
        <f aca="false">$S26*($T26-$U26-$Z26)</f>
        <v>-326836.756046798</v>
      </c>
      <c r="AB26" s="412" t="n">
        <f aca="false">$S26*($T26-$U26)</f>
        <v>137666.341188757</v>
      </c>
      <c r="AC26" s="410" t="n">
        <f aca="false">IF(AND($S26=1,$H26&lt;=$C$8),$Z26-N($O26),0)</f>
        <v>0</v>
      </c>
      <c r="AD26" s="413"/>
    </row>
    <row r="27" customFormat="false" ht="15" hidden="false" customHeight="true" outlineLevel="0" collapsed="false">
      <c r="A27" s="399" t="str">
        <f aca="false">Projects!$A$20</f>
        <v>Beverly (BD-04)</v>
      </c>
      <c r="B27" s="400"/>
      <c r="C27" s="401" t="str">
        <f aca="false">Projects!$F$20</f>
        <v>No</v>
      </c>
      <c r="D27" s="401" t="str">
        <f aca="false">Projects!$G$20</f>
        <v>Yes</v>
      </c>
      <c r="E27" s="402"/>
      <c r="F27" s="403" t="n">
        <f aca="false">IF($E27&lt;&gt;"",$E27,Projects!$B$20)</f>
        <v>25026330.58</v>
      </c>
      <c r="G27" s="400"/>
      <c r="H27" s="404" t="n">
        <f aca="false">IF($G27&lt;&gt;"",$G27,Projects!$C$20)</f>
        <v>20</v>
      </c>
      <c r="I27" s="405"/>
      <c r="J27" s="402"/>
      <c r="K27" s="400"/>
      <c r="L27" s="402"/>
      <c r="M27" s="400"/>
      <c r="N27" s="405"/>
      <c r="O27" s="402"/>
      <c r="P27" s="400"/>
      <c r="Q27" s="402"/>
      <c r="R27" s="400"/>
      <c r="S27" s="404" t="n">
        <f aca="false">IF(AND($C27="Yes",$D27="Yes"),1,0)</f>
        <v>0</v>
      </c>
      <c r="T27" s="403" t="n">
        <f aca="false">$S27*IF($J27&lt;&gt;"",$J27,$F27*IF($I27&lt;&gt;"",$I27,$C$4)/(1+IF($I27&lt;&gt;"",$I27,$C$4)))</f>
        <v>0</v>
      </c>
      <c r="U27" s="403" t="n">
        <f aca="false">$S27*IF($L27&lt;&gt;"",$L27,$F27*$C$5)</f>
        <v>0</v>
      </c>
      <c r="V27" s="403" t="n">
        <f aca="false">$S27*$F27*IF($N27&lt;&gt;"",$N27,$C$6)</f>
        <v>0</v>
      </c>
      <c r="W27" s="403" t="n">
        <f aca="false">MAX(0,$V27-$U27)</f>
        <v>0</v>
      </c>
      <c r="X27" s="404" t="n">
        <f aca="false">IF($B27&lt;&gt;"",$B27,100+$H27)</f>
        <v>120</v>
      </c>
      <c r="Y27" s="403" t="n">
        <f aca="false">$S27*MAX(0,MIN($W27,$C$7-SUMIFS($W$11:$W$54,$X$11:$X$54,"&lt;"&amp;$X27)))</f>
        <v>0</v>
      </c>
      <c r="Z27" s="403" t="n">
        <f aca="false">$W27-$Y27</f>
        <v>0</v>
      </c>
      <c r="AA27" s="406" t="n">
        <f aca="false">$S27*($T27-$U27-$Z27)</f>
        <v>0</v>
      </c>
      <c r="AB27" s="406" t="n">
        <f aca="false">$S27*($T27-$U27)</f>
        <v>0</v>
      </c>
      <c r="AC27" s="403" t="n">
        <f aca="false">IF(AND($S27=1,$H27&lt;=$C$8),$Z27-N($O27),0)</f>
        <v>0</v>
      </c>
      <c r="AD27" s="407"/>
    </row>
    <row r="28" customFormat="false" ht="15" hidden="false" customHeight="true" outlineLevel="0" collapsed="false">
      <c r="A28" s="408" t="str">
        <f aca="false">Projects!$A$21</f>
        <v>Troost (HVN)</v>
      </c>
      <c r="B28" s="400"/>
      <c r="C28" s="409" t="str">
        <f aca="false">Projects!$F$21</f>
        <v>No</v>
      </c>
      <c r="D28" s="409" t="str">
        <f aca="false">Projects!$G$21</f>
        <v>Yes</v>
      </c>
      <c r="E28" s="402"/>
      <c r="F28" s="410" t="n">
        <f aca="false">IF($E28&lt;&gt;"",$E28,Projects!$B$21)</f>
        <v>15189508.75</v>
      </c>
      <c r="G28" s="400"/>
      <c r="H28" s="411" t="n">
        <f aca="false">IF($G28&lt;&gt;"",$G28,Projects!$C$21)</f>
        <v>10</v>
      </c>
      <c r="I28" s="405"/>
      <c r="J28" s="402"/>
      <c r="K28" s="400"/>
      <c r="L28" s="402"/>
      <c r="M28" s="400"/>
      <c r="N28" s="405"/>
      <c r="O28" s="402"/>
      <c r="P28" s="400"/>
      <c r="Q28" s="402"/>
      <c r="R28" s="400"/>
      <c r="S28" s="411" t="n">
        <f aca="false">IF(AND($C28="Yes",$D28="Yes"),1,0)</f>
        <v>0</v>
      </c>
      <c r="T28" s="410" t="n">
        <f aca="false">$S28*IF($J28&lt;&gt;"",$J28,$F28*IF($I28&lt;&gt;"",$I28,$C$4)/(1+IF($I28&lt;&gt;"",$I28,$C$4)))</f>
        <v>0</v>
      </c>
      <c r="U28" s="410" t="n">
        <f aca="false">$S28*IF($L28&lt;&gt;"",$L28,$F28*$C$5)</f>
        <v>0</v>
      </c>
      <c r="V28" s="410" t="n">
        <f aca="false">$S28*$F28*IF($N28&lt;&gt;"",$N28,$C$6)</f>
        <v>0</v>
      </c>
      <c r="W28" s="410" t="n">
        <f aca="false">MAX(0,$V28-$U28)</f>
        <v>0</v>
      </c>
      <c r="X28" s="411" t="n">
        <f aca="false">IF($B28&lt;&gt;"",$B28,100+$H28)</f>
        <v>110</v>
      </c>
      <c r="Y28" s="410" t="n">
        <f aca="false">$S28*MAX(0,MIN($W28,$C$7-SUMIFS($W$11:$W$54,$X$11:$X$54,"&lt;"&amp;$X28)))</f>
        <v>0</v>
      </c>
      <c r="Z28" s="410" t="n">
        <f aca="false">$W28-$Y28</f>
        <v>0</v>
      </c>
      <c r="AA28" s="412" t="n">
        <f aca="false">$S28*($T28-$U28-$Z28)</f>
        <v>0</v>
      </c>
      <c r="AB28" s="412" t="n">
        <f aca="false">$S28*($T28-$U28)</f>
        <v>0</v>
      </c>
      <c r="AC28" s="410" t="n">
        <f aca="false">IF(AND($S28=1,$H28&lt;=$C$8),$Z28-N($O28),0)</f>
        <v>0</v>
      </c>
      <c r="AD28" s="413"/>
    </row>
    <row r="29" customFormat="false" ht="15" hidden="false" customHeight="true" outlineLevel="0" collapsed="false">
      <c r="A29" s="399" t="str">
        <f aca="false">Projects!$A$22</f>
        <v>BD-06</v>
      </c>
      <c r="B29" s="400"/>
      <c r="C29" s="401" t="str">
        <f aca="false">Projects!$F$22</f>
        <v>No</v>
      </c>
      <c r="D29" s="401" t="str">
        <f aca="false">Projects!$G$22</f>
        <v>No</v>
      </c>
      <c r="E29" s="402"/>
      <c r="F29" s="403" t="n">
        <f aca="false">IF($E29&lt;&gt;"",$E29,Projects!$B$22)</f>
        <v>15000000</v>
      </c>
      <c r="G29" s="400"/>
      <c r="H29" s="404" t="n">
        <f aca="false">IF($G29&lt;&gt;"",$G29,Projects!$C$22)</f>
        <v>31</v>
      </c>
      <c r="I29" s="405"/>
      <c r="J29" s="402"/>
      <c r="K29" s="400"/>
      <c r="L29" s="402"/>
      <c r="M29" s="400"/>
      <c r="N29" s="405"/>
      <c r="O29" s="402"/>
      <c r="P29" s="400"/>
      <c r="Q29" s="402"/>
      <c r="R29" s="400"/>
      <c r="S29" s="404" t="n">
        <f aca="false">IF(AND($C29="Yes",$D29="Yes"),1,0)</f>
        <v>0</v>
      </c>
      <c r="T29" s="403" t="n">
        <f aca="false">$S29*IF($J29&lt;&gt;"",$J29,$F29*IF($I29&lt;&gt;"",$I29,$C$4)/(1+IF($I29&lt;&gt;"",$I29,$C$4)))</f>
        <v>0</v>
      </c>
      <c r="U29" s="403" t="n">
        <f aca="false">$S29*IF($L29&lt;&gt;"",$L29,$F29*$C$5)</f>
        <v>0</v>
      </c>
      <c r="V29" s="403" t="n">
        <f aca="false">$S29*$F29*IF($N29&lt;&gt;"",$N29,$C$6)</f>
        <v>0</v>
      </c>
      <c r="W29" s="403" t="n">
        <f aca="false">MAX(0,$V29-$U29)</f>
        <v>0</v>
      </c>
      <c r="X29" s="404" t="n">
        <f aca="false">IF($B29&lt;&gt;"",$B29,100+$H29)</f>
        <v>131</v>
      </c>
      <c r="Y29" s="403" t="n">
        <f aca="false">$S29*MAX(0,MIN($W29,$C$7-SUMIFS($W$11:$W$54,$X$11:$X$54,"&lt;"&amp;$X29)))</f>
        <v>0</v>
      </c>
      <c r="Z29" s="403" t="n">
        <f aca="false">$W29-$Y29</f>
        <v>0</v>
      </c>
      <c r="AA29" s="406" t="n">
        <f aca="false">$S29*($T29-$U29-$Z29)</f>
        <v>0</v>
      </c>
      <c r="AB29" s="406" t="n">
        <f aca="false">$S29*($T29-$U29)</f>
        <v>0</v>
      </c>
      <c r="AC29" s="403" t="n">
        <f aca="false">IF(AND($S29=1,$H29&lt;=$C$8),$Z29-N($O29),0)</f>
        <v>0</v>
      </c>
      <c r="AD29" s="407"/>
    </row>
    <row r="30" customFormat="false" ht="15" hidden="false" customHeight="true" outlineLevel="0" collapsed="false">
      <c r="A30" s="408" t="str">
        <f aca="false">Projects!$A$23</f>
        <v>BD-07</v>
      </c>
      <c r="B30" s="400"/>
      <c r="C30" s="409" t="str">
        <f aca="false">Projects!$F$23</f>
        <v>Yes</v>
      </c>
      <c r="D30" s="409" t="str">
        <f aca="false">Projects!$G$23</f>
        <v>No</v>
      </c>
      <c r="E30" s="402"/>
      <c r="F30" s="410" t="n">
        <f aca="false">IF($E30&lt;&gt;"",$E30,Projects!$B$23)</f>
        <v>15000000</v>
      </c>
      <c r="G30" s="400"/>
      <c r="H30" s="411" t="n">
        <f aca="false">IF($G30&lt;&gt;"",$G30,Projects!$C$23)</f>
        <v>34</v>
      </c>
      <c r="I30" s="405"/>
      <c r="J30" s="402"/>
      <c r="K30" s="400"/>
      <c r="L30" s="402"/>
      <c r="M30" s="400"/>
      <c r="N30" s="405"/>
      <c r="O30" s="402"/>
      <c r="P30" s="400"/>
      <c r="Q30" s="402"/>
      <c r="R30" s="400"/>
      <c r="S30" s="411" t="n">
        <f aca="false">IF(AND($C30="Yes",$D30="Yes"),1,0)</f>
        <v>0</v>
      </c>
      <c r="T30" s="410" t="n">
        <f aca="false">$S30*IF($J30&lt;&gt;"",$J30,$F30*IF($I30&lt;&gt;"",$I30,$C$4)/(1+IF($I30&lt;&gt;"",$I30,$C$4)))</f>
        <v>0</v>
      </c>
      <c r="U30" s="410" t="n">
        <f aca="false">$S30*IF($L30&lt;&gt;"",$L30,$F30*$C$5)</f>
        <v>0</v>
      </c>
      <c r="V30" s="410" t="n">
        <f aca="false">$S30*$F30*IF($N30&lt;&gt;"",$N30,$C$6)</f>
        <v>0</v>
      </c>
      <c r="W30" s="410" t="n">
        <f aca="false">MAX(0,$V30-$U30)</f>
        <v>0</v>
      </c>
      <c r="X30" s="411" t="n">
        <f aca="false">IF($B30&lt;&gt;"",$B30,100+$H30)</f>
        <v>134</v>
      </c>
      <c r="Y30" s="410" t="n">
        <f aca="false">$S30*MAX(0,MIN($W30,$C$7-SUMIFS($W$11:$W$54,$X$11:$X$54,"&lt;"&amp;$X30)))</f>
        <v>0</v>
      </c>
      <c r="Z30" s="410" t="n">
        <f aca="false">$W30-$Y30</f>
        <v>0</v>
      </c>
      <c r="AA30" s="412" t="n">
        <f aca="false">$S30*($T30-$U30-$Z30)</f>
        <v>0</v>
      </c>
      <c r="AB30" s="412" t="n">
        <f aca="false">$S30*($T30-$U30)</f>
        <v>0</v>
      </c>
      <c r="AC30" s="410" t="n">
        <f aca="false">IF(AND($S30=1,$H30&lt;=$C$8),$Z30-N($O30),0)</f>
        <v>0</v>
      </c>
      <c r="AD30" s="413"/>
    </row>
    <row r="31" customFormat="false" ht="15" hidden="false" customHeight="true" outlineLevel="0" collapsed="false">
      <c r="A31" s="399" t="str">
        <f aca="false">Projects!$A$24</f>
        <v>BD-08</v>
      </c>
      <c r="B31" s="400"/>
      <c r="C31" s="401" t="str">
        <f aca="false">Projects!$F$24</f>
        <v>No</v>
      </c>
      <c r="D31" s="401" t="str">
        <f aca="false">Projects!$G$24</f>
        <v>No</v>
      </c>
      <c r="E31" s="402"/>
      <c r="F31" s="403" t="n">
        <f aca="false">IF($E31&lt;&gt;"",$E31,Projects!$B$24)</f>
        <v>18000000</v>
      </c>
      <c r="G31" s="400"/>
      <c r="H31" s="404" t="n">
        <f aca="false">IF($G31&lt;&gt;"",$G31,Projects!$C$24)</f>
        <v>37</v>
      </c>
      <c r="I31" s="405"/>
      <c r="J31" s="402"/>
      <c r="K31" s="400"/>
      <c r="L31" s="402"/>
      <c r="M31" s="400"/>
      <c r="N31" s="405"/>
      <c r="O31" s="402"/>
      <c r="P31" s="400"/>
      <c r="Q31" s="402"/>
      <c r="R31" s="400"/>
      <c r="S31" s="404" t="n">
        <f aca="false">IF(AND($C31="Yes",$D31="Yes"),1,0)</f>
        <v>0</v>
      </c>
      <c r="T31" s="403" t="n">
        <f aca="false">$S31*IF($J31&lt;&gt;"",$J31,$F31*IF($I31&lt;&gt;"",$I31,$C$4)/(1+IF($I31&lt;&gt;"",$I31,$C$4)))</f>
        <v>0</v>
      </c>
      <c r="U31" s="403" t="n">
        <f aca="false">$S31*IF($L31&lt;&gt;"",$L31,$F31*$C$5)</f>
        <v>0</v>
      </c>
      <c r="V31" s="403" t="n">
        <f aca="false">$S31*$F31*IF($N31&lt;&gt;"",$N31,$C$6)</f>
        <v>0</v>
      </c>
      <c r="W31" s="403" t="n">
        <f aca="false">MAX(0,$V31-$U31)</f>
        <v>0</v>
      </c>
      <c r="X31" s="404" t="n">
        <f aca="false">IF($B31&lt;&gt;"",$B31,100+$H31)</f>
        <v>137</v>
      </c>
      <c r="Y31" s="403" t="n">
        <f aca="false">$S31*MAX(0,MIN($W31,$C$7-SUMIFS($W$11:$W$54,$X$11:$X$54,"&lt;"&amp;$X31)))</f>
        <v>0</v>
      </c>
      <c r="Z31" s="403" t="n">
        <f aca="false">$W31-$Y31</f>
        <v>0</v>
      </c>
      <c r="AA31" s="406" t="n">
        <f aca="false">$S31*($T31-$U31-$Z31)</f>
        <v>0</v>
      </c>
      <c r="AB31" s="406" t="n">
        <f aca="false">$S31*($T31-$U31)</f>
        <v>0</v>
      </c>
      <c r="AC31" s="403" t="n">
        <f aca="false">IF(AND($S31=1,$H31&lt;=$C$8),$Z31-N($O31),0)</f>
        <v>0</v>
      </c>
      <c r="AD31" s="407"/>
    </row>
    <row r="32" customFormat="false" ht="15" hidden="false" customHeight="true" outlineLevel="0" collapsed="false">
      <c r="A32" s="408" t="str">
        <f aca="false">Projects!$A$25</f>
        <v>BD-09</v>
      </c>
      <c r="B32" s="400"/>
      <c r="C32" s="409" t="str">
        <f aca="false">Projects!$F$25</f>
        <v>No</v>
      </c>
      <c r="D32" s="409" t="str">
        <f aca="false">Projects!$G$25</f>
        <v>No</v>
      </c>
      <c r="E32" s="402"/>
      <c r="F32" s="410" t="n">
        <f aca="false">IF($E32&lt;&gt;"",$E32,Projects!$B$25)</f>
        <v>18000000</v>
      </c>
      <c r="G32" s="400"/>
      <c r="H32" s="411" t="n">
        <f aca="false">IF($G32&lt;&gt;"",$G32,Projects!$C$25)</f>
        <v>40</v>
      </c>
      <c r="I32" s="405"/>
      <c r="J32" s="402"/>
      <c r="K32" s="400"/>
      <c r="L32" s="402"/>
      <c r="M32" s="400"/>
      <c r="N32" s="405"/>
      <c r="O32" s="402"/>
      <c r="P32" s="400"/>
      <c r="Q32" s="402"/>
      <c r="R32" s="400"/>
      <c r="S32" s="411" t="n">
        <f aca="false">IF(AND($C32="Yes",$D32="Yes"),1,0)</f>
        <v>0</v>
      </c>
      <c r="T32" s="410" t="n">
        <f aca="false">$S32*IF($J32&lt;&gt;"",$J32,$F32*IF($I32&lt;&gt;"",$I32,$C$4)/(1+IF($I32&lt;&gt;"",$I32,$C$4)))</f>
        <v>0</v>
      </c>
      <c r="U32" s="410" t="n">
        <f aca="false">$S32*IF($L32&lt;&gt;"",$L32,$F32*$C$5)</f>
        <v>0</v>
      </c>
      <c r="V32" s="410" t="n">
        <f aca="false">$S32*$F32*IF($N32&lt;&gt;"",$N32,$C$6)</f>
        <v>0</v>
      </c>
      <c r="W32" s="410" t="n">
        <f aca="false">MAX(0,$V32-$U32)</f>
        <v>0</v>
      </c>
      <c r="X32" s="411" t="n">
        <f aca="false">IF($B32&lt;&gt;"",$B32,100+$H32)</f>
        <v>140</v>
      </c>
      <c r="Y32" s="410" t="n">
        <f aca="false">$S32*MAX(0,MIN($W32,$C$7-SUMIFS($W$11:$W$54,$X$11:$X$54,"&lt;"&amp;$X32)))</f>
        <v>0</v>
      </c>
      <c r="Z32" s="410" t="n">
        <f aca="false">$W32-$Y32</f>
        <v>0</v>
      </c>
      <c r="AA32" s="412" t="n">
        <f aca="false">$S32*($T32-$U32-$Z32)</f>
        <v>0</v>
      </c>
      <c r="AB32" s="412" t="n">
        <f aca="false">$S32*($T32-$U32)</f>
        <v>0</v>
      </c>
      <c r="AC32" s="410" t="n">
        <f aca="false">IF(AND($S32=1,$H32&lt;=$C$8),$Z32-N($O32),0)</f>
        <v>0</v>
      </c>
      <c r="AD32" s="413"/>
    </row>
    <row r="33" customFormat="false" ht="15" hidden="false" customHeight="true" outlineLevel="0" collapsed="false">
      <c r="A33" s="399" t="str">
        <f aca="false">Projects!$A$26</f>
        <v>BD-10</v>
      </c>
      <c r="B33" s="400"/>
      <c r="C33" s="401" t="str">
        <f aca="false">Projects!$F$26</f>
        <v>No</v>
      </c>
      <c r="D33" s="401" t="str">
        <f aca="false">Projects!$G$26</f>
        <v>No</v>
      </c>
      <c r="E33" s="402"/>
      <c r="F33" s="403" t="n">
        <f aca="false">IF($E33&lt;&gt;"",$E33,Projects!$B$26)</f>
        <v>18000000</v>
      </c>
      <c r="G33" s="400"/>
      <c r="H33" s="404" t="n">
        <f aca="false">IF($G33&lt;&gt;"",$G33,Projects!$C$26)</f>
        <v>42</v>
      </c>
      <c r="I33" s="405"/>
      <c r="J33" s="402"/>
      <c r="K33" s="400"/>
      <c r="L33" s="402"/>
      <c r="M33" s="400"/>
      <c r="N33" s="405"/>
      <c r="O33" s="402"/>
      <c r="P33" s="400"/>
      <c r="Q33" s="402"/>
      <c r="R33" s="400"/>
      <c r="S33" s="404" t="n">
        <f aca="false">IF(AND($C33="Yes",$D33="Yes"),1,0)</f>
        <v>0</v>
      </c>
      <c r="T33" s="403" t="n">
        <f aca="false">$S33*IF($J33&lt;&gt;"",$J33,$F33*IF($I33&lt;&gt;"",$I33,$C$4)/(1+IF($I33&lt;&gt;"",$I33,$C$4)))</f>
        <v>0</v>
      </c>
      <c r="U33" s="403" t="n">
        <f aca="false">$S33*IF($L33&lt;&gt;"",$L33,$F33*$C$5)</f>
        <v>0</v>
      </c>
      <c r="V33" s="403" t="n">
        <f aca="false">$S33*$F33*IF($N33&lt;&gt;"",$N33,$C$6)</f>
        <v>0</v>
      </c>
      <c r="W33" s="403" t="n">
        <f aca="false">MAX(0,$V33-$U33)</f>
        <v>0</v>
      </c>
      <c r="X33" s="404" t="n">
        <f aca="false">IF($B33&lt;&gt;"",$B33,100+$H33)</f>
        <v>142</v>
      </c>
      <c r="Y33" s="403" t="n">
        <f aca="false">$S33*MAX(0,MIN($W33,$C$7-SUMIFS($W$11:$W$54,$X$11:$X$54,"&lt;"&amp;$X33)))</f>
        <v>0</v>
      </c>
      <c r="Z33" s="403" t="n">
        <f aca="false">$W33-$Y33</f>
        <v>0</v>
      </c>
      <c r="AA33" s="406" t="n">
        <f aca="false">$S33*($T33-$U33-$Z33)</f>
        <v>0</v>
      </c>
      <c r="AB33" s="406" t="n">
        <f aca="false">$S33*($T33-$U33)</f>
        <v>0</v>
      </c>
      <c r="AC33" s="403" t="n">
        <f aca="false">IF(AND($S33=1,$H33&lt;=$C$8),$Z33-N($O33),0)</f>
        <v>0</v>
      </c>
      <c r="AD33" s="407"/>
    </row>
    <row r="34" customFormat="false" ht="15" hidden="false" customHeight="true" outlineLevel="0" collapsed="false">
      <c r="A34" s="408" t="str">
        <f aca="false">Projects!$A$27</f>
        <v>BD-11</v>
      </c>
      <c r="B34" s="400"/>
      <c r="C34" s="409" t="str">
        <f aca="false">Projects!$F$27</f>
        <v>No</v>
      </c>
      <c r="D34" s="409" t="str">
        <f aca="false">Projects!$G$27</f>
        <v>No</v>
      </c>
      <c r="E34" s="402"/>
      <c r="F34" s="410" t="n">
        <f aca="false">IF($E34&lt;&gt;"",$E34,Projects!$B$27)</f>
        <v>15000000</v>
      </c>
      <c r="G34" s="400"/>
      <c r="H34" s="411" t="n">
        <f aca="false">IF($G34&lt;&gt;"",$G34,Projects!$C$27)</f>
        <v>44</v>
      </c>
      <c r="I34" s="405"/>
      <c r="J34" s="402"/>
      <c r="K34" s="400"/>
      <c r="L34" s="402"/>
      <c r="M34" s="400"/>
      <c r="N34" s="405"/>
      <c r="O34" s="402"/>
      <c r="P34" s="400"/>
      <c r="Q34" s="402"/>
      <c r="R34" s="400"/>
      <c r="S34" s="411" t="n">
        <f aca="false">IF(AND($C34="Yes",$D34="Yes"),1,0)</f>
        <v>0</v>
      </c>
      <c r="T34" s="410" t="n">
        <f aca="false">$S34*IF($J34&lt;&gt;"",$J34,$F34*IF($I34&lt;&gt;"",$I34,$C$4)/(1+IF($I34&lt;&gt;"",$I34,$C$4)))</f>
        <v>0</v>
      </c>
      <c r="U34" s="410" t="n">
        <f aca="false">$S34*IF($L34&lt;&gt;"",$L34,$F34*$C$5)</f>
        <v>0</v>
      </c>
      <c r="V34" s="410" t="n">
        <f aca="false">$S34*$F34*IF($N34&lt;&gt;"",$N34,$C$6)</f>
        <v>0</v>
      </c>
      <c r="W34" s="410" t="n">
        <f aca="false">MAX(0,$V34-$U34)</f>
        <v>0</v>
      </c>
      <c r="X34" s="411" t="n">
        <f aca="false">IF($B34&lt;&gt;"",$B34,100+$H34)</f>
        <v>144</v>
      </c>
      <c r="Y34" s="410" t="n">
        <f aca="false">$S34*MAX(0,MIN($W34,$C$7-SUMIFS($W$11:$W$54,$X$11:$X$54,"&lt;"&amp;$X34)))</f>
        <v>0</v>
      </c>
      <c r="Z34" s="410" t="n">
        <f aca="false">$W34-$Y34</f>
        <v>0</v>
      </c>
      <c r="AA34" s="412" t="n">
        <f aca="false">$S34*($T34-$U34-$Z34)</f>
        <v>0</v>
      </c>
      <c r="AB34" s="412" t="n">
        <f aca="false">$S34*($T34-$U34)</f>
        <v>0</v>
      </c>
      <c r="AC34" s="410" t="n">
        <f aca="false">IF(AND($S34=1,$H34&lt;=$C$8),$Z34-N($O34),0)</f>
        <v>0</v>
      </c>
      <c r="AD34" s="413"/>
    </row>
    <row r="35" customFormat="false" ht="15" hidden="false" customHeight="true" outlineLevel="0" collapsed="false">
      <c r="A35" s="399" t="str">
        <f aca="false">Projects!$A$28</f>
        <v>BD-12</v>
      </c>
      <c r="B35" s="400"/>
      <c r="C35" s="401" t="str">
        <f aca="false">Projects!$F$28</f>
        <v>Yes</v>
      </c>
      <c r="D35" s="401" t="str">
        <f aca="false">Projects!$G$28</f>
        <v>No</v>
      </c>
      <c r="E35" s="402"/>
      <c r="F35" s="403" t="n">
        <f aca="false">IF($E35&lt;&gt;"",$E35,Projects!$B$28)</f>
        <v>15000000</v>
      </c>
      <c r="G35" s="400"/>
      <c r="H35" s="404" t="n">
        <f aca="false">IF($G35&lt;&gt;"",$G35,Projects!$C$28)</f>
        <v>46</v>
      </c>
      <c r="I35" s="405"/>
      <c r="J35" s="402"/>
      <c r="K35" s="400"/>
      <c r="L35" s="402"/>
      <c r="M35" s="400"/>
      <c r="N35" s="405"/>
      <c r="O35" s="402"/>
      <c r="P35" s="400"/>
      <c r="Q35" s="402"/>
      <c r="R35" s="400"/>
      <c r="S35" s="404" t="n">
        <f aca="false">IF(AND($C35="Yes",$D35="Yes"),1,0)</f>
        <v>0</v>
      </c>
      <c r="T35" s="403" t="n">
        <f aca="false">$S35*IF($J35&lt;&gt;"",$J35,$F35*IF($I35&lt;&gt;"",$I35,$C$4)/(1+IF($I35&lt;&gt;"",$I35,$C$4)))</f>
        <v>0</v>
      </c>
      <c r="U35" s="403" t="n">
        <f aca="false">$S35*IF($L35&lt;&gt;"",$L35,$F35*$C$5)</f>
        <v>0</v>
      </c>
      <c r="V35" s="403" t="n">
        <f aca="false">$S35*$F35*IF($N35&lt;&gt;"",$N35,$C$6)</f>
        <v>0</v>
      </c>
      <c r="W35" s="403" t="n">
        <f aca="false">MAX(0,$V35-$U35)</f>
        <v>0</v>
      </c>
      <c r="X35" s="404" t="n">
        <f aca="false">IF($B35&lt;&gt;"",$B35,100+$H35)</f>
        <v>146</v>
      </c>
      <c r="Y35" s="403" t="n">
        <f aca="false">$S35*MAX(0,MIN($W35,$C$7-SUMIFS($W$11:$W$54,$X$11:$X$54,"&lt;"&amp;$X35)))</f>
        <v>0</v>
      </c>
      <c r="Z35" s="403" t="n">
        <f aca="false">$W35-$Y35</f>
        <v>0</v>
      </c>
      <c r="AA35" s="406" t="n">
        <f aca="false">$S35*($T35-$U35-$Z35)</f>
        <v>0</v>
      </c>
      <c r="AB35" s="406" t="n">
        <f aca="false">$S35*($T35-$U35)</f>
        <v>0</v>
      </c>
      <c r="AC35" s="403" t="n">
        <f aca="false">IF(AND($S35=1,$H35&lt;=$C$8),$Z35-N($O35),0)</f>
        <v>0</v>
      </c>
      <c r="AD35" s="407"/>
    </row>
    <row r="36" customFormat="false" ht="15" hidden="false" customHeight="true" outlineLevel="0" collapsed="false">
      <c r="A36" s="408" t="str">
        <f aca="false">Projects!$A$29</f>
        <v>BD-13</v>
      </c>
      <c r="B36" s="400"/>
      <c r="C36" s="409" t="str">
        <f aca="false">Projects!$F$29</f>
        <v>No</v>
      </c>
      <c r="D36" s="409" t="str">
        <f aca="false">Projects!$G$29</f>
        <v>No</v>
      </c>
      <c r="E36" s="402"/>
      <c r="F36" s="410" t="n">
        <f aca="false">IF($E36&lt;&gt;"",$E36,Projects!$B$29)</f>
        <v>15000000</v>
      </c>
      <c r="G36" s="400"/>
      <c r="H36" s="411" t="n">
        <f aca="false">IF($G36&lt;&gt;"",$G36,Projects!$C$29)</f>
        <v>48</v>
      </c>
      <c r="I36" s="405"/>
      <c r="J36" s="402"/>
      <c r="K36" s="400"/>
      <c r="L36" s="402"/>
      <c r="M36" s="400"/>
      <c r="N36" s="405"/>
      <c r="O36" s="402"/>
      <c r="P36" s="400"/>
      <c r="Q36" s="402"/>
      <c r="R36" s="400"/>
      <c r="S36" s="411" t="n">
        <f aca="false">IF(AND($C36="Yes",$D36="Yes"),1,0)</f>
        <v>0</v>
      </c>
      <c r="T36" s="410" t="n">
        <f aca="false">$S36*IF($J36&lt;&gt;"",$J36,$F36*IF($I36&lt;&gt;"",$I36,$C$4)/(1+IF($I36&lt;&gt;"",$I36,$C$4)))</f>
        <v>0</v>
      </c>
      <c r="U36" s="410" t="n">
        <f aca="false">$S36*IF($L36&lt;&gt;"",$L36,$F36*$C$5)</f>
        <v>0</v>
      </c>
      <c r="V36" s="410" t="n">
        <f aca="false">$S36*$F36*IF($N36&lt;&gt;"",$N36,$C$6)</f>
        <v>0</v>
      </c>
      <c r="W36" s="410" t="n">
        <f aca="false">MAX(0,$V36-$U36)</f>
        <v>0</v>
      </c>
      <c r="X36" s="411" t="n">
        <f aca="false">IF($B36&lt;&gt;"",$B36,100+$H36)</f>
        <v>148</v>
      </c>
      <c r="Y36" s="410" t="n">
        <f aca="false">$S36*MAX(0,MIN($W36,$C$7-SUMIFS($W$11:$W$54,$X$11:$X$54,"&lt;"&amp;$X36)))</f>
        <v>0</v>
      </c>
      <c r="Z36" s="410" t="n">
        <f aca="false">$W36-$Y36</f>
        <v>0</v>
      </c>
      <c r="AA36" s="412" t="n">
        <f aca="false">$S36*($T36-$U36-$Z36)</f>
        <v>0</v>
      </c>
      <c r="AB36" s="412" t="n">
        <f aca="false">$S36*($T36-$U36)</f>
        <v>0</v>
      </c>
      <c r="AC36" s="410" t="n">
        <f aca="false">IF(AND($S36=1,$H36&lt;=$C$8),$Z36-N($O36),0)</f>
        <v>0</v>
      </c>
      <c r="AD36" s="413"/>
    </row>
    <row r="37" customFormat="false" ht="15" hidden="false" customHeight="true" outlineLevel="0" collapsed="false">
      <c r="A37" s="399" t="str">
        <f aca="false">Projects!$A$30</f>
        <v>BD-14</v>
      </c>
      <c r="B37" s="400"/>
      <c r="C37" s="401" t="str">
        <f aca="false">Projects!$F$30</f>
        <v>No</v>
      </c>
      <c r="D37" s="401" t="str">
        <f aca="false">Projects!$G$30</f>
        <v>No</v>
      </c>
      <c r="E37" s="402"/>
      <c r="F37" s="403" t="n">
        <f aca="false">IF($E37&lt;&gt;"",$E37,Projects!$B$30)</f>
        <v>15000000</v>
      </c>
      <c r="G37" s="400"/>
      <c r="H37" s="404" t="n">
        <f aca="false">IF($G37&lt;&gt;"",$G37,Projects!$C$30)</f>
        <v>50</v>
      </c>
      <c r="I37" s="405"/>
      <c r="J37" s="402"/>
      <c r="K37" s="400"/>
      <c r="L37" s="402"/>
      <c r="M37" s="400"/>
      <c r="N37" s="405"/>
      <c r="O37" s="402"/>
      <c r="P37" s="400"/>
      <c r="Q37" s="402"/>
      <c r="R37" s="400"/>
      <c r="S37" s="404" t="n">
        <f aca="false">IF(AND($C37="Yes",$D37="Yes"),1,0)</f>
        <v>0</v>
      </c>
      <c r="T37" s="403" t="n">
        <f aca="false">$S37*IF($J37&lt;&gt;"",$J37,$F37*IF($I37&lt;&gt;"",$I37,$C$4)/(1+IF($I37&lt;&gt;"",$I37,$C$4)))</f>
        <v>0</v>
      </c>
      <c r="U37" s="403" t="n">
        <f aca="false">$S37*IF($L37&lt;&gt;"",$L37,$F37*$C$5)</f>
        <v>0</v>
      </c>
      <c r="V37" s="403" t="n">
        <f aca="false">$S37*$F37*IF($N37&lt;&gt;"",$N37,$C$6)</f>
        <v>0</v>
      </c>
      <c r="W37" s="403" t="n">
        <f aca="false">MAX(0,$V37-$U37)</f>
        <v>0</v>
      </c>
      <c r="X37" s="404" t="n">
        <f aca="false">IF($B37&lt;&gt;"",$B37,100+$H37)</f>
        <v>150</v>
      </c>
      <c r="Y37" s="403" t="n">
        <f aca="false">$S37*MAX(0,MIN($W37,$C$7-SUMIFS($W$11:$W$54,$X$11:$X$54,"&lt;"&amp;$X37)))</f>
        <v>0</v>
      </c>
      <c r="Z37" s="403" t="n">
        <f aca="false">$W37-$Y37</f>
        <v>0</v>
      </c>
      <c r="AA37" s="406" t="n">
        <f aca="false">$S37*($T37-$U37-$Z37)</f>
        <v>0</v>
      </c>
      <c r="AB37" s="406" t="n">
        <f aca="false">$S37*($T37-$U37)</f>
        <v>0</v>
      </c>
      <c r="AC37" s="403" t="n">
        <f aca="false">IF(AND($S37=1,$H37&lt;=$C$8),$Z37-N($O37),0)</f>
        <v>0</v>
      </c>
      <c r="AD37" s="407"/>
    </row>
    <row r="38" customFormat="false" ht="15" hidden="false" customHeight="true" outlineLevel="0" collapsed="false">
      <c r="A38" s="408" t="str">
        <f aca="false">Projects!$A$31</f>
        <v>BD-15</v>
      </c>
      <c r="B38" s="400"/>
      <c r="C38" s="409" t="str">
        <f aca="false">Projects!$F$31</f>
        <v>No</v>
      </c>
      <c r="D38" s="409" t="str">
        <f aca="false">Projects!$G$31</f>
        <v>No</v>
      </c>
      <c r="E38" s="402"/>
      <c r="F38" s="410" t="n">
        <f aca="false">IF($E38&lt;&gt;"",$E38,Projects!$B$31)</f>
        <v>18000000</v>
      </c>
      <c r="G38" s="400"/>
      <c r="H38" s="411" t="n">
        <f aca="false">IF($G38&lt;&gt;"",$G38,Projects!$C$31)</f>
        <v>52</v>
      </c>
      <c r="I38" s="405"/>
      <c r="J38" s="402"/>
      <c r="K38" s="400"/>
      <c r="L38" s="402"/>
      <c r="M38" s="400"/>
      <c r="N38" s="405"/>
      <c r="O38" s="402"/>
      <c r="P38" s="400"/>
      <c r="Q38" s="402"/>
      <c r="R38" s="400"/>
      <c r="S38" s="411" t="n">
        <f aca="false">IF(AND($C38="Yes",$D38="Yes"),1,0)</f>
        <v>0</v>
      </c>
      <c r="T38" s="410" t="n">
        <f aca="false">$S38*IF($J38&lt;&gt;"",$J38,$F38*IF($I38&lt;&gt;"",$I38,$C$4)/(1+IF($I38&lt;&gt;"",$I38,$C$4)))</f>
        <v>0</v>
      </c>
      <c r="U38" s="410" t="n">
        <f aca="false">$S38*IF($L38&lt;&gt;"",$L38,$F38*$C$5)</f>
        <v>0</v>
      </c>
      <c r="V38" s="410" t="n">
        <f aca="false">$S38*$F38*IF($N38&lt;&gt;"",$N38,$C$6)</f>
        <v>0</v>
      </c>
      <c r="W38" s="410" t="n">
        <f aca="false">MAX(0,$V38-$U38)</f>
        <v>0</v>
      </c>
      <c r="X38" s="411" t="n">
        <f aca="false">IF($B38&lt;&gt;"",$B38,100+$H38)</f>
        <v>152</v>
      </c>
      <c r="Y38" s="410" t="n">
        <f aca="false">$S38*MAX(0,MIN($W38,$C$7-SUMIFS($W$11:$W$54,$X$11:$X$54,"&lt;"&amp;$X38)))</f>
        <v>0</v>
      </c>
      <c r="Z38" s="410" t="n">
        <f aca="false">$W38-$Y38</f>
        <v>0</v>
      </c>
      <c r="AA38" s="412" t="n">
        <f aca="false">$S38*($T38-$U38-$Z38)</f>
        <v>0</v>
      </c>
      <c r="AB38" s="412" t="n">
        <f aca="false">$S38*($T38-$U38)</f>
        <v>0</v>
      </c>
      <c r="AC38" s="410" t="n">
        <f aca="false">IF(AND($S38=1,$H38&lt;=$C$8),$Z38-N($O38),0)</f>
        <v>0</v>
      </c>
      <c r="AD38" s="413"/>
    </row>
    <row r="39" customFormat="false" ht="15" hidden="false" customHeight="true" outlineLevel="0" collapsed="false">
      <c r="A39" s="399" t="str">
        <f aca="false">Projects!$A$32</f>
        <v>BD-16</v>
      </c>
      <c r="B39" s="400"/>
      <c r="C39" s="401" t="str">
        <f aca="false">Projects!$F$32</f>
        <v>No</v>
      </c>
      <c r="D39" s="401" t="str">
        <f aca="false">Projects!$G$32</f>
        <v>No</v>
      </c>
      <c r="E39" s="402"/>
      <c r="F39" s="403" t="n">
        <f aca="false">IF($E39&lt;&gt;"",$E39,Projects!$B$32)</f>
        <v>15000000</v>
      </c>
      <c r="G39" s="400"/>
      <c r="H39" s="404" t="n">
        <f aca="false">IF($G39&lt;&gt;"",$G39,Projects!$C$32)</f>
        <v>54</v>
      </c>
      <c r="I39" s="405"/>
      <c r="J39" s="402"/>
      <c r="K39" s="400"/>
      <c r="L39" s="402"/>
      <c r="M39" s="400"/>
      <c r="N39" s="405"/>
      <c r="O39" s="402"/>
      <c r="P39" s="400"/>
      <c r="Q39" s="402"/>
      <c r="R39" s="400"/>
      <c r="S39" s="404" t="n">
        <f aca="false">IF(AND($C39="Yes",$D39="Yes"),1,0)</f>
        <v>0</v>
      </c>
      <c r="T39" s="403" t="n">
        <f aca="false">$S39*IF($J39&lt;&gt;"",$J39,$F39*IF($I39&lt;&gt;"",$I39,$C$4)/(1+IF($I39&lt;&gt;"",$I39,$C$4)))</f>
        <v>0</v>
      </c>
      <c r="U39" s="403" t="n">
        <f aca="false">$S39*IF($L39&lt;&gt;"",$L39,$F39*$C$5)</f>
        <v>0</v>
      </c>
      <c r="V39" s="403" t="n">
        <f aca="false">$S39*$F39*IF($N39&lt;&gt;"",$N39,$C$6)</f>
        <v>0</v>
      </c>
      <c r="W39" s="403" t="n">
        <f aca="false">MAX(0,$V39-$U39)</f>
        <v>0</v>
      </c>
      <c r="X39" s="404" t="n">
        <f aca="false">IF($B39&lt;&gt;"",$B39,100+$H39)</f>
        <v>154</v>
      </c>
      <c r="Y39" s="403" t="n">
        <f aca="false">$S39*MAX(0,MIN($W39,$C$7-SUMIFS($W$11:$W$54,$X$11:$X$54,"&lt;"&amp;$X39)))</f>
        <v>0</v>
      </c>
      <c r="Z39" s="403" t="n">
        <f aca="false">$W39-$Y39</f>
        <v>0</v>
      </c>
      <c r="AA39" s="406" t="n">
        <f aca="false">$S39*($T39-$U39-$Z39)</f>
        <v>0</v>
      </c>
      <c r="AB39" s="406" t="n">
        <f aca="false">$S39*($T39-$U39)</f>
        <v>0</v>
      </c>
      <c r="AC39" s="403" t="n">
        <f aca="false">IF(AND($S39=1,$H39&lt;=$C$8),$Z39-N($O39),0)</f>
        <v>0</v>
      </c>
      <c r="AD39" s="407"/>
    </row>
    <row r="40" customFormat="false" ht="15" hidden="false" customHeight="true" outlineLevel="0" collapsed="false">
      <c r="A40" s="408" t="str">
        <f aca="false">Projects!$A$33</f>
        <v>BD-17</v>
      </c>
      <c r="B40" s="400"/>
      <c r="C40" s="409" t="str">
        <f aca="false">Projects!$F$33</f>
        <v>No</v>
      </c>
      <c r="D40" s="409" t="str">
        <f aca="false">Projects!$G$33</f>
        <v>No</v>
      </c>
      <c r="E40" s="402"/>
      <c r="F40" s="410" t="n">
        <f aca="false">IF($E40&lt;&gt;"",$E40,Projects!$B$33)</f>
        <v>15000000</v>
      </c>
      <c r="G40" s="400"/>
      <c r="H40" s="411" t="n">
        <f aca="false">IF($G40&lt;&gt;"",$G40,Projects!$C$33)</f>
        <v>56</v>
      </c>
      <c r="I40" s="405"/>
      <c r="J40" s="402"/>
      <c r="K40" s="400"/>
      <c r="L40" s="402"/>
      <c r="M40" s="400"/>
      <c r="N40" s="405"/>
      <c r="O40" s="402"/>
      <c r="P40" s="400"/>
      <c r="Q40" s="402"/>
      <c r="R40" s="400"/>
      <c r="S40" s="411" t="n">
        <f aca="false">IF(AND($C40="Yes",$D40="Yes"),1,0)</f>
        <v>0</v>
      </c>
      <c r="T40" s="410" t="n">
        <f aca="false">$S40*IF($J40&lt;&gt;"",$J40,$F40*IF($I40&lt;&gt;"",$I40,$C$4)/(1+IF($I40&lt;&gt;"",$I40,$C$4)))</f>
        <v>0</v>
      </c>
      <c r="U40" s="410" t="n">
        <f aca="false">$S40*IF($L40&lt;&gt;"",$L40,$F40*$C$5)</f>
        <v>0</v>
      </c>
      <c r="V40" s="410" t="n">
        <f aca="false">$S40*$F40*IF($N40&lt;&gt;"",$N40,$C$6)</f>
        <v>0</v>
      </c>
      <c r="W40" s="410" t="n">
        <f aca="false">MAX(0,$V40-$U40)</f>
        <v>0</v>
      </c>
      <c r="X40" s="411" t="n">
        <f aca="false">IF($B40&lt;&gt;"",$B40,100+$H40)</f>
        <v>156</v>
      </c>
      <c r="Y40" s="410" t="n">
        <f aca="false">$S40*MAX(0,MIN($W40,$C$7-SUMIFS($W$11:$W$54,$X$11:$X$54,"&lt;"&amp;$X40)))</f>
        <v>0</v>
      </c>
      <c r="Z40" s="410" t="n">
        <f aca="false">$W40-$Y40</f>
        <v>0</v>
      </c>
      <c r="AA40" s="412" t="n">
        <f aca="false">$S40*($T40-$U40-$Z40)</f>
        <v>0</v>
      </c>
      <c r="AB40" s="412" t="n">
        <f aca="false">$S40*($T40-$U40)</f>
        <v>0</v>
      </c>
      <c r="AC40" s="410" t="n">
        <f aca="false">IF(AND($S40=1,$H40&lt;=$C$8),$Z40-N($O40),0)</f>
        <v>0</v>
      </c>
      <c r="AD40" s="413"/>
    </row>
    <row r="41" customFormat="false" ht="15" hidden="false" customHeight="true" outlineLevel="0" collapsed="false">
      <c r="A41" s="399" t="str">
        <f aca="false">Projects!$A$34</f>
        <v>BD-18</v>
      </c>
      <c r="B41" s="400"/>
      <c r="C41" s="401" t="str">
        <f aca="false">Projects!$F$34</f>
        <v>Yes</v>
      </c>
      <c r="D41" s="401" t="str">
        <f aca="false">Projects!$G$34</f>
        <v>No</v>
      </c>
      <c r="E41" s="402"/>
      <c r="F41" s="403" t="n">
        <f aca="false">IF($E41&lt;&gt;"",$E41,Projects!$B$34)</f>
        <v>18000000</v>
      </c>
      <c r="G41" s="400"/>
      <c r="H41" s="404" t="n">
        <f aca="false">IF($G41&lt;&gt;"",$G41,Projects!$C$34)</f>
        <v>58</v>
      </c>
      <c r="I41" s="405"/>
      <c r="J41" s="402"/>
      <c r="K41" s="400"/>
      <c r="L41" s="402"/>
      <c r="M41" s="400"/>
      <c r="N41" s="405"/>
      <c r="O41" s="402"/>
      <c r="P41" s="400"/>
      <c r="Q41" s="402"/>
      <c r="R41" s="400"/>
      <c r="S41" s="404" t="n">
        <f aca="false">IF(AND($C41="Yes",$D41="Yes"),1,0)</f>
        <v>0</v>
      </c>
      <c r="T41" s="403" t="n">
        <f aca="false">$S41*IF($J41&lt;&gt;"",$J41,$F41*IF($I41&lt;&gt;"",$I41,$C$4)/(1+IF($I41&lt;&gt;"",$I41,$C$4)))</f>
        <v>0</v>
      </c>
      <c r="U41" s="403" t="n">
        <f aca="false">$S41*IF($L41&lt;&gt;"",$L41,$F41*$C$5)</f>
        <v>0</v>
      </c>
      <c r="V41" s="403" t="n">
        <f aca="false">$S41*$F41*IF($N41&lt;&gt;"",$N41,$C$6)</f>
        <v>0</v>
      </c>
      <c r="W41" s="403" t="n">
        <f aca="false">MAX(0,$V41-$U41)</f>
        <v>0</v>
      </c>
      <c r="X41" s="404" t="n">
        <f aca="false">IF($B41&lt;&gt;"",$B41,100+$H41)</f>
        <v>158</v>
      </c>
      <c r="Y41" s="403" t="n">
        <f aca="false">$S41*MAX(0,MIN($W41,$C$7-SUMIFS($W$11:$W$54,$X$11:$X$54,"&lt;"&amp;$X41)))</f>
        <v>0</v>
      </c>
      <c r="Z41" s="403" t="n">
        <f aca="false">$W41-$Y41</f>
        <v>0</v>
      </c>
      <c r="AA41" s="406" t="n">
        <f aca="false">$S41*($T41-$U41-$Z41)</f>
        <v>0</v>
      </c>
      <c r="AB41" s="406" t="n">
        <f aca="false">$S41*($T41-$U41)</f>
        <v>0</v>
      </c>
      <c r="AC41" s="403" t="n">
        <f aca="false">IF(AND($S41=1,$H41&lt;=$C$8),$Z41-N($O41),0)</f>
        <v>0</v>
      </c>
      <c r="AD41" s="407"/>
    </row>
    <row r="42" customFormat="false" ht="15" hidden="false" customHeight="true" outlineLevel="0" collapsed="false">
      <c r="A42" s="408" t="str">
        <f aca="false">Projects!$A$35</f>
        <v>BD-19</v>
      </c>
      <c r="B42" s="400"/>
      <c r="C42" s="409" t="str">
        <f aca="false">Projects!$F$35</f>
        <v>No</v>
      </c>
      <c r="D42" s="409" t="str">
        <f aca="false">Projects!$G$35</f>
        <v>No</v>
      </c>
      <c r="E42" s="402"/>
      <c r="F42" s="410" t="n">
        <f aca="false">IF($E42&lt;&gt;"",$E42,Projects!$B$35)</f>
        <v>15000000</v>
      </c>
      <c r="G42" s="400"/>
      <c r="H42" s="411" t="n">
        <f aca="false">IF($G42&lt;&gt;"",$G42,Projects!$C$35)</f>
        <v>60</v>
      </c>
      <c r="I42" s="405"/>
      <c r="J42" s="402"/>
      <c r="K42" s="400"/>
      <c r="L42" s="402"/>
      <c r="M42" s="400"/>
      <c r="N42" s="405"/>
      <c r="O42" s="402"/>
      <c r="P42" s="400"/>
      <c r="Q42" s="402"/>
      <c r="R42" s="400"/>
      <c r="S42" s="411" t="n">
        <f aca="false">IF(AND($C42="Yes",$D42="Yes"),1,0)</f>
        <v>0</v>
      </c>
      <c r="T42" s="410" t="n">
        <f aca="false">$S42*IF($J42&lt;&gt;"",$J42,$F42*IF($I42&lt;&gt;"",$I42,$C$4)/(1+IF($I42&lt;&gt;"",$I42,$C$4)))</f>
        <v>0</v>
      </c>
      <c r="U42" s="410" t="n">
        <f aca="false">$S42*IF($L42&lt;&gt;"",$L42,$F42*$C$5)</f>
        <v>0</v>
      </c>
      <c r="V42" s="410" t="n">
        <f aca="false">$S42*$F42*IF($N42&lt;&gt;"",$N42,$C$6)</f>
        <v>0</v>
      </c>
      <c r="W42" s="410" t="n">
        <f aca="false">MAX(0,$V42-$U42)</f>
        <v>0</v>
      </c>
      <c r="X42" s="411" t="n">
        <f aca="false">IF($B42&lt;&gt;"",$B42,100+$H42)</f>
        <v>160</v>
      </c>
      <c r="Y42" s="410" t="n">
        <f aca="false">$S42*MAX(0,MIN($W42,$C$7-SUMIFS($W$11:$W$54,$X$11:$X$54,"&lt;"&amp;$X42)))</f>
        <v>0</v>
      </c>
      <c r="Z42" s="410" t="n">
        <f aca="false">$W42-$Y42</f>
        <v>0</v>
      </c>
      <c r="AA42" s="412" t="n">
        <f aca="false">$S42*($T42-$U42-$Z42)</f>
        <v>0</v>
      </c>
      <c r="AB42" s="412" t="n">
        <f aca="false">$S42*($T42-$U42)</f>
        <v>0</v>
      </c>
      <c r="AC42" s="410" t="n">
        <f aca="false">IF(AND($S42=1,$H42&lt;=$C$8),$Z42-N($O42),0)</f>
        <v>0</v>
      </c>
      <c r="AD42" s="413"/>
    </row>
    <row r="43" customFormat="false" ht="15" hidden="false" customHeight="true" outlineLevel="0" collapsed="false">
      <c r="A43" s="399" t="str">
        <f aca="false">Projects!$A$36</f>
        <v>BD-20</v>
      </c>
      <c r="B43" s="400"/>
      <c r="C43" s="401" t="str">
        <f aca="false">Projects!$F$36</f>
        <v>No</v>
      </c>
      <c r="D43" s="401" t="str">
        <f aca="false">Projects!$G$36</f>
        <v>No</v>
      </c>
      <c r="E43" s="402"/>
      <c r="F43" s="403" t="n">
        <f aca="false">IF($E43&lt;&gt;"",$E43,Projects!$B$36)</f>
        <v>18000000</v>
      </c>
      <c r="G43" s="400"/>
      <c r="H43" s="404" t="n">
        <f aca="false">IF($G43&lt;&gt;"",$G43,Projects!$C$36)</f>
        <v>62</v>
      </c>
      <c r="I43" s="405"/>
      <c r="J43" s="402"/>
      <c r="K43" s="400"/>
      <c r="L43" s="402"/>
      <c r="M43" s="400"/>
      <c r="N43" s="405"/>
      <c r="O43" s="402"/>
      <c r="P43" s="400"/>
      <c r="Q43" s="402"/>
      <c r="R43" s="400"/>
      <c r="S43" s="404" t="n">
        <f aca="false">IF(AND($C43="Yes",$D43="Yes"),1,0)</f>
        <v>0</v>
      </c>
      <c r="T43" s="403" t="n">
        <f aca="false">$S43*IF($J43&lt;&gt;"",$J43,$F43*IF($I43&lt;&gt;"",$I43,$C$4)/(1+IF($I43&lt;&gt;"",$I43,$C$4)))</f>
        <v>0</v>
      </c>
      <c r="U43" s="403" t="n">
        <f aca="false">$S43*IF($L43&lt;&gt;"",$L43,$F43*$C$5)</f>
        <v>0</v>
      </c>
      <c r="V43" s="403" t="n">
        <f aca="false">$S43*$F43*IF($N43&lt;&gt;"",$N43,$C$6)</f>
        <v>0</v>
      </c>
      <c r="W43" s="403" t="n">
        <f aca="false">MAX(0,$V43-$U43)</f>
        <v>0</v>
      </c>
      <c r="X43" s="404" t="n">
        <f aca="false">IF($B43&lt;&gt;"",$B43,100+$H43)</f>
        <v>162</v>
      </c>
      <c r="Y43" s="403" t="n">
        <f aca="false">$S43*MAX(0,MIN($W43,$C$7-SUMIFS($W$11:$W$54,$X$11:$X$54,"&lt;"&amp;$X43)))</f>
        <v>0</v>
      </c>
      <c r="Z43" s="403" t="n">
        <f aca="false">$W43-$Y43</f>
        <v>0</v>
      </c>
      <c r="AA43" s="406" t="n">
        <f aca="false">$S43*($T43-$U43-$Z43)</f>
        <v>0</v>
      </c>
      <c r="AB43" s="406" t="n">
        <f aca="false">$S43*($T43-$U43)</f>
        <v>0</v>
      </c>
      <c r="AC43" s="403" t="n">
        <f aca="false">IF(AND($S43=1,$H43&lt;=$C$8),$Z43-N($O43),0)</f>
        <v>0</v>
      </c>
      <c r="AD43" s="407"/>
    </row>
    <row r="44" customFormat="false" ht="15" hidden="false" customHeight="true" outlineLevel="0" collapsed="false">
      <c r="A44" s="408" t="str">
        <f aca="false">Projects!$A$37</f>
        <v>BD-21</v>
      </c>
      <c r="B44" s="400"/>
      <c r="C44" s="409" t="str">
        <f aca="false">Projects!$F$37</f>
        <v>No</v>
      </c>
      <c r="D44" s="409" t="str">
        <f aca="false">Projects!$G$37</f>
        <v>No</v>
      </c>
      <c r="E44" s="402"/>
      <c r="F44" s="410" t="n">
        <f aca="false">IF($E44&lt;&gt;"",$E44,Projects!$B$37)</f>
        <v>15000000</v>
      </c>
      <c r="G44" s="400"/>
      <c r="H44" s="411" t="n">
        <f aca="false">IF($G44&lt;&gt;"",$G44,Projects!$C$37)</f>
        <v>64</v>
      </c>
      <c r="I44" s="405"/>
      <c r="J44" s="402"/>
      <c r="K44" s="400"/>
      <c r="L44" s="402"/>
      <c r="M44" s="400"/>
      <c r="N44" s="405"/>
      <c r="O44" s="402"/>
      <c r="P44" s="400"/>
      <c r="Q44" s="402"/>
      <c r="R44" s="400"/>
      <c r="S44" s="411" t="n">
        <f aca="false">IF(AND($C44="Yes",$D44="Yes"),1,0)</f>
        <v>0</v>
      </c>
      <c r="T44" s="410" t="n">
        <f aca="false">$S44*IF($J44&lt;&gt;"",$J44,$F44*IF($I44&lt;&gt;"",$I44,$C$4)/(1+IF($I44&lt;&gt;"",$I44,$C$4)))</f>
        <v>0</v>
      </c>
      <c r="U44" s="410" t="n">
        <f aca="false">$S44*IF($L44&lt;&gt;"",$L44,$F44*$C$5)</f>
        <v>0</v>
      </c>
      <c r="V44" s="410" t="n">
        <f aca="false">$S44*$F44*IF($N44&lt;&gt;"",$N44,$C$6)</f>
        <v>0</v>
      </c>
      <c r="W44" s="410" t="n">
        <f aca="false">MAX(0,$V44-$U44)</f>
        <v>0</v>
      </c>
      <c r="X44" s="411" t="n">
        <f aca="false">IF($B44&lt;&gt;"",$B44,100+$H44)</f>
        <v>164</v>
      </c>
      <c r="Y44" s="410" t="n">
        <f aca="false">$S44*MAX(0,MIN($W44,$C$7-SUMIFS($W$11:$W$54,$X$11:$X$54,"&lt;"&amp;$X44)))</f>
        <v>0</v>
      </c>
      <c r="Z44" s="410" t="n">
        <f aca="false">$W44-$Y44</f>
        <v>0</v>
      </c>
      <c r="AA44" s="412" t="n">
        <f aca="false">$S44*($T44-$U44-$Z44)</f>
        <v>0</v>
      </c>
      <c r="AB44" s="412" t="n">
        <f aca="false">$S44*($T44-$U44)</f>
        <v>0</v>
      </c>
      <c r="AC44" s="410" t="n">
        <f aca="false">IF(AND($S44=1,$H44&lt;=$C$8),$Z44-N($O44),0)</f>
        <v>0</v>
      </c>
      <c r="AD44" s="413"/>
    </row>
    <row r="45" customFormat="false" ht="15" hidden="false" customHeight="true" outlineLevel="0" collapsed="false">
      <c r="A45" s="399" t="str">
        <f aca="false">Projects!$A$38</f>
        <v>BD-22</v>
      </c>
      <c r="B45" s="400"/>
      <c r="C45" s="401" t="str">
        <f aca="false">Projects!$F$38</f>
        <v>No</v>
      </c>
      <c r="D45" s="401" t="str">
        <f aca="false">Projects!$G$38</f>
        <v>No</v>
      </c>
      <c r="E45" s="402"/>
      <c r="F45" s="403" t="n">
        <f aca="false">IF($E45&lt;&gt;"",$E45,Projects!$B$38)</f>
        <v>15000000</v>
      </c>
      <c r="G45" s="400"/>
      <c r="H45" s="404" t="n">
        <f aca="false">IF($G45&lt;&gt;"",$G45,Projects!$C$38)</f>
        <v>66</v>
      </c>
      <c r="I45" s="405"/>
      <c r="J45" s="402"/>
      <c r="K45" s="400"/>
      <c r="L45" s="402"/>
      <c r="M45" s="400"/>
      <c r="N45" s="405"/>
      <c r="O45" s="402"/>
      <c r="P45" s="400"/>
      <c r="Q45" s="402"/>
      <c r="R45" s="400"/>
      <c r="S45" s="404" t="n">
        <f aca="false">IF(AND($C45="Yes",$D45="Yes"),1,0)</f>
        <v>0</v>
      </c>
      <c r="T45" s="403" t="n">
        <f aca="false">$S45*IF($J45&lt;&gt;"",$J45,$F45*IF($I45&lt;&gt;"",$I45,$C$4)/(1+IF($I45&lt;&gt;"",$I45,$C$4)))</f>
        <v>0</v>
      </c>
      <c r="U45" s="403" t="n">
        <f aca="false">$S45*IF($L45&lt;&gt;"",$L45,$F45*$C$5)</f>
        <v>0</v>
      </c>
      <c r="V45" s="403" t="n">
        <f aca="false">$S45*$F45*IF($N45&lt;&gt;"",$N45,$C$6)</f>
        <v>0</v>
      </c>
      <c r="W45" s="403" t="n">
        <f aca="false">MAX(0,$V45-$U45)</f>
        <v>0</v>
      </c>
      <c r="X45" s="404" t="n">
        <f aca="false">IF($B45&lt;&gt;"",$B45,100+$H45)</f>
        <v>166</v>
      </c>
      <c r="Y45" s="403" t="n">
        <f aca="false">$S45*MAX(0,MIN($W45,$C$7-SUMIFS($W$11:$W$54,$X$11:$X$54,"&lt;"&amp;$X45)))</f>
        <v>0</v>
      </c>
      <c r="Z45" s="403" t="n">
        <f aca="false">$W45-$Y45</f>
        <v>0</v>
      </c>
      <c r="AA45" s="406" t="n">
        <f aca="false">$S45*($T45-$U45-$Z45)</f>
        <v>0</v>
      </c>
      <c r="AB45" s="406" t="n">
        <f aca="false">$S45*($T45-$U45)</f>
        <v>0</v>
      </c>
      <c r="AC45" s="403" t="n">
        <f aca="false">IF(AND($S45=1,$H45&lt;=$C$8),$Z45-N($O45),0)</f>
        <v>0</v>
      </c>
      <c r="AD45" s="407"/>
    </row>
    <row r="46" customFormat="false" ht="15" hidden="false" customHeight="true" outlineLevel="0" collapsed="false">
      <c r="A46" s="408" t="str">
        <f aca="false">Projects!$A$39</f>
        <v>BD-23</v>
      </c>
      <c r="B46" s="400"/>
      <c r="C46" s="409" t="str">
        <f aca="false">Projects!$F$39</f>
        <v>No</v>
      </c>
      <c r="D46" s="409" t="str">
        <f aca="false">Projects!$G$39</f>
        <v>No</v>
      </c>
      <c r="E46" s="402"/>
      <c r="F46" s="410" t="n">
        <f aca="false">IF($E46&lt;&gt;"",$E46,Projects!$B$39)</f>
        <v>18000000</v>
      </c>
      <c r="G46" s="400"/>
      <c r="H46" s="411" t="n">
        <f aca="false">IF($G46&lt;&gt;"",$G46,Projects!$C$39)</f>
        <v>68</v>
      </c>
      <c r="I46" s="405"/>
      <c r="J46" s="402"/>
      <c r="K46" s="400"/>
      <c r="L46" s="402"/>
      <c r="M46" s="400"/>
      <c r="N46" s="405"/>
      <c r="O46" s="402"/>
      <c r="P46" s="400"/>
      <c r="Q46" s="402"/>
      <c r="R46" s="400"/>
      <c r="S46" s="411" t="n">
        <f aca="false">IF(AND($C46="Yes",$D46="Yes"),1,0)</f>
        <v>0</v>
      </c>
      <c r="T46" s="410" t="n">
        <f aca="false">$S46*IF($J46&lt;&gt;"",$J46,$F46*IF($I46&lt;&gt;"",$I46,$C$4)/(1+IF($I46&lt;&gt;"",$I46,$C$4)))</f>
        <v>0</v>
      </c>
      <c r="U46" s="410" t="n">
        <f aca="false">$S46*IF($L46&lt;&gt;"",$L46,$F46*$C$5)</f>
        <v>0</v>
      </c>
      <c r="V46" s="410" t="n">
        <f aca="false">$S46*$F46*IF($N46&lt;&gt;"",$N46,$C$6)</f>
        <v>0</v>
      </c>
      <c r="W46" s="410" t="n">
        <f aca="false">MAX(0,$V46-$U46)</f>
        <v>0</v>
      </c>
      <c r="X46" s="411" t="n">
        <f aca="false">IF($B46&lt;&gt;"",$B46,100+$H46)</f>
        <v>168</v>
      </c>
      <c r="Y46" s="410" t="n">
        <f aca="false">$S46*MAX(0,MIN($W46,$C$7-SUMIFS($W$11:$W$54,$X$11:$X$54,"&lt;"&amp;$X46)))</f>
        <v>0</v>
      </c>
      <c r="Z46" s="410" t="n">
        <f aca="false">$W46-$Y46</f>
        <v>0</v>
      </c>
      <c r="AA46" s="412" t="n">
        <f aca="false">$S46*($T46-$U46-$Z46)</f>
        <v>0</v>
      </c>
      <c r="AB46" s="412" t="n">
        <f aca="false">$S46*($T46-$U46)</f>
        <v>0</v>
      </c>
      <c r="AC46" s="410" t="n">
        <f aca="false">IF(AND($S46=1,$H46&lt;=$C$8),$Z46-N($O46),0)</f>
        <v>0</v>
      </c>
      <c r="AD46" s="413"/>
    </row>
    <row r="47" customFormat="false" ht="15" hidden="false" customHeight="true" outlineLevel="0" collapsed="false">
      <c r="A47" s="399" t="str">
        <f aca="false">Projects!$A$40</f>
        <v>BD-24</v>
      </c>
      <c r="B47" s="400"/>
      <c r="C47" s="401" t="str">
        <f aca="false">Projects!$F$40</f>
        <v>Yes</v>
      </c>
      <c r="D47" s="401" t="str">
        <f aca="false">Projects!$G$40</f>
        <v>No</v>
      </c>
      <c r="E47" s="402"/>
      <c r="F47" s="403" t="n">
        <f aca="false">IF($E47&lt;&gt;"",$E47,Projects!$B$40)</f>
        <v>15000000</v>
      </c>
      <c r="G47" s="400"/>
      <c r="H47" s="404" t="n">
        <f aca="false">IF($G47&lt;&gt;"",$G47,Projects!$C$40)</f>
        <v>70</v>
      </c>
      <c r="I47" s="405"/>
      <c r="J47" s="402"/>
      <c r="K47" s="400"/>
      <c r="L47" s="402"/>
      <c r="M47" s="400"/>
      <c r="N47" s="405"/>
      <c r="O47" s="402"/>
      <c r="P47" s="400"/>
      <c r="Q47" s="402"/>
      <c r="R47" s="400"/>
      <c r="S47" s="404" t="n">
        <f aca="false">IF(AND($C47="Yes",$D47="Yes"),1,0)</f>
        <v>0</v>
      </c>
      <c r="T47" s="403" t="n">
        <f aca="false">$S47*IF($J47&lt;&gt;"",$J47,$F47*IF($I47&lt;&gt;"",$I47,$C$4)/(1+IF($I47&lt;&gt;"",$I47,$C$4)))</f>
        <v>0</v>
      </c>
      <c r="U47" s="403" t="n">
        <f aca="false">$S47*IF($L47&lt;&gt;"",$L47,$F47*$C$5)</f>
        <v>0</v>
      </c>
      <c r="V47" s="403" t="n">
        <f aca="false">$S47*$F47*IF($N47&lt;&gt;"",$N47,$C$6)</f>
        <v>0</v>
      </c>
      <c r="W47" s="403" t="n">
        <f aca="false">MAX(0,$V47-$U47)</f>
        <v>0</v>
      </c>
      <c r="X47" s="404" t="n">
        <f aca="false">IF($B47&lt;&gt;"",$B47,100+$H47)</f>
        <v>170</v>
      </c>
      <c r="Y47" s="403" t="n">
        <f aca="false">$S47*MAX(0,MIN($W47,$C$7-SUMIFS($W$11:$W$54,$X$11:$X$54,"&lt;"&amp;$X47)))</f>
        <v>0</v>
      </c>
      <c r="Z47" s="403" t="n">
        <f aca="false">$W47-$Y47</f>
        <v>0</v>
      </c>
      <c r="AA47" s="406" t="n">
        <f aca="false">$S47*($T47-$U47-$Z47)</f>
        <v>0</v>
      </c>
      <c r="AB47" s="406" t="n">
        <f aca="false">$S47*($T47-$U47)</f>
        <v>0</v>
      </c>
      <c r="AC47" s="403" t="n">
        <f aca="false">IF(AND($S47=1,$H47&lt;=$C$8),$Z47-N($O47),0)</f>
        <v>0</v>
      </c>
      <c r="AD47" s="407"/>
    </row>
    <row r="48" customFormat="false" ht="15" hidden="false" customHeight="true" outlineLevel="0" collapsed="false">
      <c r="A48" s="408" t="str">
        <f aca="false">Projects!$A$41</f>
        <v>BD-25</v>
      </c>
      <c r="B48" s="400"/>
      <c r="C48" s="409" t="str">
        <f aca="false">Projects!$F$41</f>
        <v>No</v>
      </c>
      <c r="D48" s="409" t="str">
        <f aca="false">Projects!$G$41</f>
        <v>No</v>
      </c>
      <c r="E48" s="402"/>
      <c r="F48" s="410" t="n">
        <f aca="false">IF($E48&lt;&gt;"",$E48,Projects!$B$41)</f>
        <v>15000000</v>
      </c>
      <c r="G48" s="400"/>
      <c r="H48" s="411" t="n">
        <f aca="false">IF($G48&lt;&gt;"",$G48,Projects!$C$41)</f>
        <v>72</v>
      </c>
      <c r="I48" s="405"/>
      <c r="J48" s="402"/>
      <c r="K48" s="400"/>
      <c r="L48" s="402"/>
      <c r="M48" s="400"/>
      <c r="N48" s="405"/>
      <c r="O48" s="402"/>
      <c r="P48" s="400"/>
      <c r="Q48" s="402"/>
      <c r="R48" s="400"/>
      <c r="S48" s="411" t="n">
        <f aca="false">IF(AND($C48="Yes",$D48="Yes"),1,0)</f>
        <v>0</v>
      </c>
      <c r="T48" s="410" t="n">
        <f aca="false">$S48*IF($J48&lt;&gt;"",$J48,$F48*IF($I48&lt;&gt;"",$I48,$C$4)/(1+IF($I48&lt;&gt;"",$I48,$C$4)))</f>
        <v>0</v>
      </c>
      <c r="U48" s="410" t="n">
        <f aca="false">$S48*IF($L48&lt;&gt;"",$L48,$F48*$C$5)</f>
        <v>0</v>
      </c>
      <c r="V48" s="410" t="n">
        <f aca="false">$S48*$F48*IF($N48&lt;&gt;"",$N48,$C$6)</f>
        <v>0</v>
      </c>
      <c r="W48" s="410" t="n">
        <f aca="false">MAX(0,$V48-$U48)</f>
        <v>0</v>
      </c>
      <c r="X48" s="411" t="n">
        <f aca="false">IF($B48&lt;&gt;"",$B48,100+$H48)</f>
        <v>172</v>
      </c>
      <c r="Y48" s="410" t="n">
        <f aca="false">$S48*MAX(0,MIN($W48,$C$7-SUMIFS($W$11:$W$54,$X$11:$X$54,"&lt;"&amp;$X48)))</f>
        <v>0</v>
      </c>
      <c r="Z48" s="410" t="n">
        <f aca="false">$W48-$Y48</f>
        <v>0</v>
      </c>
      <c r="AA48" s="412" t="n">
        <f aca="false">$S48*($T48-$U48-$Z48)</f>
        <v>0</v>
      </c>
      <c r="AB48" s="412" t="n">
        <f aca="false">$S48*($T48-$U48)</f>
        <v>0</v>
      </c>
      <c r="AC48" s="410" t="n">
        <f aca="false">IF(AND($S48=1,$H48&lt;=$C$8),$Z48-N($O48),0)</f>
        <v>0</v>
      </c>
      <c r="AD48" s="413"/>
    </row>
    <row r="49" customFormat="false" ht="15" hidden="false" customHeight="true" outlineLevel="0" collapsed="false">
      <c r="A49" s="399" t="str">
        <f aca="false">Projects!$A$42</f>
        <v>BD-26</v>
      </c>
      <c r="B49" s="400"/>
      <c r="C49" s="401" t="str">
        <f aca="false">Projects!$F$42</f>
        <v>No</v>
      </c>
      <c r="D49" s="401" t="str">
        <f aca="false">Projects!$G$42</f>
        <v>No</v>
      </c>
      <c r="E49" s="402"/>
      <c r="F49" s="403" t="n">
        <f aca="false">IF($E49&lt;&gt;"",$E49,Projects!$B$42)</f>
        <v>18000000</v>
      </c>
      <c r="G49" s="400"/>
      <c r="H49" s="404" t="n">
        <f aca="false">IF($G49&lt;&gt;"",$G49,Projects!$C$42)</f>
        <v>74</v>
      </c>
      <c r="I49" s="405"/>
      <c r="J49" s="402"/>
      <c r="K49" s="400"/>
      <c r="L49" s="402"/>
      <c r="M49" s="400"/>
      <c r="N49" s="405"/>
      <c r="O49" s="402"/>
      <c r="P49" s="400"/>
      <c r="Q49" s="402"/>
      <c r="R49" s="400"/>
      <c r="S49" s="404" t="n">
        <f aca="false">IF(AND($C49="Yes",$D49="Yes"),1,0)</f>
        <v>0</v>
      </c>
      <c r="T49" s="403" t="n">
        <f aca="false">$S49*IF($J49&lt;&gt;"",$J49,$F49*IF($I49&lt;&gt;"",$I49,$C$4)/(1+IF($I49&lt;&gt;"",$I49,$C$4)))</f>
        <v>0</v>
      </c>
      <c r="U49" s="403" t="n">
        <f aca="false">$S49*IF($L49&lt;&gt;"",$L49,$F49*$C$5)</f>
        <v>0</v>
      </c>
      <c r="V49" s="403" t="n">
        <f aca="false">$S49*$F49*IF($N49&lt;&gt;"",$N49,$C$6)</f>
        <v>0</v>
      </c>
      <c r="W49" s="403" t="n">
        <f aca="false">MAX(0,$V49-$U49)</f>
        <v>0</v>
      </c>
      <c r="X49" s="404" t="n">
        <f aca="false">IF($B49&lt;&gt;"",$B49,100+$H49)</f>
        <v>174</v>
      </c>
      <c r="Y49" s="403" t="n">
        <f aca="false">$S49*MAX(0,MIN($W49,$C$7-SUMIFS($W$11:$W$54,$X$11:$X$54,"&lt;"&amp;$X49)))</f>
        <v>0</v>
      </c>
      <c r="Z49" s="403" t="n">
        <f aca="false">$W49-$Y49</f>
        <v>0</v>
      </c>
      <c r="AA49" s="406" t="n">
        <f aca="false">$S49*($T49-$U49-$Z49)</f>
        <v>0</v>
      </c>
      <c r="AB49" s="406" t="n">
        <f aca="false">$S49*($T49-$U49)</f>
        <v>0</v>
      </c>
      <c r="AC49" s="403" t="n">
        <f aca="false">IF(AND($S49=1,$H49&lt;=$C$8),$Z49-N($O49),0)</f>
        <v>0</v>
      </c>
      <c r="AD49" s="407"/>
    </row>
    <row r="50" customFormat="false" ht="15" hidden="false" customHeight="true" outlineLevel="0" collapsed="false">
      <c r="A50" s="408" t="str">
        <f aca="false">Projects!$A$43</f>
        <v>BD-27</v>
      </c>
      <c r="B50" s="400"/>
      <c r="C50" s="409" t="str">
        <f aca="false">Projects!$F$43</f>
        <v>No</v>
      </c>
      <c r="D50" s="409" t="str">
        <f aca="false">Projects!$G$43</f>
        <v>No</v>
      </c>
      <c r="E50" s="402"/>
      <c r="F50" s="410" t="n">
        <f aca="false">IF($E50&lt;&gt;"",$E50,Projects!$B$43)</f>
        <v>15000000</v>
      </c>
      <c r="G50" s="400"/>
      <c r="H50" s="411" t="n">
        <f aca="false">IF($G50&lt;&gt;"",$G50,Projects!$C$43)</f>
        <v>76</v>
      </c>
      <c r="I50" s="405"/>
      <c r="J50" s="402"/>
      <c r="K50" s="400"/>
      <c r="L50" s="402"/>
      <c r="M50" s="400"/>
      <c r="N50" s="405"/>
      <c r="O50" s="402"/>
      <c r="P50" s="400"/>
      <c r="Q50" s="402"/>
      <c r="R50" s="400"/>
      <c r="S50" s="411" t="n">
        <f aca="false">IF(AND($C50="Yes",$D50="Yes"),1,0)</f>
        <v>0</v>
      </c>
      <c r="T50" s="410" t="n">
        <f aca="false">$S50*IF($J50&lt;&gt;"",$J50,$F50*IF($I50&lt;&gt;"",$I50,$C$4)/(1+IF($I50&lt;&gt;"",$I50,$C$4)))</f>
        <v>0</v>
      </c>
      <c r="U50" s="410" t="n">
        <f aca="false">$S50*IF($L50&lt;&gt;"",$L50,$F50*$C$5)</f>
        <v>0</v>
      </c>
      <c r="V50" s="410" t="n">
        <f aca="false">$S50*$F50*IF($N50&lt;&gt;"",$N50,$C$6)</f>
        <v>0</v>
      </c>
      <c r="W50" s="410" t="n">
        <f aca="false">MAX(0,$V50-$U50)</f>
        <v>0</v>
      </c>
      <c r="X50" s="411" t="n">
        <f aca="false">IF($B50&lt;&gt;"",$B50,100+$H50)</f>
        <v>176</v>
      </c>
      <c r="Y50" s="410" t="n">
        <f aca="false">$S50*MAX(0,MIN($W50,$C$7-SUMIFS($W$11:$W$54,$X$11:$X$54,"&lt;"&amp;$X50)))</f>
        <v>0</v>
      </c>
      <c r="Z50" s="410" t="n">
        <f aca="false">$W50-$Y50</f>
        <v>0</v>
      </c>
      <c r="AA50" s="412" t="n">
        <f aca="false">$S50*($T50-$U50-$Z50)</f>
        <v>0</v>
      </c>
      <c r="AB50" s="412" t="n">
        <f aca="false">$S50*($T50-$U50)</f>
        <v>0</v>
      </c>
      <c r="AC50" s="410" t="n">
        <f aca="false">IF(AND($S50=1,$H50&lt;=$C$8),$Z50-N($O50),0)</f>
        <v>0</v>
      </c>
      <c r="AD50" s="413"/>
    </row>
    <row r="51" customFormat="false" ht="15" hidden="false" customHeight="true" outlineLevel="0" collapsed="false">
      <c r="A51" s="399" t="str">
        <f aca="false">Projects!$A$44</f>
        <v>BD-28</v>
      </c>
      <c r="B51" s="400"/>
      <c r="C51" s="401" t="str">
        <f aca="false">Projects!$F$44</f>
        <v>No</v>
      </c>
      <c r="D51" s="401" t="str">
        <f aca="false">Projects!$G$44</f>
        <v>No</v>
      </c>
      <c r="E51" s="402"/>
      <c r="F51" s="403" t="n">
        <f aca="false">IF($E51&lt;&gt;"",$E51,Projects!$B$44)</f>
        <v>15000000</v>
      </c>
      <c r="G51" s="400"/>
      <c r="H51" s="404" t="n">
        <f aca="false">IF($G51&lt;&gt;"",$G51,Projects!$C$44)</f>
        <v>78</v>
      </c>
      <c r="I51" s="405"/>
      <c r="J51" s="402"/>
      <c r="K51" s="400"/>
      <c r="L51" s="402"/>
      <c r="M51" s="400"/>
      <c r="N51" s="405"/>
      <c r="O51" s="402"/>
      <c r="P51" s="400"/>
      <c r="Q51" s="402"/>
      <c r="R51" s="400"/>
      <c r="S51" s="404" t="n">
        <f aca="false">IF(AND($C51="Yes",$D51="Yes"),1,0)</f>
        <v>0</v>
      </c>
      <c r="T51" s="403" t="n">
        <f aca="false">$S51*IF($J51&lt;&gt;"",$J51,$F51*IF($I51&lt;&gt;"",$I51,$C$4)/(1+IF($I51&lt;&gt;"",$I51,$C$4)))</f>
        <v>0</v>
      </c>
      <c r="U51" s="403" t="n">
        <f aca="false">$S51*IF($L51&lt;&gt;"",$L51,$F51*$C$5)</f>
        <v>0</v>
      </c>
      <c r="V51" s="403" t="n">
        <f aca="false">$S51*$F51*IF($N51&lt;&gt;"",$N51,$C$6)</f>
        <v>0</v>
      </c>
      <c r="W51" s="403" t="n">
        <f aca="false">MAX(0,$V51-$U51)</f>
        <v>0</v>
      </c>
      <c r="X51" s="404" t="n">
        <f aca="false">IF($B51&lt;&gt;"",$B51,100+$H51)</f>
        <v>178</v>
      </c>
      <c r="Y51" s="403" t="n">
        <f aca="false">$S51*MAX(0,MIN($W51,$C$7-SUMIFS($W$11:$W$54,$X$11:$X$54,"&lt;"&amp;$X51)))</f>
        <v>0</v>
      </c>
      <c r="Z51" s="403" t="n">
        <f aca="false">$W51-$Y51</f>
        <v>0</v>
      </c>
      <c r="AA51" s="406" t="n">
        <f aca="false">$S51*($T51-$U51-$Z51)</f>
        <v>0</v>
      </c>
      <c r="AB51" s="406" t="n">
        <f aca="false">$S51*($T51-$U51)</f>
        <v>0</v>
      </c>
      <c r="AC51" s="403" t="n">
        <f aca="false">IF(AND($S51=1,$H51&lt;=$C$8),$Z51-N($O51),0)</f>
        <v>0</v>
      </c>
      <c r="AD51" s="407"/>
    </row>
    <row r="52" customFormat="false" ht="15" hidden="false" customHeight="true" outlineLevel="0" collapsed="false">
      <c r="A52" s="408" t="str">
        <f aca="false">Projects!$A$45</f>
        <v>BD-29</v>
      </c>
      <c r="B52" s="400"/>
      <c r="C52" s="409" t="str">
        <f aca="false">Projects!$F$45</f>
        <v>No</v>
      </c>
      <c r="D52" s="409" t="str">
        <f aca="false">Projects!$G$45</f>
        <v>No</v>
      </c>
      <c r="E52" s="402"/>
      <c r="F52" s="410" t="n">
        <f aca="false">IF($E52&lt;&gt;"",$E52,Projects!$B$45)</f>
        <v>18000000</v>
      </c>
      <c r="G52" s="400"/>
      <c r="H52" s="411" t="n">
        <f aca="false">IF($G52&lt;&gt;"",$G52,Projects!$C$45)</f>
        <v>80</v>
      </c>
      <c r="I52" s="405"/>
      <c r="J52" s="402"/>
      <c r="K52" s="400"/>
      <c r="L52" s="402"/>
      <c r="M52" s="400"/>
      <c r="N52" s="405"/>
      <c r="O52" s="402"/>
      <c r="P52" s="400"/>
      <c r="Q52" s="402"/>
      <c r="R52" s="400"/>
      <c r="S52" s="411" t="n">
        <f aca="false">IF(AND($C52="Yes",$D52="Yes"),1,0)</f>
        <v>0</v>
      </c>
      <c r="T52" s="410" t="n">
        <f aca="false">$S52*IF($J52&lt;&gt;"",$J52,$F52*IF($I52&lt;&gt;"",$I52,$C$4)/(1+IF($I52&lt;&gt;"",$I52,$C$4)))</f>
        <v>0</v>
      </c>
      <c r="U52" s="410" t="n">
        <f aca="false">$S52*IF($L52&lt;&gt;"",$L52,$F52*$C$5)</f>
        <v>0</v>
      </c>
      <c r="V52" s="410" t="n">
        <f aca="false">$S52*$F52*IF($N52&lt;&gt;"",$N52,$C$6)</f>
        <v>0</v>
      </c>
      <c r="W52" s="410" t="n">
        <f aca="false">MAX(0,$V52-$U52)</f>
        <v>0</v>
      </c>
      <c r="X52" s="411" t="n">
        <f aca="false">IF($B52&lt;&gt;"",$B52,100+$H52)</f>
        <v>180</v>
      </c>
      <c r="Y52" s="410" t="n">
        <f aca="false">$S52*MAX(0,MIN($W52,$C$7-SUMIFS($W$11:$W$54,$X$11:$X$54,"&lt;"&amp;$X52)))</f>
        <v>0</v>
      </c>
      <c r="Z52" s="410" t="n">
        <f aca="false">$W52-$Y52</f>
        <v>0</v>
      </c>
      <c r="AA52" s="412" t="n">
        <f aca="false">$S52*($T52-$U52-$Z52)</f>
        <v>0</v>
      </c>
      <c r="AB52" s="412" t="n">
        <f aca="false">$S52*($T52-$U52)</f>
        <v>0</v>
      </c>
      <c r="AC52" s="410" t="n">
        <f aca="false">IF(AND($S52=1,$H52&lt;=$C$8),$Z52-N($O52),0)</f>
        <v>0</v>
      </c>
      <c r="AD52" s="413"/>
    </row>
    <row r="53" customFormat="false" ht="15" hidden="false" customHeight="true" outlineLevel="0" collapsed="false">
      <c r="A53" s="399" t="str">
        <f aca="false">Projects!$A$46</f>
        <v>BD-30</v>
      </c>
      <c r="B53" s="400"/>
      <c r="C53" s="401" t="str">
        <f aca="false">Projects!$F$46</f>
        <v>Yes</v>
      </c>
      <c r="D53" s="401" t="str">
        <f aca="false">Projects!$G$46</f>
        <v>No</v>
      </c>
      <c r="E53" s="402"/>
      <c r="F53" s="403" t="n">
        <f aca="false">IF($E53&lt;&gt;"",$E53,Projects!$B$46)</f>
        <v>15000000</v>
      </c>
      <c r="G53" s="400"/>
      <c r="H53" s="404" t="n">
        <f aca="false">IF($G53&lt;&gt;"",$G53,Projects!$C$46)</f>
        <v>82</v>
      </c>
      <c r="I53" s="405"/>
      <c r="J53" s="402"/>
      <c r="K53" s="400"/>
      <c r="L53" s="402"/>
      <c r="M53" s="400"/>
      <c r="N53" s="405"/>
      <c r="O53" s="402"/>
      <c r="P53" s="400"/>
      <c r="Q53" s="402"/>
      <c r="R53" s="400"/>
      <c r="S53" s="404" t="n">
        <f aca="false">IF(AND($C53="Yes",$D53="Yes"),1,0)</f>
        <v>0</v>
      </c>
      <c r="T53" s="403" t="n">
        <f aca="false">$S53*IF($J53&lt;&gt;"",$J53,$F53*IF($I53&lt;&gt;"",$I53,$C$4)/(1+IF($I53&lt;&gt;"",$I53,$C$4)))</f>
        <v>0</v>
      </c>
      <c r="U53" s="403" t="n">
        <f aca="false">$S53*IF($L53&lt;&gt;"",$L53,$F53*$C$5)</f>
        <v>0</v>
      </c>
      <c r="V53" s="403" t="n">
        <f aca="false">$S53*$F53*IF($N53&lt;&gt;"",$N53,$C$6)</f>
        <v>0</v>
      </c>
      <c r="W53" s="403" t="n">
        <f aca="false">MAX(0,$V53-$U53)</f>
        <v>0</v>
      </c>
      <c r="X53" s="404" t="n">
        <f aca="false">IF($B53&lt;&gt;"",$B53,100+$H53)</f>
        <v>182</v>
      </c>
      <c r="Y53" s="403" t="n">
        <f aca="false">$S53*MAX(0,MIN($W53,$C$7-SUMIFS($W$11:$W$54,$X$11:$X$54,"&lt;"&amp;$X53)))</f>
        <v>0</v>
      </c>
      <c r="Z53" s="403" t="n">
        <f aca="false">$W53-$Y53</f>
        <v>0</v>
      </c>
      <c r="AA53" s="406" t="n">
        <f aca="false">$S53*($T53-$U53-$Z53)</f>
        <v>0</v>
      </c>
      <c r="AB53" s="406" t="n">
        <f aca="false">$S53*($T53-$U53)</f>
        <v>0</v>
      </c>
      <c r="AC53" s="403" t="n">
        <f aca="false">IF(AND($S53=1,$H53&lt;=$C$8),$Z53-N($O53),0)</f>
        <v>0</v>
      </c>
      <c r="AD53" s="407"/>
    </row>
    <row r="54" customFormat="false" ht="15" hidden="false" customHeight="true" outlineLevel="0" collapsed="false">
      <c r="A54" s="408" t="s">
        <v>50</v>
      </c>
      <c r="B54" s="400"/>
      <c r="C54" s="409" t="s">
        <v>571</v>
      </c>
      <c r="D54" s="409" t="s">
        <v>571</v>
      </c>
      <c r="E54" s="402"/>
      <c r="F54" s="410" t="n">
        <v>0</v>
      </c>
      <c r="G54" s="400"/>
      <c r="H54" s="411" t="n">
        <v>0</v>
      </c>
      <c r="I54" s="405"/>
      <c r="J54" s="402"/>
      <c r="K54" s="400"/>
      <c r="L54" s="402"/>
      <c r="M54" s="400"/>
      <c r="N54" s="405"/>
      <c r="O54" s="402"/>
      <c r="P54" s="400"/>
      <c r="Q54" s="402"/>
      <c r="R54" s="400"/>
      <c r="S54" s="411" t="n">
        <f aca="false">IF(AND($C54="Yes",$D54="Yes"),1,0)</f>
        <v>0</v>
      </c>
      <c r="T54" s="410" t="n">
        <f aca="false">$S54*IF($J54&lt;&gt;"",$J54,$F54*IF($I54&lt;&gt;"",$I54,$C$4)/(1+IF($I54&lt;&gt;"",$I54,$C$4)))</f>
        <v>0</v>
      </c>
      <c r="U54" s="410" t="n">
        <f aca="false">$S54*IF($L54&lt;&gt;"",$L54,$F54*$C$5)</f>
        <v>0</v>
      </c>
      <c r="V54" s="410" t="n">
        <f aca="false">$S54*$F54*IF($N54&lt;&gt;"",$N54,$C$6)</f>
        <v>0</v>
      </c>
      <c r="W54" s="410" t="n">
        <f aca="false">MAX(0,$V54-$U54)</f>
        <v>0</v>
      </c>
      <c r="X54" s="411" t="n">
        <f aca="false">IF($B54&lt;&gt;"",$B54,100+$H54)</f>
        <v>100</v>
      </c>
      <c r="Y54" s="410" t="n">
        <f aca="false">$S54*MAX(0,MIN($W54,$C$7-SUMIFS($W$11:$W$54,$X$11:$X$54,"&lt;"&amp;$X54)))</f>
        <v>0</v>
      </c>
      <c r="Z54" s="410" t="n">
        <f aca="false">$W54-$Y54</f>
        <v>0</v>
      </c>
      <c r="AA54" s="412" t="n">
        <f aca="false">$S54*($T54-$U54-$Z54)</f>
        <v>0</v>
      </c>
      <c r="AB54" s="412" t="n">
        <f aca="false">$S54*($T54-$U54)</f>
        <v>0</v>
      </c>
      <c r="AC54" s="410" t="n">
        <f aca="false">IF(AND($S54=1,$H54&lt;=$C$8),$Z54-N($O54),0)</f>
        <v>0</v>
      </c>
      <c r="AD54" s="413"/>
    </row>
    <row r="56" customFormat="false" ht="15.75" hidden="false" customHeight="true" outlineLevel="0" collapsed="false">
      <c r="A56" s="414" t="s">
        <v>476</v>
      </c>
      <c r="B56" s="415"/>
      <c r="C56" s="415"/>
      <c r="D56" s="415"/>
      <c r="E56" s="415"/>
      <c r="F56" s="415"/>
      <c r="G56" s="415"/>
      <c r="H56" s="415"/>
      <c r="I56" s="415"/>
      <c r="J56" s="415"/>
      <c r="K56" s="415"/>
      <c r="L56" s="415"/>
      <c r="M56" s="415"/>
      <c r="N56" s="415"/>
      <c r="O56" s="415"/>
      <c r="P56" s="415"/>
      <c r="Q56" s="415"/>
      <c r="R56" s="415"/>
      <c r="S56" s="415"/>
      <c r="T56" s="415" t="n">
        <f aca="false">SUM(T11:T54)</f>
        <v>3928739.28448276</v>
      </c>
      <c r="U56" s="415" t="n">
        <f aca="false">SUM(U11:U54)</f>
        <v>1840052.40743319</v>
      </c>
      <c r="V56" s="415" t="n">
        <f aca="false">SUM(V11:V54)</f>
        <v>8185433.615125</v>
      </c>
      <c r="W56" s="415" t="n">
        <f aca="false">SUM(W11:W54)</f>
        <v>6345381.20769181</v>
      </c>
      <c r="X56" s="415"/>
      <c r="Y56" s="415" t="n">
        <f aca="false">SUM(Y11:Y54)</f>
        <v>1800000</v>
      </c>
      <c r="Z56" s="416" t="n">
        <f aca="false">SUM(Z11:Z54)</f>
        <v>4545381.20769181</v>
      </c>
      <c r="AA56" s="416" t="n">
        <f aca="false">SUM(AA11:AA54)</f>
        <v>-2456694.33064224</v>
      </c>
      <c r="AB56" s="416" t="n">
        <f aca="false">SUM(AB11:AB54)</f>
        <v>2088686.87704957</v>
      </c>
      <c r="AC56" s="416" t="n">
        <f aca="false">SUM(AC11:AC54)</f>
        <v>692876.895125</v>
      </c>
      <c r="AD56" s="415"/>
    </row>
    <row r="57" customFormat="false" ht="15" hidden="false" customHeight="true" outlineLevel="0" collapsed="false">
      <c r="A57" s="120" t="s">
        <v>1482</v>
      </c>
      <c r="C57" s="417" t="str">
        <f aca="false">IF(Y56&lt;=$C$7+0.5,"OK","OVER CAP")</f>
        <v>OK</v>
      </c>
      <c r="D57" s="392" t="s">
        <v>1483</v>
      </c>
    </row>
    <row r="58" customFormat="false" ht="15" hidden="false" customHeight="true" outlineLevel="0" collapsed="false">
      <c r="A58" s="120" t="s">
        <v>1482</v>
      </c>
      <c r="C58" s="417" t="str">
        <f aca="false">IF(ABS(SUM(Model!$B$150:$DE$150)-SUMPRODUCT((H11:H54&gt;=-2)*(H11:H54&lt;=105)*T11:T54))&lt;1,"OK","CHECK")</f>
        <v>OK</v>
      </c>
      <c r="D58" s="392" t="s">
        <v>1484</v>
      </c>
    </row>
    <row r="60" customFormat="false" ht="15" hidden="false" customHeight="true" outlineLevel="0" collapsed="false">
      <c r="A60" s="418" t="s">
        <v>1485</v>
      </c>
    </row>
    <row r="61" customFormat="false" ht="15" hidden="false" customHeight="true" outlineLevel="0" collapsed="false">
      <c r="A61" s="392" t="s">
        <v>1486</v>
      </c>
    </row>
    <row r="62" customFormat="false" ht="15" hidden="false" customHeight="true" outlineLevel="0" collapsed="false">
      <c r="A62" s="392" t="s">
        <v>1487</v>
      </c>
    </row>
    <row r="63" customFormat="false" ht="15" hidden="false" customHeight="true" outlineLevel="0" collapsed="false">
      <c r="A63" s="392" t="s">
        <v>1488</v>
      </c>
    </row>
    <row r="64" customFormat="false" ht="15" hidden="false" customHeight="true" outlineLevel="0" collapsed="false">
      <c r="A64" s="392" t="s">
        <v>1489</v>
      </c>
    </row>
    <row r="65" customFormat="false" ht="15" hidden="false" customHeight="true" outlineLevel="0" collapsed="false">
      <c r="A65" s="392" t="s">
        <v>1490</v>
      </c>
    </row>
    <row r="66" customFormat="false" ht="15" hidden="false" customHeight="true" outlineLevel="0" collapsed="false">
      <c r="A66" s="392" t="s">
        <v>1491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Chris Andresen</cp:lastModifiedBy>
  <dcterms:modified xsi:type="dcterms:W3CDTF">2026-10-03T11:12:25Z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