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7</xdr:row>
                <xdr:rowOff>30</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-276</xdr:colOff>
                <xdr:row>7</xdr:row>
                <xdr:rowOff>1</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-173</xdr:colOff>
                <xdr:row>4</xdr:row>
                <xdr:rowOff>1</xdr:rowOff>
              </xdr:to>
            </anchor>
          </commentPr>
        </mc:Choice>
        <mc:Fallback/>
      </mc:AlternateContent>
    </comment>
  </commentList>
</comments>
</file>

<file path=xl/sharedStrings.xml><?xml version="1.0" encoding="utf-8"?>
<sst xmlns="http://schemas.openxmlformats.org/spreadsheetml/2006/main" count="3810" uniqueCount="1590">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</sst>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2">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0;\(0\);0"/>
    <numFmt numFmtId="194" formatCode="m/d/yyyy"/>
    <numFmt numFmtId="195" formatCode="\$#,##0.00;&quot;($&quot;#,##0.00\);\-"/>
  </numFmts>
  <fonts count="67">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Aptos"/>
      <family val="2"/>
      <charset val="1"/>
    </font>
    <font>
      <i val="true"/>
      <sz val="9"/>
      <color rgb="FF475569"/>
      <name val="Aptos"/>
      <family val="0"/>
      <charset val="1"/>
    </font>
    <font>
      <sz val="10"/>
      <color rgb="FF008000"/>
      <name val="Aptos"/>
      <family val="0"/>
      <charset val="1"/>
    </font>
    <font>
      <b val="true"/>
      <sz val="10"/>
      <color rgb="FF008000"/>
      <name val="Aptos"/>
      <family val="0"/>
      <charset val="1"/>
    </font>
    <font>
      <b val="true"/>
      <sz val="9"/>
      <color rgb="FFA84A15"/>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18" borderId="0" xfId="0" applyFont="true" applyBorder="false" applyAlignment="true" applyProtection="false">
      <alignment horizontal="general" vertical="bottom" textRotation="0" wrapText="false" indent="0" shrinkToFit="false"/>
      <protection locked="true" hidden="false"/>
    </xf>
    <xf numFmtId="193"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69" fontId="31" fillId="13" borderId="0" xfId="0" applyFont="true" applyBorder="false" applyAlignment="true" applyProtection="false">
      <alignment horizontal="general" vertical="bottom" textRotation="0" wrapText="false" indent="0" shrinkToFit="false"/>
      <protection locked="true" hidden="false"/>
    </xf>
    <xf numFmtId="169"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5"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5"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5"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6"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404040"/>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453614.405503715</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430716.105503715</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537454.561171798</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591045.101171798</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529057.411171798</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572924.721171798</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471284.961171798</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571065.271171798</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478630.521171798</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550828.331171798</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567536.234071098</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461060.859440485</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330360.40710451</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343474.63710451</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338292.92710451</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429013.43912376</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392352.75826801</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314242.14690251</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310718.22690251</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313787.57425126</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168453.355668083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176630.535668083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183420.125668083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121430.385668083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98614.0356680833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98614.0356680833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348794.854919938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328373.884919938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406592.223309072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447076.483309072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400623.203309072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431043.263309072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353625.453309072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428460.683309072</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359134.613309072</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413282.983309072</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425813.733770912</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345957.386301022</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247932.369393442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257768.049393442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253881.769393442</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322093.464092842</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294263.767992242</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235681.056395842</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233038.106395842</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235339.858614842</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126339.658389133</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132472.548389133</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137564.738389133</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91072.4283891333</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73960.1683891333</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73960.1683891333</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6414406.43797818</v>
      </c>
      <c r="R57" s="30" t="n">
        <f aca="false">SUM(R13:R56)</f>
        <v>6376373.07906584</v>
      </c>
      <c r="S57" s="30" t="n">
        <f aca="false">SUM(S13:S56)</f>
        <v>7227567.30404204</v>
      </c>
      <c r="T57" s="30" t="n">
        <f aca="false">SUM(T13:T56)</f>
        <v>8259389.59358842</v>
      </c>
      <c r="U57" s="30" t="n">
        <f aca="false">SUM(U13:U56)</f>
        <v>7719984.66176024</v>
      </c>
      <c r="V57" s="30" t="n">
        <f aca="false">SUM(V13:V56)</f>
        <v>8277570.75484072</v>
      </c>
      <c r="W57" s="30" t="n">
        <f aca="false">SUM(W13:W56)</f>
        <v>7057370.96941777</v>
      </c>
      <c r="X57" s="30" t="n">
        <f aca="false">SUM(X13:X56)</f>
        <v>8231619.50215594</v>
      </c>
      <c r="Y57" s="30" t="n">
        <f aca="false">SUM(Y13:Y56)</f>
        <v>6949210.47463082</v>
      </c>
      <c r="Z57" s="30" t="n">
        <f aca="false">SUM(Z13:Z56)</f>
        <v>7642361.98099884</v>
      </c>
      <c r="AA57" s="30" t="n">
        <f aca="false">SUM(AA13:AA56)</f>
        <v>6894122.56932453</v>
      </c>
      <c r="AB57" s="30" t="n">
        <f aca="false">SUM(AB13:AB56)</f>
        <v>5739897.27708637</v>
      </c>
      <c r="AC57" s="30" t="n">
        <f aca="false">SUM(AC13:AC56)</f>
        <v>4859576.47607795</v>
      </c>
      <c r="AD57" s="30" t="n">
        <f aca="false">SUM(AD13:AD56)</f>
        <v>4810135.64449744</v>
      </c>
      <c r="AE57" s="30" t="n">
        <f aca="false">SUM(AE13:AE56)</f>
        <v>4511866.89638973</v>
      </c>
      <c r="AF57" s="30" t="n">
        <f aca="false">SUM(AF13:AF56)</f>
        <v>4374307.47792775</v>
      </c>
      <c r="AG57" s="30" t="n">
        <f aca="false">SUM(AG13:AG56)</f>
        <v>4751349.15266775</v>
      </c>
      <c r="AH57" s="30" t="n">
        <f aca="false">SUM(AH13:AH56)</f>
        <v>4369722.42882665</v>
      </c>
      <c r="AI57" s="30" t="n">
        <f aca="false">SUM(AI13:AI56)</f>
        <v>4217920.91379165</v>
      </c>
      <c r="AJ57" s="30" t="n">
        <f aca="false">SUM(AJ13:AJ56)</f>
        <v>3097741.7394289</v>
      </c>
      <c r="AK57" s="30" t="n">
        <f aca="false">SUM(AK13:AK56)</f>
        <v>2654181.90309278</v>
      </c>
      <c r="AL57" s="30" t="n">
        <f aca="false">SUM(AL13:AL56)</f>
        <v>2678914.67117278</v>
      </c>
      <c r="AM57" s="30" t="n">
        <f aca="false">SUM(AM13:AM56)</f>
        <v>2671439.63838278</v>
      </c>
      <c r="AN57" s="30" t="n">
        <f aca="false">SUM(AN13:AN56)</f>
        <v>1797697.51707278</v>
      </c>
      <c r="AO57" s="30" t="n">
        <f aca="false">SUM(AO13:AO56)</f>
        <v>1400536.58698278</v>
      </c>
      <c r="AP57" s="30" t="n">
        <f aca="false">SUM(AP13:AP56)</f>
        <v>1279674.31108278</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7216815.69840183</v>
      </c>
      <c r="R58" s="30" t="n">
        <f aca="false">R10+R11+R57</f>
        <v>7135463.0694895</v>
      </c>
      <c r="S58" s="30" t="n">
        <f aca="false">S10+S11+S57</f>
        <v>8171614.08852291</v>
      </c>
      <c r="T58" s="30" t="n">
        <f aca="false">T10+T11+T57</f>
        <v>9297511.17806929</v>
      </c>
      <c r="U58" s="30" t="n">
        <f aca="false">U10+U11+U57</f>
        <v>8649665.27624111</v>
      </c>
      <c r="V58" s="30" t="n">
        <f aca="false">V10+V11+V57</f>
        <v>9281538.73932159</v>
      </c>
      <c r="W58" s="30" t="n">
        <f aca="false">W10+W11+W57</f>
        <v>7882281.38389864</v>
      </c>
      <c r="X58" s="30" t="n">
        <f aca="false">X10+X11+X57</f>
        <v>9231145.45663681</v>
      </c>
      <c r="Y58" s="30" t="n">
        <f aca="false">Y10+Y11+Y57</f>
        <v>7786975.60911169</v>
      </c>
      <c r="Z58" s="30" t="n">
        <f aca="false">Z10+Z11+Z57</f>
        <v>8606473.2954797</v>
      </c>
      <c r="AA58" s="30" t="n">
        <f aca="false">AA10+AA11+AA57</f>
        <v>7887472.53716654</v>
      </c>
      <c r="AB58" s="30" t="n">
        <f aca="false">AB10+AB11+AB57</f>
        <v>6546915.52282788</v>
      </c>
      <c r="AC58" s="30" t="n">
        <f aca="false">AC10+AC11+AC57</f>
        <v>5437869.2525759</v>
      </c>
      <c r="AD58" s="30" t="n">
        <f aca="false">AD10+AD11+AD57</f>
        <v>5411378.3309954</v>
      </c>
      <c r="AE58" s="30" t="n">
        <f aca="false">AE10+AE11+AE57</f>
        <v>5104041.59288768</v>
      </c>
      <c r="AF58" s="30" t="n">
        <f aca="false">AF10+AF11+AF57</f>
        <v>5125414.38114436</v>
      </c>
      <c r="AG58" s="30" t="n">
        <f aca="false">AG10+AG11+AG57</f>
        <v>5437965.678928</v>
      </c>
      <c r="AH58" s="30" t="n">
        <f aca="false">AH10+AH11+AH57</f>
        <v>4919645.632125</v>
      </c>
      <c r="AI58" s="30" t="n">
        <f aca="false">AI10+AI11+AI57</f>
        <v>4761677.24709</v>
      </c>
      <c r="AJ58" s="30" t="n">
        <f aca="false">AJ10+AJ11+AJ57</f>
        <v>3646869.172295</v>
      </c>
      <c r="AK58" s="30" t="n">
        <f aca="false">AK10+AK11+AK57</f>
        <v>2948974.91715</v>
      </c>
      <c r="AL58" s="30" t="n">
        <f aca="false">AL10+AL11+AL57</f>
        <v>2988017.75523</v>
      </c>
      <c r="AM58" s="30" t="n">
        <f aca="false">AM10+AM11+AM57</f>
        <v>2992424.50244</v>
      </c>
      <c r="AN58" s="30" t="n">
        <f aca="false">AN10+AN11+AN57</f>
        <v>2010200.33113</v>
      </c>
      <c r="AO58" s="30" t="n">
        <f aca="false">AO10+AO11+AO57</f>
        <v>1573110.79104</v>
      </c>
      <c r="AP58" s="30" t="n">
        <f aca="false">AP10+AP11+AP57</f>
        <v>1452248.51514</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-6419042.44797817</v>
      </c>
      <c r="R104" s="30" t="n">
        <f aca="false">SUM(R60:R103)</f>
        <v>-6423886.08906584</v>
      </c>
      <c r="S104" s="30" t="n">
        <f aca="false">SUM(S60:S103)</f>
        <v>-7344610.76404204</v>
      </c>
      <c r="T104" s="30" t="n">
        <f aca="false">SUM(T60:T103)</f>
        <v>-8354636.88358842</v>
      </c>
      <c r="U104" s="30" t="n">
        <f aca="false">SUM(U60:U103)</f>
        <v>-7794949.62176024</v>
      </c>
      <c r="V104" s="30" t="n">
        <f aca="false">SUM(V60:V103)</f>
        <v>-8341509.05484072</v>
      </c>
      <c r="W104" s="30" t="n">
        <f aca="false">SUM(W60:W103)</f>
        <v>-7051585.64941777</v>
      </c>
      <c r="X104" s="30" t="n">
        <f aca="false">SUM(X60:X103)</f>
        <v>-8231619.50215594</v>
      </c>
      <c r="Y104" s="30" t="n">
        <f aca="false">SUM(Y60:Y103)</f>
        <v>-6949210.47463082</v>
      </c>
      <c r="Z104" s="30" t="n">
        <f aca="false">SUM(Z60:Z103)</f>
        <v>-7642361.98099884</v>
      </c>
      <c r="AA104" s="30" t="n">
        <f aca="false">SUM(AA60:AA103)</f>
        <v>-6894122.56932453</v>
      </c>
      <c r="AB104" s="30" t="n">
        <f aca="false">SUM(AB60:AB103)</f>
        <v>-5739897.27708637</v>
      </c>
      <c r="AC104" s="30" t="n">
        <f aca="false">SUM(AC60:AC103)</f>
        <v>-4859576.47607795</v>
      </c>
      <c r="AD104" s="30" t="n">
        <f aca="false">SUM(AD60:AD103)</f>
        <v>-4810135.64449744</v>
      </c>
      <c r="AE104" s="30" t="n">
        <f aca="false">SUM(AE60:AE103)</f>
        <v>-4511866.89638973</v>
      </c>
      <c r="AF104" s="30" t="n">
        <f aca="false">SUM(AF60:AF103)</f>
        <v>-4374307.47792775</v>
      </c>
      <c r="AG104" s="30" t="n">
        <f aca="false">SUM(AG60:AG103)</f>
        <v>-4751349.15266775</v>
      </c>
      <c r="AH104" s="30" t="n">
        <f aca="false">SUM(AH60:AH103)</f>
        <v>-4369722.42882665</v>
      </c>
      <c r="AI104" s="30" t="n">
        <f aca="false">SUM(AI60:AI103)</f>
        <v>-4217920.91379165</v>
      </c>
      <c r="AJ104" s="30" t="n">
        <f aca="false">SUM(AJ60:AJ103)</f>
        <v>-3097741.7394289</v>
      </c>
      <c r="AK104" s="30" t="n">
        <f aca="false">SUM(AK60:AK103)</f>
        <v>-2654181.90309278</v>
      </c>
      <c r="AL104" s="30" t="n">
        <f aca="false">SUM(AL60:AL103)</f>
        <v>-2678914.67117278</v>
      </c>
      <c r="AM104" s="30" t="n">
        <f aca="false">SUM(AM60:AM103)</f>
        <v>-2671439.63838278</v>
      </c>
      <c r="AN104" s="30" t="n">
        <f aca="false">SUM(AN60:AN103)</f>
        <v>-1797697.51707278</v>
      </c>
      <c r="AO104" s="30" t="n">
        <f aca="false">SUM(AO60:AO103)</f>
        <v>-1400536.58698278</v>
      </c>
      <c r="AP104" s="30" t="n">
        <f aca="false">SUM(AP60:AP103)</f>
        <v>-1279674.31108278</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668967.044334975</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-802202.980665025</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784331.530423652</v>
      </c>
      <c r="R199" s="32" t="n">
        <f aca="false">R197+R198+R10+R11+R57+R104+R196</f>
        <v>728413.490423653</v>
      </c>
      <c r="S199" s="32" t="n">
        <f aca="false">S197+S198+S10+S11+S57+S104+S196</f>
        <v>84565.6538158457</v>
      </c>
      <c r="T199" s="32" t="n">
        <f aca="false">T197+T198+T10+T11+T57+T104+T196</f>
        <v>963746.914480871</v>
      </c>
      <c r="U199" s="32" t="n">
        <f aca="false">U197+U198+U10+U11+U57+U104+U196</f>
        <v>858017.624480872</v>
      </c>
      <c r="V199" s="32" t="n">
        <f aca="false">V197+V198+V10+V11+V57+V104+V196</f>
        <v>936596.714480868</v>
      </c>
      <c r="W199" s="32" t="n">
        <f aca="false">W197+W198+W10+W11+W57+W104+W196</f>
        <v>824910.41448087</v>
      </c>
      <c r="X199" s="32" t="n">
        <f aca="false">X197+X198+X10+X11+X57+X104+X196</f>
        <v>999525.95448087</v>
      </c>
      <c r="Y199" s="32" t="n">
        <f aca="false">Y197+Y198+Y10+Y11+Y57+Y104+Y196</f>
        <v>837765.134480869</v>
      </c>
      <c r="Z199" s="32" t="n">
        <f aca="false">Z197+Z198+Z10+Z11+Z57+Z104+Z196</f>
        <v>964111.314480869</v>
      </c>
      <c r="AA199" s="32" t="n">
        <f aca="false">AA197+AA198+AA10+AA11+AA57+AA104+AA196</f>
        <v>993349.967842009</v>
      </c>
      <c r="AB199" s="32" t="n">
        <f aca="false">AB197+AB198+AB10+AB11+AB57+AB104+AB196</f>
        <v>807018.245741507</v>
      </c>
      <c r="AC199" s="32" t="n">
        <f aca="false">AC197+AC198+AC10+AC11+AC57+AC104+AC196</f>
        <v>578292.776497952</v>
      </c>
      <c r="AD199" s="32" t="n">
        <f aca="false">AD197+AD198+AD10+AD11+AD57+AD104+AD196</f>
        <v>601242.686497952</v>
      </c>
      <c r="AE199" s="32" t="n">
        <f aca="false">AE197+AE198+AE10+AE11+AE57+AE104+AE196</f>
        <v>592174.696497953</v>
      </c>
      <c r="AF199" s="32" t="n">
        <f aca="false">AF197+AF198+AF10+AF11+AF57+AF104+AF196</f>
        <v>751106.903216602</v>
      </c>
      <c r="AG199" s="32" t="n">
        <f aca="false">AG197+AG198+AG10+AG11+AG57+AG104+AG196</f>
        <v>686616.526260252</v>
      </c>
      <c r="AH199" s="32" t="n">
        <f aca="false">AH197+AH198+AH10+AH11+AH57+AH104+AH196</f>
        <v>549923.203298352</v>
      </c>
      <c r="AI199" s="32" t="n">
        <f aca="false">AI197+AI198+AI10+AI11+AI57+AI104+AI196</f>
        <v>543756.333298353</v>
      </c>
      <c r="AJ199" s="32" t="n">
        <f aca="false">AJ197+AJ198+AJ10+AJ11+AJ57+AJ104+AJ196</f>
        <v>549127.432866102</v>
      </c>
      <c r="AK199" s="32" t="n">
        <f aca="false">AK197+AK198+AK10+AK11+AK57+AK104+AK196</f>
        <v>294793.014057217</v>
      </c>
      <c r="AL199" s="32" t="n">
        <f aca="false">AL197+AL198+AL10+AL11+AL57+AL104+AL196</f>
        <v>309103.084057217</v>
      </c>
      <c r="AM199" s="32" t="n">
        <f aca="false">AM197+AM198+AM10+AM11+AM57+AM104+AM196</f>
        <v>320984.864057217</v>
      </c>
      <c r="AN199" s="32" t="n">
        <f aca="false">AN197+AN198+AN10+AN11+AN57+AN104+AN196</f>
        <v>212502.814057217</v>
      </c>
      <c r="AO199" s="32" t="n">
        <f aca="false">AO197+AO198+AO10+AO11+AO57+AO104+AO196</f>
        <v>172574.204057217</v>
      </c>
      <c r="AP199" s="32" t="n">
        <f aca="false">AP197+AP198+AP10+AP11+AP57+AP104+AP196</f>
        <v>172574.204057217</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0.108681108566669</v>
      </c>
      <c r="R200" s="33" t="n">
        <f aca="false">IFERROR(R199/R58,0)</f>
        <v>0.102083562528447</v>
      </c>
      <c r="S200" s="33" t="n">
        <f aca="false">IFERROR(S199/S58,0)</f>
        <v>0.0103487087006004</v>
      </c>
      <c r="T200" s="33" t="n">
        <f aca="false">IFERROR(T199/T58,0)</f>
        <v>0.103656440527238</v>
      </c>
      <c r="U200" s="33" t="n">
        <f aca="false">IFERROR(U199/U58,0)</f>
        <v>0.0991966275085434</v>
      </c>
      <c r="V200" s="33" t="n">
        <f aca="false">IFERROR(V199/V58,0)</f>
        <v>0.100909638022943</v>
      </c>
      <c r="W200" s="33" t="n">
        <f aca="false">IFERROR(W199/W58,0)</f>
        <v>0.104653763841258</v>
      </c>
      <c r="X200" s="33" t="n">
        <f aca="false">IFERROR(X199/X58,0)</f>
        <v>0.108277565246494</v>
      </c>
      <c r="Y200" s="33" t="n">
        <f aca="false">IFERROR(Y199/Y58,0)</f>
        <v>0.107585431948777</v>
      </c>
      <c r="Z200" s="33" t="n">
        <f aca="false">IFERROR(Z199/Z58,0)</f>
        <v>0.11202164712313</v>
      </c>
      <c r="AA200" s="33" t="n">
        <f aca="false">IFERROR(AA199/AA58,0)</f>
        <v>0.125940212553673</v>
      </c>
      <c r="AB200" s="33" t="n">
        <f aca="false">IFERROR(AB199/AB58,0)</f>
        <v>0.123266940428296</v>
      </c>
      <c r="AC200" s="33" t="n">
        <f aca="false">IFERROR(AC199/AC58,0)</f>
        <v>0.106345472764726</v>
      </c>
      <c r="AD200" s="33" t="n">
        <f aca="false">IFERROR(AD199/AD58,0)</f>
        <v>0.111107124603383</v>
      </c>
      <c r="AE200" s="33" t="n">
        <f aca="false">IFERROR(AE199/AE58,0)</f>
        <v>0.1160207427234</v>
      </c>
      <c r="AF200" s="33" t="n">
        <f aca="false">IFERROR(AF199/AF58,0)</f>
        <v>0.146545595606828</v>
      </c>
      <c r="AG200" s="33" t="n">
        <f aca="false">IFERROR(AG199/AG58,0)</f>
        <v>0.126263490209377</v>
      </c>
      <c r="AH200" s="33" t="n">
        <f aca="false">IFERROR(AH199/AH58,0)</f>
        <v>0.111781059942079</v>
      </c>
      <c r="AI200" s="33" t="n">
        <f aca="false">IFERROR(AI199/AI58,0)</f>
        <v>0.114194285979937</v>
      </c>
      <c r="AJ200" s="33" t="n">
        <f aca="false">IFERROR(AJ199/AJ58,0)</f>
        <v>0.150575029408179</v>
      </c>
      <c r="AK200" s="33" t="n">
        <f aca="false">IFERROR(AK199/AK58,0)</f>
        <v>0.0999645715339335</v>
      </c>
      <c r="AL200" s="33" t="n">
        <f aca="false">IFERROR(AL199/AL58,0)</f>
        <v>0.103447539264513</v>
      </c>
      <c r="AM200" s="33" t="n">
        <f aca="false">IFERROR(AM199/AM58,0)</f>
        <v>0.10726581866827</v>
      </c>
      <c r="AN200" s="33" t="n">
        <f aca="false">IFERROR(AN199/AN58,0)</f>
        <v>0.105712257015579</v>
      </c>
      <c r="AO200" s="33" t="n">
        <f aca="false">IFERROR(AO199/AO58,0)</f>
        <v>0.109702511126458</v>
      </c>
      <c r="AP200" s="33" t="n">
        <f aca="false">IFERROR(AP199/AP58,0)</f>
        <v>0.118832419009621</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-357048.62</v>
      </c>
      <c r="R203" s="13" t="n">
        <f aca="false">IF(ISBLANK(Actuals!S21),(-(SUMPRODUCT((Personnel!$O$9:$O$100="GC")*(Personnel!$G$9:$G$100="Yes")*(14&gt;=Personnel!$E$9:$E$100)*((Personnel!$K$9:$K$100="")+(14&lt;=Personnel!$K$9:$K$100)&gt;0)*Personnel!$D$9:$D$100*(1-Personnel!$H$9:$H$100))+Staffing!R81))*Escalation!$B$15,Actuals!S21)</f>
        <v>-357048.62</v>
      </c>
      <c r="S203" s="13" t="n">
        <f aca="false">IF(ISBLANK(Actuals!T21),(-(SUMPRODUCT((Personnel!$O$9:$O$100="GC")*(Personnel!$G$9:$G$100="Yes")*(15&gt;=Personnel!$E$9:$E$100)*((Personnel!$K$9:$K$100="")+(15&lt;=Personnel!$K$9:$K$100)&gt;0)*Personnel!$D$9:$D$100*(1-Personnel!$H$9:$H$100))+Staffing!S81))*Escalation!$B$16,Actuals!T21)</f>
        <v>-381273.62</v>
      </c>
      <c r="T203" s="13" t="n">
        <f aca="false">IF(ISBLANK(Actuals!U21),(-(SUMPRODUCT((Personnel!$O$9:$O$100="GC")*(Personnel!$G$9:$G$100="Yes")*(16&gt;=Personnel!$E$9:$E$100)*((Personnel!$K$9:$K$100="")+(16&lt;=Personnel!$K$9:$K$100)&gt;0)*Personnel!$D$9:$D$100*(1-Personnel!$H$9:$H$100))+Staffing!T81))*Escalation!$B$17,Actuals!U21)</f>
        <v>-381273.62</v>
      </c>
      <c r="U203" s="13" t="n">
        <f aca="false">IF(ISBLANK(Actuals!V21),(-(SUMPRODUCT((Personnel!$O$9:$O$100="GC")*(Personnel!$G$9:$G$100="Yes")*(17&gt;=Personnel!$E$9:$E$100)*((Personnel!$K$9:$K$100="")+(17&lt;=Personnel!$K$9:$K$100)&gt;0)*Personnel!$D$9:$D$100*(1-Personnel!$H$9:$H$100))+Staffing!U81))*Escalation!$B$18,Actuals!V21)</f>
        <v>-381273.62</v>
      </c>
      <c r="V203" s="13" t="n">
        <f aca="false">IF(ISBLANK(Actuals!W21),(-(SUMPRODUCT((Personnel!$O$9:$O$100="GC")*(Personnel!$G$9:$G$100="Yes")*(18&gt;=Personnel!$E$9:$E$100)*((Personnel!$K$9:$K$100="")+(18&lt;=Personnel!$K$9:$K$100)&gt;0)*Personnel!$D$9:$D$100*(1-Personnel!$H$9:$H$100))+Staffing!V81))*Escalation!$B$19,Actuals!W21)</f>
        <v>-381273.62</v>
      </c>
      <c r="W203" s="13" t="n">
        <f aca="false">IF(ISBLANK(Actuals!X21),(-(SUMPRODUCT((Personnel!$O$9:$O$100="GC")*(Personnel!$G$9:$G$100="Yes")*(19&gt;=Personnel!$E$9:$E$100)*((Personnel!$K$9:$K$100="")+(19&lt;=Personnel!$K$9:$K$100)&gt;0)*Personnel!$D$9:$D$100*(1-Personnel!$H$9:$H$100))+Staffing!W81))*Escalation!$B$20,Actuals!X21)</f>
        <v>-381273.62</v>
      </c>
      <c r="X203" s="13" t="n">
        <f aca="false">IF(ISBLANK(Actuals!Y21),(-(SUMPRODUCT((Personnel!$O$9:$O$100="GC")*(Personnel!$G$9:$G$100="Yes")*(20&gt;=Personnel!$E$9:$E$100)*((Personnel!$K$9:$K$100="")+(20&lt;=Personnel!$K$9:$K$100)&gt;0)*Personnel!$D$9:$D$100*(1-Personnel!$H$9:$H$100))+Staffing!X81))*Escalation!$B$21,Actuals!Y21)</f>
        <v>-381273.62</v>
      </c>
      <c r="Y203" s="13" t="n">
        <f aca="false">IF(ISBLANK(Actuals!Z21),(-(SUMPRODUCT((Personnel!$O$9:$O$100="GC")*(Personnel!$G$9:$G$100="Yes")*(21&gt;=Personnel!$E$9:$E$100)*((Personnel!$K$9:$K$100="")+(21&lt;=Personnel!$K$9:$K$100)&gt;0)*Personnel!$D$9:$D$100*(1-Personnel!$H$9:$H$100))+Staffing!Y81))*Escalation!$B$22,Actuals!Z21)</f>
        <v>-381273.62</v>
      </c>
      <c r="Z203" s="13" t="n">
        <f aca="false">IF(ISBLANK(Actuals!AA21),(-(SUMPRODUCT((Personnel!$O$9:$O$100="GC")*(Personnel!$G$9:$G$100="Yes")*(22&gt;=Personnel!$E$9:$E$100)*((Personnel!$K$9:$K$100="")+(22&lt;=Personnel!$K$9:$K$100)&gt;0)*Personnel!$D$9:$D$100*(1-Personnel!$H$9:$H$100))+Staffing!Z81))*Escalation!$B$23,Actuals!AA21)</f>
        <v>-341748.62</v>
      </c>
      <c r="AA203" s="13" t="n">
        <f aca="false">IF(ISBLANK(Actuals!AB21),(-(SUMPRODUCT((Personnel!$O$9:$O$100="GC")*(Personnel!$G$9:$G$100="Yes")*(23&gt;=Personnel!$E$9:$E$100)*((Personnel!$K$9:$K$100="")+(23&lt;=Personnel!$K$9:$K$100)&gt;0)*Personnel!$D$9:$D$100*(1-Personnel!$H$9:$H$100))+Staffing!AA81))*Escalation!$B$24,Actuals!AB21)</f>
        <v>-334948.62</v>
      </c>
      <c r="AB203" s="13" t="n">
        <f aca="false">IF(ISBLANK(Actuals!AC21),(-(SUMPRODUCT((Personnel!$O$9:$O$100="GC")*(Personnel!$G$9:$G$100="Yes")*(24&gt;=Personnel!$E$9:$E$100)*((Personnel!$K$9:$K$100="")+(24&lt;=Personnel!$K$9:$K$100)&gt;0)*Personnel!$D$9:$D$100*(1-Personnel!$H$9:$H$100))+Staffing!AB81))*Escalation!$B$25,Actuals!AC21)</f>
        <v>-321348.62</v>
      </c>
      <c r="AC203" s="13" t="n">
        <f aca="false">IF(ISBLANK(Actuals!AD21),(-(SUMPRODUCT((Personnel!$O$9:$O$100="GC")*(Personnel!$G$9:$G$100="Yes")*(25&gt;=Personnel!$E$9:$E$100)*((Personnel!$K$9:$K$100="")+(25&lt;=Personnel!$K$9:$K$100)&gt;0)*Personnel!$D$9:$D$100*(1-Personnel!$H$9:$H$100))+Staffing!AC81))*Escalation!$B$26,Actuals!AD21)</f>
        <v>-303066.0924</v>
      </c>
      <c r="AD203" s="13" t="n">
        <f aca="false">IF(ISBLANK(Actuals!AE21),(-(SUMPRODUCT((Personnel!$O$9:$O$100="GC")*(Personnel!$G$9:$G$100="Yes")*(26&gt;=Personnel!$E$9:$E$100)*((Personnel!$K$9:$K$100="")+(26&lt;=Personnel!$K$9:$K$100)&gt;0)*Personnel!$D$9:$D$100*(1-Personnel!$H$9:$H$100))+Staffing!AD81))*Escalation!$B$27,Actuals!AE21)</f>
        <v>-277923.0924</v>
      </c>
      <c r="AE203" s="13" t="n">
        <f aca="false">IF(ISBLANK(Actuals!AF21),(-(SUMPRODUCT((Personnel!$O$9:$O$100="GC")*(Personnel!$G$9:$G$100="Yes")*(27&gt;=Personnel!$E$9:$E$100)*((Personnel!$K$9:$K$100="")+(27&lt;=Personnel!$K$9:$K$100)&gt;0)*Personnel!$D$9:$D$100*(1-Personnel!$H$9:$H$100))+Staffing!AE81))*Escalation!$B$28,Actuals!AF21)</f>
        <v>-277923.0924</v>
      </c>
      <c r="AF203" s="13" t="n">
        <f aca="false">IF(ISBLANK(Actuals!AG21),(-(SUMPRODUCT((Personnel!$O$9:$O$100="GC")*(Personnel!$G$9:$G$100="Yes")*(28&gt;=Personnel!$E$9:$E$100)*((Personnel!$K$9:$K$100="")+(28&lt;=Personnel!$K$9:$K$100)&gt;0)*Personnel!$D$9:$D$100*(1-Personnel!$H$9:$H$100))+Staffing!AF81))*Escalation!$B$29,Actuals!AG21)</f>
        <v>-277923.0924</v>
      </c>
      <c r="AG203" s="13" t="n">
        <f aca="false">IF(ISBLANK(Actuals!AH21),(-(SUMPRODUCT((Personnel!$O$9:$O$100="GC")*(Personnel!$G$9:$G$100="Yes")*(29&gt;=Personnel!$E$9:$E$100)*((Personnel!$K$9:$K$100="")+(29&lt;=Personnel!$K$9:$K$100)&gt;0)*Personnel!$D$9:$D$100*(1-Personnel!$H$9:$H$100))+Staffing!AG81))*Escalation!$B$30,Actuals!AH21)</f>
        <v>-277923.0924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-28860.9034</v>
      </c>
      <c r="R204" s="13" t="n">
        <f aca="false">IF(ISBLANK(Actuals!S22),-Helpers!P4*Assumptions!$B$20,Actuals!S22)</f>
        <v>-28860.9034</v>
      </c>
      <c r="S204" s="13" t="n">
        <f aca="false">IF(ISBLANK(Actuals!T22),-Helpers!Q4*Assumptions!$B$20,Actuals!T22)</f>
        <v>-30556.6534</v>
      </c>
      <c r="T204" s="13" t="n">
        <f aca="false">IF(ISBLANK(Actuals!U22),-Helpers!R4*Assumptions!$B$20,Actuals!U22)</f>
        <v>-30556.6534</v>
      </c>
      <c r="U204" s="13" t="n">
        <f aca="false">IF(ISBLANK(Actuals!V22),-Helpers!S4*Assumptions!$B$20,Actuals!V22)</f>
        <v>-30556.6534</v>
      </c>
      <c r="V204" s="13" t="n">
        <f aca="false">IF(ISBLANK(Actuals!W22),-Helpers!T4*Assumptions!$B$20,Actuals!W22)</f>
        <v>-30556.6534</v>
      </c>
      <c r="W204" s="13" t="n">
        <f aca="false">IF(ISBLANK(Actuals!X22),-Helpers!U4*Assumptions!$B$20,Actuals!X22)</f>
        <v>-30556.6534</v>
      </c>
      <c r="X204" s="13" t="n">
        <f aca="false">IF(ISBLANK(Actuals!Y22),-Helpers!V4*Assumptions!$B$20,Actuals!Y22)</f>
        <v>-30556.6534</v>
      </c>
      <c r="Y204" s="13" t="n">
        <f aca="false">IF(ISBLANK(Actuals!Z22),-Helpers!W4*Assumptions!$B$20,Actuals!Z22)</f>
        <v>-30556.6534</v>
      </c>
      <c r="Z204" s="13" t="n">
        <f aca="false">IF(ISBLANK(Actuals!AA22),-Helpers!X4*Assumptions!$B$20,Actuals!AA22)</f>
        <v>-27789.9034</v>
      </c>
      <c r="AA204" s="13" t="n">
        <f aca="false">IF(ISBLANK(Actuals!AB22),-Helpers!Y4*Assumptions!$B$20,Actuals!AB22)</f>
        <v>-27313.9034</v>
      </c>
      <c r="AB204" s="13" t="n">
        <f aca="false">IF(ISBLANK(Actuals!AC22),-Helpers!Z4*Assumptions!$B$20,Actuals!AC22)</f>
        <v>-26361.9034</v>
      </c>
      <c r="AC204" s="13" t="n">
        <f aca="false">IF(ISBLANK(Actuals!AD22),-Helpers!AA4*Assumptions!$B$20,Actuals!AD22)</f>
        <v>-25159.476468</v>
      </c>
      <c r="AD204" s="13" t="n">
        <f aca="false">IF(ISBLANK(Actuals!AE22),-Helpers!AB4*Assumptions!$B$20,Actuals!AE22)</f>
        <v>-23399.466468</v>
      </c>
      <c r="AE204" s="13" t="n">
        <f aca="false">IF(ISBLANK(Actuals!AF22),-Helpers!AC4*Assumptions!$B$20,Actuals!AF22)</f>
        <v>-23399.466468</v>
      </c>
      <c r="AF204" s="13" t="n">
        <f aca="false">IF(ISBLANK(Actuals!AG22),-Helpers!AD4*Assumptions!$B$20,Actuals!AG22)</f>
        <v>-23399.466468</v>
      </c>
      <c r="AG204" s="13" t="n">
        <f aca="false">IF(ISBLANK(Actuals!AH22),-Helpers!AE4*Assumptions!$B$20,Actuals!AH22)</f>
        <v>-23399.466468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-14430.4517</v>
      </c>
      <c r="R206" s="13" t="n">
        <f aca="false">IF(ISBLANK(Actuals!S24),-Helpers!P4*Assumptions!$B$24,Actuals!S24)</f>
        <v>-14430.4517</v>
      </c>
      <c r="S206" s="13" t="n">
        <f aca="false">IF(ISBLANK(Actuals!T24),-Helpers!Q4*Assumptions!$B$24,Actuals!T24)</f>
        <v>-15278.3267</v>
      </c>
      <c r="T206" s="13" t="n">
        <f aca="false">IF(ISBLANK(Actuals!U24),-Helpers!R4*Assumptions!$B$24,Actuals!U24)</f>
        <v>-15278.3267</v>
      </c>
      <c r="U206" s="13" t="n">
        <f aca="false">IF(ISBLANK(Actuals!V24),-Helpers!S4*Assumptions!$B$24,Actuals!V24)</f>
        <v>-15278.3267</v>
      </c>
      <c r="V206" s="13" t="n">
        <f aca="false">IF(ISBLANK(Actuals!W24),-Helpers!T4*Assumptions!$B$24,Actuals!W24)</f>
        <v>-15278.3267</v>
      </c>
      <c r="W206" s="13" t="n">
        <f aca="false">IF(ISBLANK(Actuals!X24),-Helpers!U4*Assumptions!$B$24,Actuals!X24)</f>
        <v>-15278.3267</v>
      </c>
      <c r="X206" s="13" t="n">
        <f aca="false">IF(ISBLANK(Actuals!Y24),-Helpers!V4*Assumptions!$B$24,Actuals!Y24)</f>
        <v>-15278.3267</v>
      </c>
      <c r="Y206" s="13" t="n">
        <f aca="false">IF(ISBLANK(Actuals!Z24),-Helpers!W4*Assumptions!$B$24,Actuals!Z24)</f>
        <v>-15278.3267</v>
      </c>
      <c r="Z206" s="13" t="n">
        <f aca="false">IF(ISBLANK(Actuals!AA24),-Helpers!X4*Assumptions!$B$24,Actuals!AA24)</f>
        <v>-13894.9517</v>
      </c>
      <c r="AA206" s="13" t="n">
        <f aca="false">IF(ISBLANK(Actuals!AB24),-Helpers!Y4*Assumptions!$B$24,Actuals!AB24)</f>
        <v>-13656.9517</v>
      </c>
      <c r="AB206" s="13" t="n">
        <f aca="false">IF(ISBLANK(Actuals!AC24),-Helpers!Z4*Assumptions!$B$24,Actuals!AC24)</f>
        <v>-13180.9517</v>
      </c>
      <c r="AC206" s="13" t="n">
        <f aca="false">IF(ISBLANK(Actuals!AD24),-Helpers!AA4*Assumptions!$B$24,Actuals!AD24)</f>
        <v>-12579.738234</v>
      </c>
      <c r="AD206" s="13" t="n">
        <f aca="false">IF(ISBLANK(Actuals!AE24),-Helpers!AB4*Assumptions!$B$24,Actuals!AE24)</f>
        <v>-11699.733234</v>
      </c>
      <c r="AE206" s="13" t="n">
        <f aca="false">IF(ISBLANK(Actuals!AF24),-Helpers!AC4*Assumptions!$B$24,Actuals!AF24)</f>
        <v>-11699.733234</v>
      </c>
      <c r="AF206" s="13" t="n">
        <f aca="false">IF(ISBLANK(Actuals!AG24),-Helpers!AD4*Assumptions!$B$24,Actuals!AG24)</f>
        <v>-11699.733234</v>
      </c>
      <c r="AG206" s="13" t="n">
        <f aca="false">IF(ISBLANK(Actuals!AH24),-Helpers!AE4*Assumptions!$B$24,Actuals!AH24)</f>
        <v>-11699.733234</v>
      </c>
      <c r="AH206" s="13" t="n">
        <f aca="false">IF(ISBLANK(Actuals!AI24),-Helpers!AF4*Assumptions!$B$24,Actuals!AI24)</f>
        <v>-11320.420734</v>
      </c>
      <c r="AI206" s="13" t="n">
        <f aca="false">IF(ISBLANK(Actuals!AJ24),-Helpers!AG4*Assumptions!$B$24,Actuals!AJ24)</f>
        <v>-11320.420734</v>
      </c>
      <c r="AJ206" s="13" t="n">
        <f aca="false">IF(ISBLANK(Actuals!AK24),-Helpers!AH4*Assumptions!$B$24,Actuals!AK24)</f>
        <v>-11320.420734</v>
      </c>
      <c r="AK206" s="13" t="n">
        <f aca="false">IF(ISBLANK(Actuals!AL24),-Helpers!AI4*Assumptions!$B$24,Actuals!AL24)</f>
        <v>-11320.420734</v>
      </c>
      <c r="AL206" s="13" t="n">
        <f aca="false">IF(ISBLANK(Actuals!AM24),-Helpers!AJ4*Assumptions!$B$24,Actuals!AM24)</f>
        <v>-11320.420734</v>
      </c>
      <c r="AM206" s="13" t="n">
        <f aca="false">IF(ISBLANK(Actuals!AN24),-Helpers!AK4*Assumptions!$B$24,Actuals!AN24)</f>
        <v>-11320.420734</v>
      </c>
      <c r="AN206" s="13" t="n">
        <f aca="false">IF(ISBLANK(Actuals!AO24),-Helpers!AL4*Assumptions!$B$24,Actuals!AO24)</f>
        <v>-11320.420734</v>
      </c>
      <c r="AO206" s="13" t="n">
        <f aca="false">IF(ISBLANK(Actuals!AP24),-Helpers!AM4*Assumptions!$B$24,Actuals!AP24)</f>
        <v>-11546.82914868</v>
      </c>
      <c r="AP206" s="13" t="n">
        <f aca="false">IF(ISBLANK(Actuals!AQ24),-Helpers!AN4*Assumptions!$B$24,Actuals!AQ24)</f>
        <v>-11546.82914868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-1236.89586</v>
      </c>
      <c r="R207" s="13" t="n">
        <f aca="false">IF(ISBLANK(Actuals!S25),-Helpers!P4*Assumptions!$B$27,Actuals!S25)</f>
        <v>-1236.89586</v>
      </c>
      <c r="S207" s="13" t="n">
        <f aca="false">IF(ISBLANK(Actuals!T25),-Helpers!Q4*Assumptions!$B$27,Actuals!T25)</f>
        <v>-1309.57086</v>
      </c>
      <c r="T207" s="13" t="n">
        <f aca="false">IF(ISBLANK(Actuals!U25),-Helpers!R4*Assumptions!$B$27,Actuals!U25)</f>
        <v>-1309.57086</v>
      </c>
      <c r="U207" s="13" t="n">
        <f aca="false">IF(ISBLANK(Actuals!V25),-Helpers!S4*Assumptions!$B$27,Actuals!V25)</f>
        <v>-1309.57086</v>
      </c>
      <c r="V207" s="13" t="n">
        <f aca="false">IF(ISBLANK(Actuals!W25),-Helpers!T4*Assumptions!$B$27,Actuals!W25)</f>
        <v>-1309.57086</v>
      </c>
      <c r="W207" s="13" t="n">
        <f aca="false">IF(ISBLANK(Actuals!X25),-Helpers!U4*Assumptions!$B$27,Actuals!X25)</f>
        <v>-1309.57086</v>
      </c>
      <c r="X207" s="13" t="n">
        <f aca="false">IF(ISBLANK(Actuals!Y25),-Helpers!V4*Assumptions!$B$27,Actuals!Y25)</f>
        <v>-1309.57086</v>
      </c>
      <c r="Y207" s="13" t="n">
        <f aca="false">IF(ISBLANK(Actuals!Z25),-Helpers!W4*Assumptions!$B$27,Actuals!Z25)</f>
        <v>-1309.57086</v>
      </c>
      <c r="Z207" s="13" t="n">
        <f aca="false">IF(ISBLANK(Actuals!AA25),-Helpers!X4*Assumptions!$B$27,Actuals!AA25)</f>
        <v>-1190.99586</v>
      </c>
      <c r="AA207" s="13" t="n">
        <f aca="false">IF(ISBLANK(Actuals!AB25),-Helpers!Y4*Assumptions!$B$27,Actuals!AB25)</f>
        <v>-1170.59586</v>
      </c>
      <c r="AB207" s="13" t="n">
        <f aca="false">IF(ISBLANK(Actuals!AC25),-Helpers!Z4*Assumptions!$B$27,Actuals!AC25)</f>
        <v>-1129.79586</v>
      </c>
      <c r="AC207" s="13" t="n">
        <f aca="false">IF(ISBLANK(Actuals!AD25),-Helpers!AA4*Assumptions!$B$27,Actuals!AD25)</f>
        <v>-1078.2632772</v>
      </c>
      <c r="AD207" s="13" t="n">
        <f aca="false">IF(ISBLANK(Actuals!AE25),-Helpers!AB4*Assumptions!$B$27,Actuals!AE25)</f>
        <v>-1002.8342772</v>
      </c>
      <c r="AE207" s="13" t="n">
        <f aca="false">IF(ISBLANK(Actuals!AF25),-Helpers!AC4*Assumptions!$B$27,Actuals!AF25)</f>
        <v>-1002.8342772</v>
      </c>
      <c r="AF207" s="13" t="n">
        <f aca="false">IF(ISBLANK(Actuals!AG25),-Helpers!AD4*Assumptions!$B$27,Actuals!AG25)</f>
        <v>-1002.8342772</v>
      </c>
      <c r="AG207" s="13" t="n">
        <f aca="false">IF(ISBLANK(Actuals!AH25),-Helpers!AE4*Assumptions!$B$27,Actuals!AH25)</f>
        <v>-1002.8342772</v>
      </c>
      <c r="AH207" s="13" t="n">
        <f aca="false">IF(ISBLANK(Actuals!AI25),-Helpers!AF4*Assumptions!$B$27,Actuals!AI25)</f>
        <v>-970.3217772</v>
      </c>
      <c r="AI207" s="13" t="n">
        <f aca="false">IF(ISBLANK(Actuals!AJ25),-Helpers!AG4*Assumptions!$B$27,Actuals!AJ25)</f>
        <v>-970.3217772</v>
      </c>
      <c r="AJ207" s="13" t="n">
        <f aca="false">IF(ISBLANK(Actuals!AK25),-Helpers!AH4*Assumptions!$B$27,Actuals!AK25)</f>
        <v>-970.3217772</v>
      </c>
      <c r="AK207" s="13" t="n">
        <f aca="false">IF(ISBLANK(Actuals!AL25),-Helpers!AI4*Assumptions!$B$27,Actuals!AL25)</f>
        <v>-970.3217772</v>
      </c>
      <c r="AL207" s="13" t="n">
        <f aca="false">IF(ISBLANK(Actuals!AM25),-Helpers!AJ4*Assumptions!$B$27,Actuals!AM25)</f>
        <v>-970.3217772</v>
      </c>
      <c r="AM207" s="13" t="n">
        <f aca="false">IF(ISBLANK(Actuals!AN25),-Helpers!AK4*Assumptions!$B$27,Actuals!AN25)</f>
        <v>-970.3217772</v>
      </c>
      <c r="AN207" s="13" t="n">
        <f aca="false">IF(ISBLANK(Actuals!AO25),-Helpers!AL4*Assumptions!$B$27,Actuals!AO25)</f>
        <v>-970.3217772</v>
      </c>
      <c r="AO207" s="13" t="n">
        <f aca="false">IF(ISBLANK(Actuals!AP25),-Helpers!AM4*Assumptions!$B$27,Actuals!AP25)</f>
        <v>-989.728212744</v>
      </c>
      <c r="AP207" s="13" t="n">
        <f aca="false">IF(ISBLANK(Actuals!AQ25),-Helpers!AN4*Assumptions!$B$27,Actuals!AQ25)</f>
        <v>-989.728212744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-2061.4931</v>
      </c>
      <c r="R208" s="13" t="n">
        <f aca="false">IF(ISBLANK(Actuals!S26),-Helpers!P4*Assumptions!$B$21,Actuals!S26)</f>
        <v>-2061.4931</v>
      </c>
      <c r="S208" s="13" t="n">
        <f aca="false">IF(ISBLANK(Actuals!T26),-Helpers!Q4*Assumptions!$B$21,Actuals!T26)</f>
        <v>-2182.6181</v>
      </c>
      <c r="T208" s="13" t="n">
        <f aca="false">IF(ISBLANK(Actuals!U26),-Helpers!R4*Assumptions!$B$21,Actuals!U26)</f>
        <v>-2182.6181</v>
      </c>
      <c r="U208" s="13" t="n">
        <f aca="false">IF(ISBLANK(Actuals!V26),-Helpers!S4*Assumptions!$B$21,Actuals!V26)</f>
        <v>-2182.6181</v>
      </c>
      <c r="V208" s="13" t="n">
        <f aca="false">IF(ISBLANK(Actuals!W26),-Helpers!T4*Assumptions!$B$21,Actuals!W26)</f>
        <v>-2182.6181</v>
      </c>
      <c r="W208" s="13" t="n">
        <f aca="false">IF(ISBLANK(Actuals!X26),-Helpers!U4*Assumptions!$B$21,Actuals!X26)</f>
        <v>-2182.6181</v>
      </c>
      <c r="X208" s="13" t="n">
        <f aca="false">IF(ISBLANK(Actuals!Y26),-Helpers!V4*Assumptions!$B$21,Actuals!Y26)</f>
        <v>-2182.6181</v>
      </c>
      <c r="Y208" s="13" t="n">
        <f aca="false">IF(ISBLANK(Actuals!Z26),-Helpers!W4*Assumptions!$B$21,Actuals!Z26)</f>
        <v>-2182.6181</v>
      </c>
      <c r="Z208" s="13" t="n">
        <f aca="false">IF(ISBLANK(Actuals!AA26),-Helpers!X4*Assumptions!$B$21,Actuals!AA26)</f>
        <v>-1984.9931</v>
      </c>
      <c r="AA208" s="13" t="n">
        <f aca="false">IF(ISBLANK(Actuals!AB26),-Helpers!Y4*Assumptions!$B$21,Actuals!AB26)</f>
        <v>-1950.9931</v>
      </c>
      <c r="AB208" s="13" t="n">
        <f aca="false">IF(ISBLANK(Actuals!AC26),-Helpers!Z4*Assumptions!$B$21,Actuals!AC26)</f>
        <v>-1882.9931</v>
      </c>
      <c r="AC208" s="13" t="n">
        <f aca="false">IF(ISBLANK(Actuals!AD26),-Helpers!AA4*Assumptions!$B$21,Actuals!AD26)</f>
        <v>-1797.105462</v>
      </c>
      <c r="AD208" s="13" t="n">
        <f aca="false">IF(ISBLANK(Actuals!AE26),-Helpers!AB4*Assumptions!$B$21,Actuals!AE26)</f>
        <v>-1671.390462</v>
      </c>
      <c r="AE208" s="13" t="n">
        <f aca="false">IF(ISBLANK(Actuals!AF26),-Helpers!AC4*Assumptions!$B$21,Actuals!AF26)</f>
        <v>-1671.390462</v>
      </c>
      <c r="AF208" s="13" t="n">
        <f aca="false">IF(ISBLANK(Actuals!AG26),-Helpers!AD4*Assumptions!$B$21,Actuals!AG26)</f>
        <v>-1671.390462</v>
      </c>
      <c r="AG208" s="13" t="n">
        <f aca="false">IF(ISBLANK(Actuals!AH26),-Helpers!AE4*Assumptions!$B$21,Actuals!AH26)</f>
        <v>-1671.390462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-21375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-35769.2307692308</v>
      </c>
      <c r="AA223" s="13" t="n">
        <f aca="false">IF(ISBLANK(Actuals!AB41),-(SUMPRODUCT((Personnel!$O$9:$O$100="GC")*(Personnel!$G$9:$G$100="Yes")*(Personnel!$E$9:$E$100&gt;=2)*(Personnel!$Q$9:$Q$100&lt;&gt;"No")*(Personnel!$E$9:$E$100=23)*Personnel!$C$9:$C$100)*Staffing!$B$21+Staffing!AA84),Actuals!AB41)</f>
        <v>-6153.84615384615</v>
      </c>
      <c r="AB223" s="13" t="n">
        <f aca="false">IF(ISBLANK(Actuals!AC41),-(SUMPRODUCT((Personnel!$O$9:$O$100="GC")*(Personnel!$G$9:$G$100="Yes")*(Personnel!$E$9:$E$100&gt;=2)*(Personnel!$Q$9:$Q$100&lt;&gt;"No")*(Personnel!$E$9:$E$100=24)*Personnel!$C$9:$C$100)*Staffing!$B$21+Staffing!AB84),Actuals!AC41)</f>
        <v>-12307.6923076923</v>
      </c>
      <c r="AC223" s="13" t="n">
        <f aca="false">IF(ISBLANK(Actuals!AD41),-(SUMPRODUCT((Personnel!$O$9:$O$100="GC")*(Personnel!$G$9:$G$100="Yes")*(Personnel!$E$9:$E$100&gt;=2)*(Personnel!$Q$9:$Q$100&lt;&gt;"No")*(Personnel!$E$9:$E$100=25)*Personnel!$C$9:$C$100)*Staffing!$B$21+Staffing!AC84),Actuals!AD41)</f>
        <v>-21923.0769230769</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-9615.38461538462</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-485923.50726</v>
      </c>
      <c r="R236" s="30" t="n">
        <f aca="false">SUM(R202:R235)+Actuals!S54</f>
        <v>-485923.50726</v>
      </c>
      <c r="S236" s="30" t="n">
        <f aca="false">SUM(S202:S235)+Actuals!T54</f>
        <v>-534260.93226</v>
      </c>
      <c r="T236" s="30" t="n">
        <f aca="false">SUM(T202:T235)+Actuals!U54</f>
        <v>-512885.93226</v>
      </c>
      <c r="U236" s="30" t="n">
        <f aca="false">SUM(U202:U235)+Actuals!V54</f>
        <v>-512885.93226</v>
      </c>
      <c r="V236" s="30" t="n">
        <f aca="false">SUM(V202:V235)+Actuals!W54</f>
        <v>-512885.93226</v>
      </c>
      <c r="W236" s="30" t="n">
        <f aca="false">SUM(W202:W235)+Actuals!X54</f>
        <v>-512885.93226</v>
      </c>
      <c r="X236" s="30" t="n">
        <f aca="false">SUM(X202:X235)+Actuals!Y54</f>
        <v>-512885.93226</v>
      </c>
      <c r="Y236" s="30" t="n">
        <f aca="false">SUM(Y202:Y235)+Actuals!Z54</f>
        <v>-512885.93226</v>
      </c>
      <c r="Z236" s="30" t="n">
        <f aca="false">SUM(Z202:Z235)+Actuals!AA54</f>
        <v>-504663.838029231</v>
      </c>
      <c r="AA236" s="30" t="n">
        <f aca="false">SUM(AA202:AA235)+Actuals!AB54</f>
        <v>-467480.053413846</v>
      </c>
      <c r="AB236" s="30" t="n">
        <f aca="false">SUM(AB202:AB235)+Actuals!AC54</f>
        <v>-458497.099567692</v>
      </c>
      <c r="AC236" s="30" t="n">
        <f aca="false">SUM(AC202:AC235)+Actuals!AD54</f>
        <v>-449234.598828277</v>
      </c>
      <c r="AD236" s="30" t="n">
        <f aca="false">SUM(AD202:AD235)+Actuals!AE54</f>
        <v>-421635.055212892</v>
      </c>
      <c r="AE236" s="30" t="n">
        <f aca="false">SUM(AE202:AE235)+Actuals!AF54</f>
        <v>-399327.3629052</v>
      </c>
      <c r="AF236" s="30" t="n">
        <f aca="false">SUM(AF202:AF235)+Actuals!AG54</f>
        <v>-399327.3629052</v>
      </c>
      <c r="AG236" s="30" t="n">
        <f aca="false">SUM(AG202:AG235)+Actuals!AH54</f>
        <v>-399327.3629052</v>
      </c>
      <c r="AH236" s="30" t="n">
        <f aca="false">SUM(AH202:AH235)+Actuals!AI54</f>
        <v>-396880.610020585</v>
      </c>
      <c r="AI236" s="30" t="n">
        <f aca="false">SUM(AI202:AI235)+Actuals!AJ54</f>
        <v>-387265.2254052</v>
      </c>
      <c r="AJ236" s="30" t="n">
        <f aca="false">SUM(AJ202:AJ235)+Actuals!AK54</f>
        <v>-387265.2254052</v>
      </c>
      <c r="AK236" s="30" t="n">
        <f aca="false">SUM(AK202:AK235)+Actuals!AL54</f>
        <v>-387265.2254052</v>
      </c>
      <c r="AL236" s="30" t="n">
        <f aca="false">SUM(AL202:AL235)+Actuals!AM54</f>
        <v>-387265.2254052</v>
      </c>
      <c r="AM236" s="30" t="n">
        <f aca="false">SUM(AM202:AM235)+Actuals!AN54</f>
        <v>-387265.2254052</v>
      </c>
      <c r="AN236" s="30" t="n">
        <f aca="false">SUM(AN202:AN235)+Actuals!AO54</f>
        <v>-387265.2254052</v>
      </c>
      <c r="AO236" s="30" t="n">
        <f aca="false">SUM(AO202:AO235)+Actuals!AP54</f>
        <v>-394710.529913304</v>
      </c>
      <c r="AP236" s="30" t="n">
        <f aca="false">SUM(AP202:AP235)+Actuals!AQ54</f>
        <v>-394710.529913304</v>
      </c>
      <c r="AQ236" s="30" t="n">
        <f aca="false">SUM(AQ202:AQ235)+Actuals!AR54</f>
        <v>-394710.529913304</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298408.023163652</v>
      </c>
      <c r="R237" s="37" t="n">
        <f aca="false">R199+R236</f>
        <v>242489.983163653</v>
      </c>
      <c r="S237" s="37" t="n">
        <f aca="false">S199+S236</f>
        <v>-449695.278444154</v>
      </c>
      <c r="T237" s="37" t="n">
        <f aca="false">T199+T236</f>
        <v>450860.982220871</v>
      </c>
      <c r="U237" s="37" t="n">
        <f aca="false">U199+U236</f>
        <v>345131.692220871</v>
      </c>
      <c r="V237" s="37" t="n">
        <f aca="false">V199+V236</f>
        <v>423710.782220868</v>
      </c>
      <c r="W237" s="37" t="n">
        <f aca="false">W199+W236</f>
        <v>312024.48222087</v>
      </c>
      <c r="X237" s="37" t="n">
        <f aca="false">X199+X236</f>
        <v>486640.02222087</v>
      </c>
      <c r="Y237" s="37" t="n">
        <f aca="false">Y199+Y236</f>
        <v>324879.202220869</v>
      </c>
      <c r="Z237" s="37" t="n">
        <f aca="false">Z199+Z236</f>
        <v>459447.476451638</v>
      </c>
      <c r="AA237" s="37" t="n">
        <f aca="false">AA199+AA236</f>
        <v>525869.914428163</v>
      </c>
      <c r="AB237" s="37" t="n">
        <f aca="false">AB199+AB236</f>
        <v>348521.146173815</v>
      </c>
      <c r="AC237" s="37" t="n">
        <f aca="false">AC199+AC236</f>
        <v>129058.177669675</v>
      </c>
      <c r="AD237" s="37" t="n">
        <f aca="false">AD199+AD236</f>
        <v>179607.63128506</v>
      </c>
      <c r="AE237" s="37" t="n">
        <f aca="false">AE199+AE236</f>
        <v>192847.333592753</v>
      </c>
      <c r="AF237" s="37" t="n">
        <f aca="false">AF199+AF236</f>
        <v>351779.540311402</v>
      </c>
      <c r="AG237" s="37" t="n">
        <f aca="false">AG199+AG236</f>
        <v>287289.163355052</v>
      </c>
      <c r="AH237" s="37" t="n">
        <f aca="false">AH199+AH236</f>
        <v>153042.593277767</v>
      </c>
      <c r="AI237" s="37" t="n">
        <f aca="false">AI199+AI236</f>
        <v>156491.107893153</v>
      </c>
      <c r="AJ237" s="37" t="n">
        <f aca="false">AJ199+AJ236</f>
        <v>161862.207460902</v>
      </c>
      <c r="AK237" s="37" t="n">
        <f aca="false">AK199+AK236</f>
        <v>-92472.2113479833</v>
      </c>
      <c r="AL237" s="37" t="n">
        <f aca="false">AL199+AL236</f>
        <v>-78162.1413479835</v>
      </c>
      <c r="AM237" s="37" t="n">
        <f aca="false">AM199+AM236</f>
        <v>-66280.3613479832</v>
      </c>
      <c r="AN237" s="37" t="n">
        <f aca="false">AN199+AN236</f>
        <v>-174762.411347983</v>
      </c>
      <c r="AO237" s="37" t="n">
        <f aca="false">AO199+AO236</f>
        <v>-222136.325856087</v>
      </c>
      <c r="AP237" s="37" t="n">
        <f aca="false">AP199+AP236</f>
        <v>-222136.325856087</v>
      </c>
      <c r="AQ237" s="37" t="n">
        <f aca="false">AQ199+AQ236</f>
        <v>-222136.325856087</v>
      </c>
      <c r="AR237" s="37" t="n">
        <f aca="false">AR199+AR236</f>
        <v>-222136.325856087</v>
      </c>
      <c r="AS237" s="37" t="n">
        <f aca="false">AS199+AS236</f>
        <v>-222136.325856087</v>
      </c>
      <c r="AT237" s="37" t="n">
        <f aca="false">AT199+AT236</f>
        <v>-222136.325856087</v>
      </c>
      <c r="AU237" s="37" t="n">
        <f aca="false">AU199+AU236</f>
        <v>-222136.325856087</v>
      </c>
      <c r="AV237" s="37" t="n">
        <f aca="false">AV199+AV236</f>
        <v>50349.2594974125</v>
      </c>
      <c r="AW237" s="37" t="n">
        <f aca="false">AW199+AW236</f>
        <v>-394710.529913304</v>
      </c>
      <c r="AX237" s="37" t="n">
        <f aca="false">AX199+AX236</f>
        <v>-394710.529913304</v>
      </c>
      <c r="AY237" s="37" t="n">
        <f aca="false">AY199+AY236</f>
        <v>-394710.529913304</v>
      </c>
      <c r="AZ237" s="37" t="n">
        <f aca="false">AZ199+AZ236</f>
        <v>-394710.529913304</v>
      </c>
      <c r="BA237" s="37" t="n">
        <f aca="false">BA199+BA236</f>
        <v>-402304.74051157</v>
      </c>
      <c r="BB237" s="37" t="n">
        <f aca="false">BB199+BB236</f>
        <v>-402304.74051157</v>
      </c>
      <c r="BC237" s="37" t="n">
        <f aca="false">BC199+BC236</f>
        <v>-402304.74051157</v>
      </c>
      <c r="BD237" s="37" t="n">
        <f aca="false">BD199+BD236</f>
        <v>-402304.74051157</v>
      </c>
      <c r="BE237" s="37" t="n">
        <f aca="false">BE199+BE236</f>
        <v>-402304.74051157</v>
      </c>
      <c r="BF237" s="37" t="n">
        <f aca="false">BF199+BF236</f>
        <v>-402304.74051157</v>
      </c>
      <c r="BG237" s="37" t="n">
        <f aca="false">BG199+BG236</f>
        <v>-402304.74051157</v>
      </c>
      <c r="BH237" s="37" t="n">
        <f aca="false">BH199+BH236</f>
        <v>-402304.74051157</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0.0413489876469667</v>
      </c>
      <c r="R238" s="33" t="n">
        <f aca="false">IFERROR(R237/R58,0)</f>
        <v>0.0339837766381996</v>
      </c>
      <c r="S238" s="33" t="n">
        <f aca="false">IFERROR(S237/S58,0)</f>
        <v>-0.055031389585046</v>
      </c>
      <c r="T238" s="33" t="n">
        <f aca="false">IFERROR(T237/T58,0)</f>
        <v>0.0484926528815958</v>
      </c>
      <c r="U238" s="33" t="n">
        <f aca="false">IFERROR(U237/U58,0)</f>
        <v>0.039901161628633</v>
      </c>
      <c r="V238" s="33" t="n">
        <f aca="false">IFERROR(V237/V58,0)</f>
        <v>0.0456509199736247</v>
      </c>
      <c r="W238" s="33" t="n">
        <f aca="false">IFERROR(W237/W58,0)</f>
        <v>0.0395855548697171</v>
      </c>
      <c r="X238" s="33" t="n">
        <f aca="false">IFERROR(X237/X58,0)</f>
        <v>0.0527171871039033</v>
      </c>
      <c r="Y238" s="33" t="n">
        <f aca="false">IFERROR(Y237/Y58,0)</f>
        <v>0.0417208449761576</v>
      </c>
      <c r="Z238" s="33" t="n">
        <f aca="false">IFERROR(Z237/Z58,0)</f>
        <v>0.0533839426066598</v>
      </c>
      <c r="AA238" s="33" t="n">
        <f aca="false">IFERROR(AA237/AA58,0)</f>
        <v>0.0666715366614859</v>
      </c>
      <c r="AB238" s="33" t="n">
        <f aca="false">IFERROR(AB237/AB58,0)</f>
        <v>0.0532344040424206</v>
      </c>
      <c r="AC238" s="33" t="n">
        <f aca="false">IFERROR(AC237/AC58,0)</f>
        <v>0.0237332255843666</v>
      </c>
      <c r="AD238" s="33" t="n">
        <f aca="false">IFERROR(AD237/AD58,0)</f>
        <v>0.033190736315053</v>
      </c>
      <c r="AE238" s="33" t="n">
        <f aca="false">IFERROR(AE237/AE58,0)</f>
        <v>0.0377832605951878</v>
      </c>
      <c r="AF238" s="33" t="n">
        <f aca="false">IFERROR(AF237/AF58,0)</f>
        <v>0.0686343608831995</v>
      </c>
      <c r="AG238" s="33" t="n">
        <f aca="false">IFERROR(AG237/AG58,0)</f>
        <v>0.0528302641681413</v>
      </c>
      <c r="AH238" s="33" t="n">
        <f aca="false">IFERROR(AH237/AH58,0)</f>
        <v>0.031108458763454</v>
      </c>
      <c r="AI238" s="33" t="n">
        <f aca="false">IFERROR(AI237/AI58,0)</f>
        <v>0.0328647028709871</v>
      </c>
      <c r="AJ238" s="33" t="n">
        <f aca="false">IFERROR(AJ237/AJ58,0)</f>
        <v>0.0443838810261025</v>
      </c>
      <c r="AK238" s="33" t="n">
        <f aca="false">IFERROR(AK237/AK58,0)</f>
        <v>-0.0313574085727904</v>
      </c>
      <c r="AL238" s="33" t="n">
        <f aca="false">IFERROR(AL237/AL58,0)</f>
        <v>-0.0261585264047292</v>
      </c>
      <c r="AM238" s="33" t="n">
        <f aca="false">IFERROR(AM237/AM58,0)</f>
        <v>-0.0221493846524578</v>
      </c>
      <c r="AN238" s="33" t="n">
        <f aca="false">IFERROR(AN237/AN58,0)</f>
        <v>-0.0869378084570027</v>
      </c>
      <c r="AO238" s="33" t="n">
        <f aca="false">IFERROR(AO237/AO58,0)</f>
        <v>-0.141208316109275</v>
      </c>
      <c r="AP238" s="33" t="n">
        <f aca="false">IFERROR(AP237/AP58,0)</f>
        <v>-0.152960270601257</v>
      </c>
      <c r="AQ238" s="33" t="n">
        <f aca="false">IFERROR(AQ237/AQ58,0)</f>
        <v>-0.167352296880589</v>
      </c>
      <c r="AR238" s="33" t="n">
        <f aca="false">IFERROR(AR237/AR58,0)</f>
        <v>-0.184935798056511</v>
      </c>
      <c r="AS238" s="33" t="n">
        <f aca="false">IFERROR(AS237/AS58,0)</f>
        <v>-0.206422050285177</v>
      </c>
      <c r="AT238" s="33" t="n">
        <f aca="false">IFERROR(AT237/AT58,0)</f>
        <v>-0.232715483541021</v>
      </c>
      <c r="AU238" s="33" t="n">
        <f aca="false">IFERROR(AU237/AU58,0)</f>
        <v>-0.265000075679313</v>
      </c>
      <c r="AV238" s="33" t="n">
        <f aca="false">IFERROR(AV237/AV58,0)</f>
        <v>0.0690813364741622</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-0</v>
      </c>
      <c r="CB291" s="13" t="n">
        <f aca="false">IF(ISBLANK(Actuals!CC111),-Helpers!BZ26+CB342,Actuals!CC111)</f>
        <v>-0</v>
      </c>
      <c r="CC291" s="13" t="n">
        <f aca="false">IF(ISBLANK(Actuals!CD111),-Helpers!CA26+CC342,Actuals!CD111)</f>
        <v>-0</v>
      </c>
      <c r="CD291" s="13" t="n">
        <f aca="false">IF(ISBLANK(Actuals!CE111),-Helpers!CB26+CD342,Actuals!CE111)</f>
        <v>-0</v>
      </c>
      <c r="CE291" s="13" t="n">
        <f aca="false">IF(ISBLANK(Actuals!CF111),-Helpers!CC26+CE342,Actuals!CF111)</f>
        <v>-0</v>
      </c>
      <c r="CF291" s="13" t="n">
        <f aca="false">IF(ISBLANK(Actuals!CG111),-Helpers!CD26+CF342,Actuals!CG111)</f>
        <v>-0</v>
      </c>
      <c r="CG291" s="13" t="n">
        <f aca="false">IF(ISBLANK(Actuals!CH111),-Helpers!CE26+CG342,Actuals!CH111)</f>
        <v>-0</v>
      </c>
      <c r="CH291" s="13" t="n">
        <f aca="false">IF(ISBLANK(Actuals!CI111),-Helpers!CF26+CH342,Actuals!CI111)</f>
        <v>-0</v>
      </c>
      <c r="CI291" s="13" t="n">
        <f aca="false">IF(ISBLANK(Actuals!CJ111),-Helpers!CG26+CI342,Actuals!CJ111)</f>
        <v>-0</v>
      </c>
      <c r="CJ291" s="13" t="n">
        <f aca="false">IF(ISBLANK(Actuals!CK111),-Helpers!CH26+CJ342,Actuals!CK111)</f>
        <v>-0</v>
      </c>
      <c r="CK291" s="13" t="n">
        <f aca="false">IF(ISBLANK(Actuals!CL111),-Helpers!CI26+CK342,Actuals!CL111)</f>
        <v>-0</v>
      </c>
      <c r="CL291" s="13" t="n">
        <f aca="false">IF(ISBLANK(Actuals!CM111),-Helpers!CJ26+CL342,Actuals!CM111)</f>
        <v>-0</v>
      </c>
      <c r="CM291" s="13" t="n">
        <f aca="false">IF(ISBLANK(Actuals!CN111),-Helpers!CK26+CM342,Actuals!CN111)</f>
        <v>-0</v>
      </c>
      <c r="CN291" s="13" t="n">
        <f aca="false">IF(ISBLANK(Actuals!CO111),-Helpers!CL26+CN342,Actuals!CO111)</f>
        <v>-0</v>
      </c>
      <c r="CO291" s="13" t="n">
        <f aca="false">IF(ISBLANK(Actuals!CP111),-Helpers!CM26+CO342,Actuals!CP111)</f>
        <v>-0</v>
      </c>
      <c r="CP291" s="13" t="n">
        <f aca="false">IF(ISBLANK(Actuals!CQ111),-Helpers!CN26+CP342,Actuals!CQ111)</f>
        <v>-0</v>
      </c>
      <c r="CQ291" s="13" t="n">
        <f aca="false">IF(ISBLANK(Actuals!CR111),-Helpers!CO26+CQ342,Actuals!CR111)</f>
        <v>-0</v>
      </c>
      <c r="CR291" s="13" t="n">
        <f aca="false">IF(ISBLANK(Actuals!CS111),-Helpers!CP26+CR342,Actuals!CS111)</f>
        <v>-0</v>
      </c>
      <c r="CS291" s="13" t="n">
        <f aca="false">IF(ISBLANK(Actuals!CT111),-Helpers!CQ26+CS342,Actuals!CT111)</f>
        <v>-0</v>
      </c>
      <c r="CT291" s="13" t="n">
        <f aca="false">IF(ISBLANK(Actuals!CU111),-Helpers!CR26+CT342,Actuals!CU111)</f>
        <v>-0</v>
      </c>
      <c r="CU291" s="13" t="n">
        <f aca="false">IF(ISBLANK(Actuals!CV111),-Helpers!CS26+CU342,Actuals!CV111)</f>
        <v>-0</v>
      </c>
      <c r="CV291" s="13" t="n">
        <f aca="false">IF(ISBLANK(Actuals!CW111),-Helpers!CT26+CV342,Actuals!CW111)</f>
        <v>-0</v>
      </c>
      <c r="CW291" s="13" t="n">
        <f aca="false">IF(ISBLANK(Actuals!CX111),-Helpers!CU26+CW342,Actuals!CX111)</f>
        <v>-0</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-292574.58373789</v>
      </c>
      <c r="CB292" s="30" t="n">
        <f aca="false">SUM(CB263:CB291)+Actuals!CC113</f>
        <v>-217934.58373789</v>
      </c>
      <c r="CC292" s="30" t="n">
        <f aca="false">SUM(CC263:CC291)+Actuals!CD113</f>
        <v>-217934.58373789</v>
      </c>
      <c r="CD292" s="30" t="n">
        <f aca="false">SUM(CD263:CD291)+Actuals!CE113</f>
        <v>-299297.58373789</v>
      </c>
      <c r="CE292" s="30" t="n">
        <f aca="false">SUM(CE263:CE291)+Actuals!CF113</f>
        <v>-217934.58373789</v>
      </c>
      <c r="CF292" s="30" t="n">
        <f aca="false">SUM(CF263:CF291)+Actuals!CG113</f>
        <v>-217934.58373789</v>
      </c>
      <c r="CG292" s="30" t="n">
        <f aca="false">SUM(CG263:CG291)+Actuals!CH113</f>
        <v>-299296.58373789</v>
      </c>
      <c r="CH292" s="30" t="n">
        <f aca="false">SUM(CH263:CH291)+Actuals!CI113</f>
        <v>-217934.58373789</v>
      </c>
      <c r="CI292" s="30" t="n">
        <f aca="false">SUM(CI263:CI291)+Actuals!CJ113</f>
        <v>-217934.58373789</v>
      </c>
      <c r="CJ292" s="30" t="n">
        <f aca="false">SUM(CJ263:CJ291)+Actuals!CK113</f>
        <v>-292688.557131411</v>
      </c>
      <c r="CK292" s="30" t="n">
        <f aca="false">SUM(CK263:CK291)+Actuals!CL113</f>
        <v>-221950.515412648</v>
      </c>
      <c r="CL292" s="30" t="n">
        <f aca="false">SUM(CL263:CL291)+Actuals!CM113</f>
        <v>-221950.515412648</v>
      </c>
      <c r="CM292" s="30" t="n">
        <f aca="false">SUM(CM263:CM291)+Actuals!CN113</f>
        <v>-221950.515412648</v>
      </c>
      <c r="CN292" s="30" t="n">
        <f aca="false">SUM(CN263:CN291)+Actuals!CO113</f>
        <v>-221950.515412648</v>
      </c>
      <c r="CO292" s="30" t="n">
        <f aca="false">SUM(CO263:CO291)+Actuals!CP113</f>
        <v>-221950.515412648</v>
      </c>
      <c r="CP292" s="30" t="n">
        <f aca="false">SUM(CP263:CP291)+Actuals!CQ113</f>
        <v>-221950.515412648</v>
      </c>
      <c r="CQ292" s="30" t="n">
        <f aca="false">SUM(CQ263:CQ291)+Actuals!CR113</f>
        <v>-221950.515412648</v>
      </c>
      <c r="CR292" s="30" t="n">
        <f aca="false">SUM(CR263:CR291)+Actuals!CS113</f>
        <v>-221950.515412648</v>
      </c>
      <c r="CS292" s="30" t="n">
        <f aca="false">SUM(CS263:CS291)+Actuals!CT113</f>
        <v>-221950.515412648</v>
      </c>
      <c r="CT292" s="30" t="n">
        <f aca="false">SUM(CT263:CT291)+Actuals!CU113</f>
        <v>-216039.570414536</v>
      </c>
      <c r="CU292" s="30" t="n">
        <f aca="false">SUM(CU263:CU291)+Actuals!CV113</f>
        <v>-216039.570414536</v>
      </c>
      <c r="CV292" s="30" t="n">
        <f aca="false">SUM(CV263:CV291)+Actuals!CW113</f>
        <v>-216039.570414536</v>
      </c>
      <c r="CW292" s="30" t="n">
        <f aca="false">SUM(CW263:CW291)+Actuals!CX113</f>
        <v>-220017.601822827</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-62156.601822827</v>
      </c>
      <c r="CX293" s="37" t="n">
        <f aca="false">CX261+CX292</f>
        <v>-62156.601822827</v>
      </c>
      <c r="CY293" s="37" t="n">
        <f aca="false">CY261+CY292</f>
        <v>-62156.601822827</v>
      </c>
      <c r="CZ293" s="37" t="n">
        <f aca="false">CZ261+CZ292</f>
        <v>-62156.601822827</v>
      </c>
      <c r="DA293" s="37" t="n">
        <f aca="false">DA261+DA292</f>
        <v>-62156.601822827</v>
      </c>
      <c r="DB293" s="37" t="n">
        <f aca="false">DB261+DB292</f>
        <v>-62156.601822827</v>
      </c>
      <c r="DC293" s="37" t="n">
        <f aca="false">DC261+DC292</f>
        <v>-62156.601822827</v>
      </c>
      <c r="DD293" s="37" t="n">
        <f aca="false">DD261+DD292</f>
        <v>-62156.601822827</v>
      </c>
      <c r="DE293" s="37" t="n">
        <f aca="false">DE261+DE292</f>
        <v>-62156.601822827</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0</v>
      </c>
      <c r="R295" s="21" t="n">
        <f aca="false">IF(AND('Uplifters Inputs'!$B$3="Yes",R$4&lt;&gt;"Actuals"),'Uplifters Schedule'!R20,0)</f>
        <v>0</v>
      </c>
      <c r="S295" s="21" t="n">
        <f aca="false">IF(AND('Uplifters Inputs'!$B$3="Yes",S$4&lt;&gt;"Actuals"),'Uplifters Schedule'!S20,0)</f>
        <v>0</v>
      </c>
      <c r="T295" s="21" t="n">
        <f aca="false">IF(AND('Uplifters Inputs'!$B$3="Yes",T$4&lt;&gt;"Actuals"),'Uplifters Schedule'!T20,0)</f>
        <v>0</v>
      </c>
      <c r="U295" s="21" t="n">
        <f aca="false">IF(AND('Uplifters Inputs'!$B$3="Yes",U$4&lt;&gt;"Actuals"),'Uplifters Schedule'!U20,0)</f>
        <v>0</v>
      </c>
      <c r="V295" s="21" t="n">
        <f aca="false">IF(AND('Uplifters Inputs'!$B$3="Yes",V$4&lt;&gt;"Actuals"),'Uplifters Schedule'!V20,0)</f>
        <v>0</v>
      </c>
      <c r="W295" s="21" t="n">
        <f aca="false">IF(AND('Uplifters Inputs'!$B$3="Yes",W$4&lt;&gt;"Actuals"),'Uplifters Schedule'!W20,0)</f>
        <v>0</v>
      </c>
      <c r="X295" s="21" t="n">
        <f aca="false">IF(AND('Uplifters Inputs'!$B$3="Yes",X$4&lt;&gt;"Actuals"),'Uplifters Schedule'!X20,0)</f>
        <v>0</v>
      </c>
      <c r="Y295" s="21" t="n">
        <f aca="false">IF(AND('Uplifters Inputs'!$B$3="Yes",Y$4&lt;&gt;"Actuals"),'Uplifters Schedule'!Y20,0)</f>
        <v>0</v>
      </c>
      <c r="Z295" s="21" t="n">
        <f aca="false">IF(AND('Uplifters Inputs'!$B$3="Yes",Z$4&lt;&gt;"Actuals"),'Uplifters Schedule'!Z20,0)</f>
        <v>0</v>
      </c>
      <c r="AA295" s="21" t="n">
        <f aca="false">IF(AND('Uplifters Inputs'!$B$3="Yes",AA$4&lt;&gt;"Actuals"),'Uplifters Schedule'!AA20,0)</f>
        <v>0</v>
      </c>
      <c r="AB295" s="21" t="n">
        <f aca="false">IF(AND('Uplifters Inputs'!$B$3="Yes",AB$4&lt;&gt;"Actuals"),'Uplifters Schedule'!AB20,0)</f>
        <v>0</v>
      </c>
      <c r="AC295" s="21" t="n">
        <f aca="false">IF(AND('Uplifters Inputs'!$B$3="Yes",AC$4&lt;&gt;"Actuals"),'Uplifters Schedule'!AC20,0)</f>
        <v>0</v>
      </c>
      <c r="AD295" s="21" t="n">
        <f aca="false">IF(AND('Uplifters Inputs'!$B$3="Yes",AD$4&lt;&gt;"Actuals"),'Uplifters Schedule'!AD20,0)</f>
        <v>0</v>
      </c>
      <c r="AE295" s="21" t="n">
        <f aca="false">IF(AND('Uplifters Inputs'!$B$3="Yes",AE$4&lt;&gt;"Actuals"),'Uplifters Schedule'!AE20,0)</f>
        <v>0</v>
      </c>
      <c r="AF295" s="21" t="n">
        <f aca="false">IF(AND('Uplifters Inputs'!$B$3="Yes",AF$4&lt;&gt;"Actuals"),'Uplifters Schedule'!AF20,0)</f>
        <v>0</v>
      </c>
      <c r="AG295" s="21" t="n">
        <f aca="false">IF(AND('Uplifters Inputs'!$B$3="Yes",AG$4&lt;&gt;"Actuals"),'Uplifters Schedule'!AG20,0)</f>
        <v>0</v>
      </c>
      <c r="AH295" s="21" t="n">
        <f aca="false">IF(AND('Uplifters Inputs'!$B$3="Yes",AH$4&lt;&gt;"Actuals"),'Uplifters Schedule'!AH20,0)</f>
        <v>0</v>
      </c>
      <c r="AI295" s="21" t="n">
        <f aca="false">IF(AND('Uplifters Inputs'!$B$3="Yes",AI$4&lt;&gt;"Actuals"),'Uplifters Schedule'!AI20,0)</f>
        <v>0</v>
      </c>
      <c r="AJ295" s="21" t="n">
        <f aca="false">IF(AND('Uplifters Inputs'!$B$3="Yes",AJ$4&lt;&gt;"Actuals"),'Uplifters Schedule'!AJ20,0)</f>
        <v>0</v>
      </c>
      <c r="AK295" s="21" t="n">
        <f aca="false">IF(AND('Uplifters Inputs'!$B$3="Yes",AK$4&lt;&gt;"Actuals"),'Uplifters Schedule'!AK20,0)</f>
        <v>0</v>
      </c>
      <c r="AL295" s="21" t="n">
        <f aca="false">IF(AND('Uplifters Inputs'!$B$3="Yes",AL$4&lt;&gt;"Actuals"),'Uplifters Schedule'!AL20,0)</f>
        <v>0</v>
      </c>
      <c r="AM295" s="21" t="n">
        <f aca="false">IF(AND('Uplifters Inputs'!$B$3="Yes",AM$4&lt;&gt;"Actuals"),'Uplifters Schedule'!AM20,0)</f>
        <v>0</v>
      </c>
      <c r="AN295" s="21" t="n">
        <f aca="false">IF(AND('Uplifters Inputs'!$B$3="Yes",AN$4&lt;&gt;"Actuals"),'Uplifters Schedule'!AN20,0)</f>
        <v>0</v>
      </c>
      <c r="AO295" s="21" t="n">
        <f aca="false">IF(AND('Uplifters Inputs'!$B$3="Yes",AO$4&lt;&gt;"Actuals"),'Uplifters Schedule'!AO20,0)</f>
        <v>0</v>
      </c>
      <c r="AP295" s="21" t="n">
        <f aca="false">IF(AND('Uplifters Inputs'!$B$3="Yes",AP$4&lt;&gt;"Actuals"),'Uplifters Schedule'!AP20,0)</f>
        <v>0</v>
      </c>
      <c r="AQ295" s="21" t="n">
        <f aca="false">IF(AND('Uplifters Inputs'!$B$3="Yes",AQ$4&lt;&gt;"Actuals"),'Uplifters Schedule'!AQ20,0)</f>
        <v>0</v>
      </c>
      <c r="AR295" s="21" t="n">
        <f aca="false">IF(AND('Uplifters Inputs'!$B$3="Yes",AR$4&lt;&gt;"Actuals"),'Uplifters Schedule'!AR20,0)</f>
        <v>0</v>
      </c>
      <c r="AS295" s="21" t="n">
        <f aca="false">IF(AND('Uplifters Inputs'!$B$3="Yes",AS$4&lt;&gt;"Actuals"),'Uplifters Schedule'!AS20,0)</f>
        <v>0</v>
      </c>
      <c r="AT295" s="21" t="n">
        <f aca="false">IF(AND('Uplifters Inputs'!$B$3="Yes",AT$4&lt;&gt;"Actuals"),'Uplifters Schedule'!AT20,0)</f>
        <v>0</v>
      </c>
      <c r="AU295" s="21" t="n">
        <f aca="false">IF(AND('Uplifters Inputs'!$B$3="Yes",AU$4&lt;&gt;"Actuals"),'Uplifters Schedule'!AU20,0)</f>
        <v>0</v>
      </c>
      <c r="AV295" s="21" t="n">
        <f aca="false">IF(AND('Uplifters Inputs'!$B$3="Yes",AV$4&lt;&gt;"Actuals"),'Uplifters Schedule'!AV20,0)</f>
        <v>0</v>
      </c>
      <c r="AW295" s="21" t="n">
        <f aca="false">IF(AND('Uplifters Inputs'!$B$3="Yes",AW$4&lt;&gt;"Actuals"),'Uplifters Schedule'!AW20,0)</f>
        <v>0</v>
      </c>
      <c r="AX295" s="21" t="n">
        <f aca="false">IF(AND('Uplifters Inputs'!$B$3="Yes",AX$4&lt;&gt;"Actuals"),'Uplifters Schedule'!AX20,0)</f>
        <v>0</v>
      </c>
      <c r="AY295" s="21" t="n">
        <f aca="false">IF(AND('Uplifters Inputs'!$B$3="Yes",AY$4&lt;&gt;"Actuals"),'Uplifters Schedule'!AY20,0)</f>
        <v>0</v>
      </c>
      <c r="AZ295" s="21" t="n">
        <f aca="false">IF(AND('Uplifters Inputs'!$B$3="Yes",AZ$4&lt;&gt;"Actuals"),'Uplifters Schedule'!AZ20,0)</f>
        <v>0</v>
      </c>
      <c r="BA295" s="21" t="n">
        <f aca="false">IF(AND('Uplifters Inputs'!$B$3="Yes",BA$4&lt;&gt;"Actuals"),'Uplifters Schedule'!BA20,0)</f>
        <v>0</v>
      </c>
      <c r="BB295" s="21" t="n">
        <f aca="false">IF(AND('Uplifters Inputs'!$B$3="Yes",BB$4&lt;&gt;"Actuals"),'Uplifters Schedule'!BB20,0)</f>
        <v>0</v>
      </c>
      <c r="BC295" s="21" t="n">
        <f aca="false">IF(AND('Uplifters Inputs'!$B$3="Yes",BC$4&lt;&gt;"Actuals"),'Uplifters Schedule'!BC20,0)</f>
        <v>0</v>
      </c>
      <c r="BD295" s="21" t="n">
        <f aca="false">IF(AND('Uplifters Inputs'!$B$3="Yes",BD$4&lt;&gt;"Actuals"),'Uplifters Schedule'!BD20,0)</f>
        <v>0</v>
      </c>
      <c r="BE295" s="21" t="n">
        <f aca="false">IF(AND('Uplifters Inputs'!$B$3="Yes",BE$4&lt;&gt;"Actuals"),'Uplifters Schedule'!BE20,0)</f>
        <v>0</v>
      </c>
      <c r="BF295" s="21" t="n">
        <f aca="false">IF(AND('Uplifters Inputs'!$B$3="Yes",BF$4&lt;&gt;"Actuals"),'Uplifters Schedule'!BF20,0)</f>
        <v>0</v>
      </c>
      <c r="BG295" s="21" t="n">
        <f aca="false">IF(AND('Uplifters Inputs'!$B$3="Yes",BG$4&lt;&gt;"Actuals"),'Uplifters Schedule'!BG20,0)</f>
        <v>0</v>
      </c>
      <c r="BH295" s="21" t="n">
        <f aca="false">IF(AND('Uplifters Inputs'!$B$3="Yes",BH$4&lt;&gt;"Actuals"),'Uplifters Schedule'!BH20,0)</f>
        <v>0</v>
      </c>
      <c r="BI295" s="21" t="n">
        <f aca="false">IF(AND('Uplifters Inputs'!$B$3="Yes",BI$4&lt;&gt;"Actuals"),'Uplifters Schedule'!BI20,0)</f>
        <v>0</v>
      </c>
      <c r="BJ295" s="21" t="n">
        <f aca="false">IF(AND('Uplifters Inputs'!$B$3="Yes",BJ$4&lt;&gt;"Actuals"),'Uplifters Schedule'!BJ20,0)</f>
        <v>0</v>
      </c>
      <c r="BK295" s="21" t="n">
        <f aca="false">IF(AND('Uplifters Inputs'!$B$3="Yes",BK$4&lt;&gt;"Actuals"),'Uplifters Schedule'!BK20,0)</f>
        <v>0</v>
      </c>
      <c r="BL295" s="21" t="n">
        <f aca="false">IF(AND('Uplifters Inputs'!$B$3="Yes",BL$4&lt;&gt;"Actuals"),'Uplifters Schedule'!BL20,0)</f>
        <v>0</v>
      </c>
      <c r="BM295" s="21" t="n">
        <f aca="false">IF(AND('Uplifters Inputs'!$B$3="Yes",BM$4&lt;&gt;"Actuals"),'Uplifters Schedule'!BM20,0)</f>
        <v>0</v>
      </c>
      <c r="BN295" s="21" t="n">
        <f aca="false">IF(AND('Uplifters Inputs'!$B$3="Yes",BN$4&lt;&gt;"Actuals"),'Uplifters Schedule'!BN20,0)</f>
        <v>0</v>
      </c>
      <c r="BO295" s="21" t="n">
        <f aca="false">IF(AND('Uplifters Inputs'!$B$3="Yes",BO$4&lt;&gt;"Actuals"),'Uplifters Schedule'!BO20,0)</f>
        <v>0</v>
      </c>
      <c r="BP295" s="21" t="n">
        <f aca="false">IF(AND('Uplifters Inputs'!$B$3="Yes",BP$4&lt;&gt;"Actuals"),'Uplifters Schedule'!BP20,0)</f>
        <v>0</v>
      </c>
      <c r="BQ295" s="21" t="n">
        <f aca="false">IF(AND('Uplifters Inputs'!$B$3="Yes",BQ$4&lt;&gt;"Actuals"),'Uplifters Schedule'!BQ20,0)</f>
        <v>0</v>
      </c>
      <c r="BR295" s="21" t="n">
        <f aca="false">IF(AND('Uplifters Inputs'!$B$3="Yes",BR$4&lt;&gt;"Actuals"),'Uplifters Schedule'!BR20,0)</f>
        <v>0</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0</v>
      </c>
      <c r="L296" s="21" t="n">
        <f aca="false">IF(AND('Uplifters Inputs'!$B$3="Yes",L$4&lt;&gt;"Actuals"),-'Uplifters Schedule'!L34,0)</f>
        <v>0</v>
      </c>
      <c r="M296" s="21" t="n">
        <f aca="false">IF(AND('Uplifters Inputs'!$B$3="Yes",M$4&lt;&gt;"Actuals"),-'Uplifters Schedule'!M34,0)</f>
        <v>0</v>
      </c>
      <c r="N296" s="21" t="n">
        <f aca="false">IF(AND('Uplifters Inputs'!$B$3="Yes",N$4&lt;&gt;"Actuals"),-'Uplifters Schedule'!N34,0)</f>
        <v>0</v>
      </c>
      <c r="O296" s="21" t="n">
        <f aca="false">IF(AND('Uplifters Inputs'!$B$3="Yes",O$4&lt;&gt;"Actuals"),-'Uplifters Schedule'!O34,0)</f>
        <v>0</v>
      </c>
      <c r="P296" s="21" t="n">
        <f aca="false">IF(AND('Uplifters Inputs'!$B$3="Yes",P$4&lt;&gt;"Actuals"),-'Uplifters Schedule'!P34,0)</f>
        <v>0</v>
      </c>
      <c r="Q296" s="21" t="n">
        <f aca="false">IF(AND('Uplifters Inputs'!$B$3="Yes",Q$4&lt;&gt;"Actuals"),-'Uplifters Schedule'!Q34,0)</f>
        <v>0</v>
      </c>
      <c r="R296" s="21" t="n">
        <f aca="false">IF(AND('Uplifters Inputs'!$B$3="Yes",R$4&lt;&gt;"Actuals"),-'Uplifters Schedule'!R34,0)</f>
        <v>0</v>
      </c>
      <c r="S296" s="21" t="n">
        <f aca="false">IF(AND('Uplifters Inputs'!$B$3="Yes",S$4&lt;&gt;"Actuals"),-'Uplifters Schedule'!S34,0)</f>
        <v>0</v>
      </c>
      <c r="T296" s="21" t="n">
        <f aca="false">IF(AND('Uplifters Inputs'!$B$3="Yes",T$4&lt;&gt;"Actuals"),-'Uplifters Schedule'!T34,0)</f>
        <v>0</v>
      </c>
      <c r="U296" s="21" t="n">
        <f aca="false">IF(AND('Uplifters Inputs'!$B$3="Yes",U$4&lt;&gt;"Actuals"),-'Uplifters Schedule'!U34,0)</f>
        <v>0</v>
      </c>
      <c r="V296" s="21" t="n">
        <f aca="false">IF(AND('Uplifters Inputs'!$B$3="Yes",V$4&lt;&gt;"Actuals"),-'Uplifters Schedule'!V34,0)</f>
        <v>0</v>
      </c>
      <c r="W296" s="21" t="n">
        <f aca="false">IF(AND('Uplifters Inputs'!$B$3="Yes",W$4&lt;&gt;"Actuals"),-'Uplifters Schedule'!W34,0)</f>
        <v>0</v>
      </c>
      <c r="X296" s="21" t="n">
        <f aca="false">IF(AND('Uplifters Inputs'!$B$3="Yes",X$4&lt;&gt;"Actuals"),-'Uplifters Schedule'!X34,0)</f>
        <v>0</v>
      </c>
      <c r="Y296" s="21" t="n">
        <f aca="false">IF(AND('Uplifters Inputs'!$B$3="Yes",Y$4&lt;&gt;"Actuals"),-'Uplifters Schedule'!Y34,0)</f>
        <v>0</v>
      </c>
      <c r="Z296" s="21" t="n">
        <f aca="false">IF(AND('Uplifters Inputs'!$B$3="Yes",Z$4&lt;&gt;"Actuals"),-'Uplifters Schedule'!Z34,0)</f>
        <v>0</v>
      </c>
      <c r="AA296" s="21" t="n">
        <f aca="false">IF(AND('Uplifters Inputs'!$B$3="Yes",AA$4&lt;&gt;"Actuals"),-'Uplifters Schedule'!AA34,0)</f>
        <v>0</v>
      </c>
      <c r="AB296" s="21" t="n">
        <f aca="false">IF(AND('Uplifters Inputs'!$B$3="Yes",AB$4&lt;&gt;"Actuals"),-'Uplifters Schedule'!AB34,0)</f>
        <v>0</v>
      </c>
      <c r="AC296" s="21" t="n">
        <f aca="false">IF(AND('Uplifters Inputs'!$B$3="Yes",AC$4&lt;&gt;"Actuals"),-'Uplifters Schedule'!AC34,0)</f>
        <v>0</v>
      </c>
      <c r="AD296" s="21" t="n">
        <f aca="false">IF(AND('Uplifters Inputs'!$B$3="Yes",AD$4&lt;&gt;"Actuals"),-'Uplifters Schedule'!AD34,0)</f>
        <v>0</v>
      </c>
      <c r="AE296" s="21" t="n">
        <f aca="false">IF(AND('Uplifters Inputs'!$B$3="Yes",AE$4&lt;&gt;"Actuals"),-'Uplifters Schedule'!AE34,0)</f>
        <v>0</v>
      </c>
      <c r="AF296" s="21" t="n">
        <f aca="false">IF(AND('Uplifters Inputs'!$B$3="Yes",AF$4&lt;&gt;"Actuals"),-'Uplifters Schedule'!AF34,0)</f>
        <v>0</v>
      </c>
      <c r="AG296" s="21" t="n">
        <f aca="false">IF(AND('Uplifters Inputs'!$B$3="Yes",AG$4&lt;&gt;"Actuals"),-'Uplifters Schedule'!AG34,0)</f>
        <v>0</v>
      </c>
      <c r="AH296" s="21" t="n">
        <f aca="false">IF(AND('Uplifters Inputs'!$B$3="Yes",AH$4&lt;&gt;"Actuals"),-'Uplifters Schedule'!AH34,0)</f>
        <v>0</v>
      </c>
      <c r="AI296" s="21" t="n">
        <f aca="false">IF(AND('Uplifters Inputs'!$B$3="Yes",AI$4&lt;&gt;"Actuals"),-'Uplifters Schedule'!AI34,0)</f>
        <v>0</v>
      </c>
      <c r="AJ296" s="21" t="n">
        <f aca="false">IF(AND('Uplifters Inputs'!$B$3="Yes",AJ$4&lt;&gt;"Actuals"),-'Uplifters Schedule'!AJ34,0)</f>
        <v>0</v>
      </c>
      <c r="AK296" s="21" t="n">
        <f aca="false">IF(AND('Uplifters Inputs'!$B$3="Yes",AK$4&lt;&gt;"Actuals"),-'Uplifters Schedule'!AK34,0)</f>
        <v>0</v>
      </c>
      <c r="AL296" s="21" t="n">
        <f aca="false">IF(AND('Uplifters Inputs'!$B$3="Yes",AL$4&lt;&gt;"Actuals"),-'Uplifters Schedule'!AL34,0)</f>
        <v>0</v>
      </c>
      <c r="AM296" s="21" t="n">
        <f aca="false">IF(AND('Uplifters Inputs'!$B$3="Yes",AM$4&lt;&gt;"Actuals"),-'Uplifters Schedule'!AM34,0)</f>
        <v>0</v>
      </c>
      <c r="AN296" s="21" t="n">
        <f aca="false">IF(AND('Uplifters Inputs'!$B$3="Yes",AN$4&lt;&gt;"Actuals"),-'Uplifters Schedule'!AN34,0)</f>
        <v>0</v>
      </c>
      <c r="AO296" s="21" t="n">
        <f aca="false">IF(AND('Uplifters Inputs'!$B$3="Yes",AO$4&lt;&gt;"Actuals"),-'Uplifters Schedule'!AO34,0)</f>
        <v>0</v>
      </c>
      <c r="AP296" s="21" t="n">
        <f aca="false">IF(AND('Uplifters Inputs'!$B$3="Yes",AP$4&lt;&gt;"Actuals"),-'Uplifters Schedule'!AP34,0)</f>
        <v>0</v>
      </c>
      <c r="AQ296" s="21" t="n">
        <f aca="false">IF(AND('Uplifters Inputs'!$B$3="Yes",AQ$4&lt;&gt;"Actuals"),-'Uplifters Schedule'!AQ34,0)</f>
        <v>0</v>
      </c>
      <c r="AR296" s="21" t="n">
        <f aca="false">IF(AND('Uplifters Inputs'!$B$3="Yes",AR$4&lt;&gt;"Actuals"),-'Uplifters Schedule'!AR34,0)</f>
        <v>0</v>
      </c>
      <c r="AS296" s="21" t="n">
        <f aca="false">IF(AND('Uplifters Inputs'!$B$3="Yes",AS$4&lt;&gt;"Actuals"),-'Uplifters Schedule'!AS34,0)</f>
        <v>0</v>
      </c>
      <c r="AT296" s="21" t="n">
        <f aca="false">IF(AND('Uplifters Inputs'!$B$3="Yes",AT$4&lt;&gt;"Actuals"),-'Uplifters Schedule'!AT34,0)</f>
        <v>0</v>
      </c>
      <c r="AU296" s="21" t="n">
        <f aca="false">IF(AND('Uplifters Inputs'!$B$3="Yes",AU$4&lt;&gt;"Actuals"),-'Uplifters Schedule'!AU34,0)</f>
        <v>0</v>
      </c>
      <c r="AV296" s="21" t="n">
        <f aca="false">IF(AND('Uplifters Inputs'!$B$3="Yes",AV$4&lt;&gt;"Actuals"),-'Uplifters Schedule'!AV34,0)</f>
        <v>0</v>
      </c>
      <c r="AW296" s="21" t="n">
        <f aca="false">IF(AND('Uplifters Inputs'!$B$3="Yes",AW$4&lt;&gt;"Actuals"),-'Uplifters Schedule'!AW34,0)</f>
        <v>0</v>
      </c>
      <c r="AX296" s="21" t="n">
        <f aca="false">IF(AND('Uplifters Inputs'!$B$3="Yes",AX$4&lt;&gt;"Actuals"),-'Uplifters Schedule'!AX34,0)</f>
        <v>0</v>
      </c>
      <c r="AY296" s="21" t="n">
        <f aca="false">IF(AND('Uplifters Inputs'!$B$3="Yes",AY$4&lt;&gt;"Actuals"),-'Uplifters Schedule'!AY34,0)</f>
        <v>0</v>
      </c>
      <c r="AZ296" s="21" t="n">
        <f aca="false">IF(AND('Uplifters Inputs'!$B$3="Yes",AZ$4&lt;&gt;"Actuals"),-'Uplifters Schedule'!AZ34,0)</f>
        <v>0</v>
      </c>
      <c r="BA296" s="21" t="n">
        <f aca="false">IF(AND('Uplifters Inputs'!$B$3="Yes",BA$4&lt;&gt;"Actuals"),-'Uplifters Schedule'!BA34,0)</f>
        <v>0</v>
      </c>
      <c r="BB296" s="21" t="n">
        <f aca="false">IF(AND('Uplifters Inputs'!$B$3="Yes",BB$4&lt;&gt;"Actuals"),-'Uplifters Schedule'!BB34,0)</f>
        <v>0</v>
      </c>
      <c r="BC296" s="21" t="n">
        <f aca="false">IF(AND('Uplifters Inputs'!$B$3="Yes",BC$4&lt;&gt;"Actuals"),-'Uplifters Schedule'!BC34,0)</f>
        <v>0</v>
      </c>
      <c r="BD296" s="21" t="n">
        <f aca="false">IF(AND('Uplifters Inputs'!$B$3="Yes",BD$4&lt;&gt;"Actuals"),-'Uplifters Schedule'!BD34,0)</f>
        <v>0</v>
      </c>
      <c r="BE296" s="21" t="n">
        <f aca="false">IF(AND('Uplifters Inputs'!$B$3="Yes",BE$4&lt;&gt;"Actuals"),-'Uplifters Schedule'!BE34,0)</f>
        <v>0</v>
      </c>
      <c r="BF296" s="21" t="n">
        <f aca="false">IF(AND('Uplifters Inputs'!$B$3="Yes",BF$4&lt;&gt;"Actuals"),-'Uplifters Schedule'!BF34,0)</f>
        <v>0</v>
      </c>
      <c r="BG296" s="21" t="n">
        <f aca="false">IF(AND('Uplifters Inputs'!$B$3="Yes",BG$4&lt;&gt;"Actuals"),-'Uplifters Schedule'!BG34,0)</f>
        <v>0</v>
      </c>
      <c r="BH296" s="21" t="n">
        <f aca="false">IF(AND('Uplifters Inputs'!$B$3="Yes",BH$4&lt;&gt;"Actuals"),-'Uplifters Schedule'!BH34,0)</f>
        <v>0</v>
      </c>
      <c r="BI296" s="21" t="n">
        <f aca="false">IF(AND('Uplifters Inputs'!$B$3="Yes",BI$4&lt;&gt;"Actuals"),-'Uplifters Schedule'!BI34,0)</f>
        <v>0</v>
      </c>
      <c r="BJ296" s="21" t="n">
        <f aca="false">IF(AND('Uplifters Inputs'!$B$3="Yes",BJ$4&lt;&gt;"Actuals"),-'Uplifters Schedule'!BJ34,0)</f>
        <v>0</v>
      </c>
      <c r="BK296" s="21" t="n">
        <f aca="false">IF(AND('Uplifters Inputs'!$B$3="Yes",BK$4&lt;&gt;"Actuals"),-'Uplifters Schedule'!BK34,0)</f>
        <v>0</v>
      </c>
      <c r="BL296" s="21" t="n">
        <f aca="false">IF(AND('Uplifters Inputs'!$B$3="Yes",BL$4&lt;&gt;"Actuals"),-'Uplifters Schedule'!BL34,0)</f>
        <v>0</v>
      </c>
      <c r="BM296" s="21" t="n">
        <f aca="false">IF(AND('Uplifters Inputs'!$B$3="Yes",BM$4&lt;&gt;"Actuals"),-'Uplifters Schedule'!BM34,0)</f>
        <v>0</v>
      </c>
      <c r="BN296" s="21" t="n">
        <f aca="false">IF(AND('Uplifters Inputs'!$B$3="Yes",BN$4&lt;&gt;"Actuals"),-'Uplifters Schedule'!BN34,0)</f>
        <v>0</v>
      </c>
      <c r="BO296" s="21" t="n">
        <f aca="false">IF(AND('Uplifters Inputs'!$B$3="Yes",BO$4&lt;&gt;"Actuals"),-'Uplifters Schedule'!BO34,0)</f>
        <v>0</v>
      </c>
      <c r="BP296" s="21" t="n">
        <f aca="false">IF(AND('Uplifters Inputs'!$B$3="Yes",BP$4&lt;&gt;"Actuals"),-'Uplifters Schedule'!BP34,0)</f>
        <v>0</v>
      </c>
      <c r="BQ296" s="21" t="n">
        <f aca="false">IF(AND('Uplifters Inputs'!$B$3="Yes",BQ$4&lt;&gt;"Actuals"),-'Uplifters Schedule'!BQ34,0)</f>
        <v>0</v>
      </c>
      <c r="BR296" s="21" t="n">
        <f aca="false">IF(AND('Uplifters Inputs'!$B$3="Yes",BR$4&lt;&gt;"Actuals"),-'Uplifters Schedule'!BR34,0)</f>
        <v>0</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0</v>
      </c>
      <c r="L297" s="37" t="n">
        <f aca="false">L295+L296</f>
        <v>0</v>
      </c>
      <c r="M297" s="37" t="n">
        <f aca="false">M295+M296</f>
        <v>0</v>
      </c>
      <c r="N297" s="37" t="n">
        <f aca="false">N295+N296</f>
        <v>0</v>
      </c>
      <c r="O297" s="37" t="n">
        <f aca="false">O295+O296</f>
        <v>0</v>
      </c>
      <c r="P297" s="37" t="n">
        <f aca="false">P295+P296</f>
        <v>0</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319.937883333334</v>
      </c>
      <c r="L301" s="37" t="n">
        <f aca="false">L297+L300</f>
        <v>319.937883333334</v>
      </c>
      <c r="M301" s="37" t="n">
        <f aca="false">M297+M300</f>
        <v>319.937883333334</v>
      </c>
      <c r="N301" s="37" t="n">
        <f aca="false">N297+N300</f>
        <v>10875.8597981481</v>
      </c>
      <c r="O301" s="37" t="n">
        <f aca="false">O297+O300</f>
        <v>10875.8597981481</v>
      </c>
      <c r="P301" s="37" t="n">
        <f aca="false">P297+P300</f>
        <v>11675.7053311481</v>
      </c>
      <c r="Q301" s="37" t="n">
        <f aca="false">Q297+Q300</f>
        <v>10875.8597981481</v>
      </c>
      <c r="R301" s="37" t="n">
        <f aca="false">R297+R300</f>
        <v>10875.8597981481</v>
      </c>
      <c r="S301" s="37" t="n">
        <f aca="false">S297+S300</f>
        <v>10875.8597981481</v>
      </c>
      <c r="T301" s="37" t="n">
        <f aca="false">T297+T300</f>
        <v>10875.8597981481</v>
      </c>
      <c r="U301" s="37" t="n">
        <f aca="false">U297+U300</f>
        <v>10875.8597981481</v>
      </c>
      <c r="V301" s="37" t="n">
        <f aca="false">V297+V300</f>
        <v>10875.8597981481</v>
      </c>
      <c r="W301" s="37" t="n">
        <f aca="false">W297+W300</f>
        <v>10875.8597981481</v>
      </c>
      <c r="X301" s="37" t="n">
        <f aca="false">X297+X300</f>
        <v>10875.8597981481</v>
      </c>
      <c r="Y301" s="37" t="n">
        <f aca="false">Y297+Y300</f>
        <v>10875.8597981481</v>
      </c>
      <c r="Z301" s="37" t="n">
        <f aca="false">Z297+Z300</f>
        <v>10445.2527435185</v>
      </c>
      <c r="AA301" s="37" t="n">
        <f aca="false">AA297+AA300</f>
        <v>10445.2527435185</v>
      </c>
      <c r="AB301" s="37" t="n">
        <f aca="false">AB297+AB300</f>
        <v>15788.245625418</v>
      </c>
      <c r="AC301" s="37" t="n">
        <f aca="false">AC297+AC300</f>
        <v>10445.2527435185</v>
      </c>
      <c r="AD301" s="37" t="n">
        <f aca="false">AD297+AD300</f>
        <v>10445.2527435185</v>
      </c>
      <c r="AE301" s="37" t="n">
        <f aca="false">AE297+AE300</f>
        <v>10445.2527435185</v>
      </c>
      <c r="AF301" s="37" t="n">
        <f aca="false">AF297+AF300</f>
        <v>10445.2527435185</v>
      </c>
      <c r="AG301" s="37" t="n">
        <f aca="false">AG297+AG300</f>
        <v>10445.2527435185</v>
      </c>
      <c r="AH301" s="37" t="n">
        <f aca="false">AH297+AH300</f>
        <v>10445.2527435185</v>
      </c>
      <c r="AI301" s="37" t="n">
        <f aca="false">AI297+AI300</f>
        <v>10445.2527435185</v>
      </c>
      <c r="AJ301" s="37" t="n">
        <f aca="false">AJ297+AJ300</f>
        <v>10445.2527435185</v>
      </c>
      <c r="AK301" s="37" t="n">
        <f aca="false">AK297+AK300</f>
        <v>10445.2527435185</v>
      </c>
      <c r="AL301" s="37" t="n">
        <f aca="false">AL297+AL300</f>
        <v>0</v>
      </c>
      <c r="AM301" s="37" t="n">
        <f aca="false">AM297+AM300</f>
        <v>0</v>
      </c>
      <c r="AN301" s="37" t="n">
        <f aca="false">AN297+AN300</f>
        <v>5584.27117921855</v>
      </c>
      <c r="AO301" s="37" t="n">
        <f aca="false">AO297+AO300</f>
        <v>0</v>
      </c>
      <c r="AP301" s="37" t="n">
        <f aca="false">AP297+AP300</f>
        <v>0</v>
      </c>
      <c r="AQ301" s="37" t="n">
        <f aca="false">AQ297+AQ300</f>
        <v>0</v>
      </c>
      <c r="AR301" s="37" t="n">
        <f aca="false">AR297+AR300</f>
        <v>0</v>
      </c>
      <c r="AS301" s="37" t="n">
        <f aca="false">AS297+AS300</f>
        <v>0</v>
      </c>
      <c r="AT301" s="37" t="n">
        <f aca="false">AT297+AT300</f>
        <v>0</v>
      </c>
      <c r="AU301" s="37" t="n">
        <f aca="false">AU297+AU300</f>
        <v>0</v>
      </c>
      <c r="AV301" s="37" t="n">
        <f aca="false">AV297+AV300</f>
        <v>0</v>
      </c>
      <c r="AW301" s="37" t="n">
        <f aca="false">AW297+AW300</f>
        <v>0</v>
      </c>
      <c r="AX301" s="37" t="n">
        <f aca="false">AX297+AX300</f>
        <v>0</v>
      </c>
      <c r="AY301" s="37" t="n">
        <f aca="false">AY297+AY300</f>
        <v>0</v>
      </c>
      <c r="AZ301" s="37" t="n">
        <f aca="false">AZ297+AZ300</f>
        <v>0</v>
      </c>
      <c r="BA301" s="37" t="n">
        <f aca="false">BA297+BA300</f>
        <v>0</v>
      </c>
      <c r="BB301" s="37" t="n">
        <f aca="false">BB297+BB300</f>
        <v>0</v>
      </c>
      <c r="BC301" s="37" t="n">
        <f aca="false">BC297+BC300</f>
        <v>0</v>
      </c>
      <c r="BD301" s="37" t="n">
        <f aca="false">BD297+BD300</f>
        <v>0</v>
      </c>
      <c r="BE301" s="37" t="n">
        <f aca="false">BE297+BE300</f>
        <v>0</v>
      </c>
      <c r="BF301" s="37" t="n">
        <f aca="false">BF297+BF300</f>
        <v>0</v>
      </c>
      <c r="BG301" s="37" t="n">
        <f aca="false">BG297+BG300</f>
        <v>0</v>
      </c>
      <c r="BH301" s="37" t="n">
        <f aca="false">BH297+BH300</f>
        <v>0</v>
      </c>
      <c r="BI301" s="37" t="n">
        <f aca="false">BI297+BI300</f>
        <v>0</v>
      </c>
      <c r="BJ301" s="37" t="n">
        <f aca="false">BJ297+BJ300</f>
        <v>0</v>
      </c>
      <c r="BK301" s="37" t="n">
        <f aca="false">BK297+BK300</f>
        <v>0</v>
      </c>
      <c r="BL301" s="37" t="n">
        <f aca="false">BL297+BL300</f>
        <v>0</v>
      </c>
      <c r="BM301" s="37" t="n">
        <f aca="false">BM297+BM300</f>
        <v>0</v>
      </c>
      <c r="BN301" s="37" t="n">
        <f aca="false">BN297+BN300</f>
        <v>0</v>
      </c>
      <c r="BO301" s="37" t="n">
        <f aca="false">BO297+BO300</f>
        <v>0</v>
      </c>
      <c r="BP301" s="37" t="n">
        <f aca="false">BP297+BP300</f>
        <v>0</v>
      </c>
      <c r="BQ301" s="37" t="n">
        <f aca="false">BQ297+BQ300</f>
        <v>0</v>
      </c>
      <c r="BR301" s="37" t="n">
        <f aca="false">BR297+BR300</f>
        <v>0</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784331.530423652</v>
      </c>
      <c r="R305" s="13" t="n">
        <f aca="false">R199</f>
        <v>728413.490423653</v>
      </c>
      <c r="S305" s="13" t="n">
        <f aca="false">S199</f>
        <v>84565.6538158457</v>
      </c>
      <c r="T305" s="13" t="n">
        <f aca="false">T199</f>
        <v>963746.914480871</v>
      </c>
      <c r="U305" s="13" t="n">
        <f aca="false">U199</f>
        <v>858017.624480872</v>
      </c>
      <c r="V305" s="13" t="n">
        <f aca="false">V199</f>
        <v>936596.714480868</v>
      </c>
      <c r="W305" s="13" t="n">
        <f aca="false">W199</f>
        <v>824910.41448087</v>
      </c>
      <c r="X305" s="13" t="n">
        <f aca="false">X199</f>
        <v>999525.95448087</v>
      </c>
      <c r="Y305" s="13" t="n">
        <f aca="false">Y199</f>
        <v>837765.134480869</v>
      </c>
      <c r="Z305" s="13" t="n">
        <f aca="false">Z199</f>
        <v>964111.314480869</v>
      </c>
      <c r="AA305" s="13" t="n">
        <f aca="false">AA199</f>
        <v>993349.967842009</v>
      </c>
      <c r="AB305" s="13" t="n">
        <f aca="false">AB199</f>
        <v>807018.245741507</v>
      </c>
      <c r="AC305" s="13" t="n">
        <f aca="false">AC199</f>
        <v>578292.776497952</v>
      </c>
      <c r="AD305" s="13" t="n">
        <f aca="false">AD199</f>
        <v>601242.686497952</v>
      </c>
      <c r="AE305" s="13" t="n">
        <f aca="false">AE199</f>
        <v>592174.696497953</v>
      </c>
      <c r="AF305" s="13" t="n">
        <f aca="false">AF199</f>
        <v>751106.903216602</v>
      </c>
      <c r="AG305" s="13" t="n">
        <f aca="false">AG199</f>
        <v>686616.526260252</v>
      </c>
      <c r="AH305" s="13" t="n">
        <f aca="false">AH199</f>
        <v>549923.203298352</v>
      </c>
      <c r="AI305" s="13" t="n">
        <f aca="false">AI199</f>
        <v>543756.333298353</v>
      </c>
      <c r="AJ305" s="13" t="n">
        <f aca="false">AJ199</f>
        <v>549127.432866102</v>
      </c>
      <c r="AK305" s="13" t="n">
        <f aca="false">AK199</f>
        <v>294793.014057217</v>
      </c>
      <c r="AL305" s="13" t="n">
        <f aca="false">AL199</f>
        <v>309103.084057217</v>
      </c>
      <c r="AM305" s="13" t="n">
        <f aca="false">AM199</f>
        <v>320984.864057217</v>
      </c>
      <c r="AN305" s="13" t="n">
        <f aca="false">AN199</f>
        <v>212502.814057217</v>
      </c>
      <c r="AO305" s="13" t="n">
        <f aca="false">AO199</f>
        <v>172574.204057217</v>
      </c>
      <c r="AP305" s="13" t="n">
        <f aca="false">AP199</f>
        <v>172574.204057217</v>
      </c>
      <c r="AQ305" s="13" t="n">
        <f aca="false">AQ199</f>
        <v>172574.204057217</v>
      </c>
      <c r="AR305" s="13" t="n">
        <f aca="false">AR199</f>
        <v>172574.204057217</v>
      </c>
      <c r="AS305" s="13" t="n">
        <f aca="false">AS199</f>
        <v>172574.204057217</v>
      </c>
      <c r="AT305" s="13" t="n">
        <f aca="false">AT199</f>
        <v>172574.204057217</v>
      </c>
      <c r="AU305" s="13" t="n">
        <f aca="false">AU199</f>
        <v>172574.204057217</v>
      </c>
      <c r="AV305" s="13" t="n">
        <f aca="false">AV199</f>
        <v>445059.789410717</v>
      </c>
      <c r="AW305" s="13" t="n">
        <f aca="false">AW199</f>
        <v>0</v>
      </c>
      <c r="AX305" s="13" t="n">
        <f aca="false">AX199</f>
        <v>0</v>
      </c>
      <c r="AY305" s="13" t="n">
        <f aca="false">AY199</f>
        <v>0</v>
      </c>
      <c r="AZ305" s="13" t="n">
        <f aca="false">AZ199</f>
        <v>0</v>
      </c>
      <c r="BA305" s="13" t="n">
        <f aca="false">BA199</f>
        <v>0</v>
      </c>
      <c r="BB305" s="13" t="n">
        <f aca="false">BB199</f>
        <v>0</v>
      </c>
      <c r="BC305" s="13" t="n">
        <f aca="false">BC199</f>
        <v>0</v>
      </c>
      <c r="BD305" s="13" t="n">
        <f aca="false">BD199</f>
        <v>0</v>
      </c>
      <c r="BE305" s="13" t="n">
        <f aca="false">BE199</f>
        <v>0</v>
      </c>
      <c r="BF305" s="13" t="n">
        <f aca="false">BF199</f>
        <v>0</v>
      </c>
      <c r="BG305" s="13" t="n">
        <f aca="false">BG199</f>
        <v>0</v>
      </c>
      <c r="BH305" s="13" t="n">
        <f aca="false">BH199</f>
        <v>0</v>
      </c>
      <c r="BI305" s="13" t="n">
        <f aca="false">BI199</f>
        <v>0</v>
      </c>
      <c r="BJ305" s="13" t="n">
        <f aca="false">BJ199</f>
        <v>0</v>
      </c>
      <c r="BK305" s="13" t="n">
        <f aca="false">BK199</f>
        <v>0</v>
      </c>
      <c r="BL305" s="13" t="n">
        <f aca="false">BL199</f>
        <v>0</v>
      </c>
      <c r="BM305" s="13" t="n">
        <f aca="false">BM199</f>
        <v>0</v>
      </c>
      <c r="BN305" s="13" t="n">
        <f aca="false">BN199</f>
        <v>0</v>
      </c>
      <c r="BO305" s="13" t="n">
        <f aca="false">BO199</f>
        <v>0</v>
      </c>
      <c r="BP305" s="13" t="n">
        <f aca="false">BP199</f>
        <v>0</v>
      </c>
      <c r="BQ305" s="13" t="n">
        <f aca="false">BQ199</f>
        <v>0</v>
      </c>
      <c r="BR305" s="13" t="n">
        <f aca="false">BR199</f>
        <v>0</v>
      </c>
      <c r="BS305" s="13" t="n">
        <f aca="false">BS199</f>
        <v>0</v>
      </c>
      <c r="BT305" s="13" t="n">
        <f aca="false">BT199</f>
        <v>0</v>
      </c>
      <c r="BU305" s="13" t="n">
        <f aca="false">BU199</f>
        <v>0</v>
      </c>
      <c r="BV305" s="13" t="n">
        <f aca="false">BV199</f>
        <v>0</v>
      </c>
      <c r="BW305" s="13" t="n">
        <f aca="false">BW199</f>
        <v>0</v>
      </c>
      <c r="BX305" s="13" t="n">
        <f aca="false">BX199</f>
        <v>0</v>
      </c>
      <c r="BY305" s="13" t="n">
        <f aca="false">BY199</f>
        <v>0</v>
      </c>
      <c r="BZ305" s="13" t="n">
        <f aca="false">BZ199</f>
        <v>0</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142402</v>
      </c>
      <c r="CB306" s="13" t="n">
        <f aca="false">CB261</f>
        <v>0</v>
      </c>
      <c r="CC306" s="13" t="n">
        <f aca="false">CC261</f>
        <v>0</v>
      </c>
      <c r="CD306" s="13" t="n">
        <f aca="false">CD261</f>
        <v>157862</v>
      </c>
      <c r="CE306" s="13" t="n">
        <f aca="false">CE261</f>
        <v>0</v>
      </c>
      <c r="CF306" s="13" t="n">
        <f aca="false">CF261</f>
        <v>0</v>
      </c>
      <c r="CG306" s="13" t="n">
        <f aca="false">CG261</f>
        <v>157861</v>
      </c>
      <c r="CH306" s="13" t="n">
        <f aca="false">CH261</f>
        <v>0</v>
      </c>
      <c r="CI306" s="13" t="n">
        <f aca="false">CI261</f>
        <v>0</v>
      </c>
      <c r="CJ306" s="13" t="n">
        <f aca="false">CJ261</f>
        <v>157861</v>
      </c>
      <c r="CK306" s="13" t="n">
        <f aca="false">CK261</f>
        <v>157861</v>
      </c>
      <c r="CL306" s="13" t="n">
        <f aca="false">CL261</f>
        <v>157861</v>
      </c>
      <c r="CM306" s="13" t="n">
        <f aca="false">CM261</f>
        <v>157861</v>
      </c>
      <c r="CN306" s="13" t="n">
        <f aca="false">CN261</f>
        <v>157861</v>
      </c>
      <c r="CO306" s="13" t="n">
        <f aca="false">CO261</f>
        <v>157861</v>
      </c>
      <c r="CP306" s="13" t="n">
        <f aca="false">CP261</f>
        <v>157861</v>
      </c>
      <c r="CQ306" s="13" t="n">
        <f aca="false">CQ261</f>
        <v>157861</v>
      </c>
      <c r="CR306" s="13" t="n">
        <f aca="false">CR261</f>
        <v>157861</v>
      </c>
      <c r="CS306" s="13" t="n">
        <f aca="false">CS261</f>
        <v>157861</v>
      </c>
      <c r="CT306" s="13" t="n">
        <f aca="false">CT261</f>
        <v>157861</v>
      </c>
      <c r="CU306" s="13" t="n">
        <f aca="false">CU261</f>
        <v>157861</v>
      </c>
      <c r="CV306" s="13" t="n">
        <f aca="false">CV261</f>
        <v>157861</v>
      </c>
      <c r="CW306" s="13" t="n">
        <f aca="false">CW261</f>
        <v>157861</v>
      </c>
      <c r="CX306" s="13" t="n">
        <f aca="false">CX261</f>
        <v>157861</v>
      </c>
      <c r="CY306" s="13" t="n">
        <f aca="false">CY261</f>
        <v>157861</v>
      </c>
      <c r="CZ306" s="13" t="n">
        <f aca="false">CZ261</f>
        <v>157861</v>
      </c>
      <c r="DA306" s="13" t="n">
        <f aca="false">DA261</f>
        <v>157861</v>
      </c>
      <c r="DB306" s="13" t="n">
        <f aca="false">DB261</f>
        <v>157861</v>
      </c>
      <c r="DC306" s="13" t="n">
        <f aca="false">DC261</f>
        <v>157861</v>
      </c>
      <c r="DD306" s="13" t="n">
        <f aca="false">DD261</f>
        <v>157861</v>
      </c>
      <c r="DE306" s="13" t="n">
        <f aca="false">DE261</f>
        <v>157861</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834929.429695485</v>
      </c>
      <c r="R307" s="30" t="n">
        <f aca="false">R305+R306+R295+R298</f>
        <v>779011.389695486</v>
      </c>
      <c r="S307" s="30" t="n">
        <f aca="false">S305+S306+S295+S298</f>
        <v>135163.553087678</v>
      </c>
      <c r="T307" s="30" t="n">
        <f aca="false">T305+T306+T295+T298</f>
        <v>990438.563752703</v>
      </c>
      <c r="U307" s="30" t="n">
        <f aca="false">U305+U306+U295+U298</f>
        <v>884709.273752704</v>
      </c>
      <c r="V307" s="30" t="n">
        <f aca="false">V305+V306+V295+V298</f>
        <v>963288.3637527</v>
      </c>
      <c r="W307" s="30" t="n">
        <f aca="false">W305+W306+W295+W298</f>
        <v>851602.063752702</v>
      </c>
      <c r="X307" s="30" t="n">
        <f aca="false">X305+X306+X295+X298</f>
        <v>1026217.6037527</v>
      </c>
      <c r="Y307" s="30" t="n">
        <f aca="false">Y305+Y306+Y295+Y298</f>
        <v>921831.783752702</v>
      </c>
      <c r="Z307" s="30" t="n">
        <f aca="false">Z305+Z306+Z295+Z298</f>
        <v>990372.356698072</v>
      </c>
      <c r="AA307" s="30" t="n">
        <f aca="false">AA305+AA306+AA295+AA298</f>
        <v>1019611.01005921</v>
      </c>
      <c r="AB307" s="30" t="n">
        <f aca="false">AB305+AB306+AB295+AB298</f>
        <v>895997.280840609</v>
      </c>
      <c r="AC307" s="30" t="n">
        <f aca="false">AC305+AC306+AC295+AC298</f>
        <v>604553.818715154</v>
      </c>
      <c r="AD307" s="30" t="n">
        <f aca="false">AD305+AD306+AD295+AD298</f>
        <v>627503.728715155</v>
      </c>
      <c r="AE307" s="30" t="n">
        <f aca="false">AE305+AE306+AE295+AE298</f>
        <v>675810.738715155</v>
      </c>
      <c r="AF307" s="30" t="n">
        <f aca="false">AF305+AF306+AF295+AF298</f>
        <v>777367.945433805</v>
      </c>
      <c r="AG307" s="30" t="n">
        <f aca="false">AG305+AG306+AG295+AG298</f>
        <v>709719.673740613</v>
      </c>
      <c r="AH307" s="30" t="n">
        <f aca="false">AH305+AH306+AH295+AH298</f>
        <v>569868.45604187</v>
      </c>
      <c r="AI307" s="30" t="n">
        <f aca="false">AI305+AI306+AI295+AI298</f>
        <v>554201.586041871</v>
      </c>
      <c r="AJ307" s="30" t="n">
        <f aca="false">AJ305+AJ306+AJ295+AJ298</f>
        <v>559572.685609621</v>
      </c>
      <c r="AK307" s="30" t="n">
        <f aca="false">AK305+AK306+AK295+AK298</f>
        <v>305238.266800735</v>
      </c>
      <c r="AL307" s="30" t="n">
        <f aca="false">AL305+AL306+AL295+AL298</f>
        <v>309103.084057217</v>
      </c>
      <c r="AM307" s="30" t="n">
        <f aca="false">AM305+AM306+AM295+AM298</f>
        <v>320984.864057217</v>
      </c>
      <c r="AN307" s="30" t="n">
        <f aca="false">AN305+AN306+AN295+AN298</f>
        <v>218087.085236435</v>
      </c>
      <c r="AO307" s="30" t="n">
        <f aca="false">AO305+AO306+AO295+AO298</f>
        <v>172574.204057217</v>
      </c>
      <c r="AP307" s="30" t="n">
        <f aca="false">AP305+AP306+AP295+AP298</f>
        <v>172574.204057217</v>
      </c>
      <c r="AQ307" s="30" t="n">
        <f aca="false">AQ305+AQ306+AQ295+AQ298</f>
        <v>172574.204057217</v>
      </c>
      <c r="AR307" s="30" t="n">
        <f aca="false">AR305+AR306+AR295+AR298</f>
        <v>172574.204057217</v>
      </c>
      <c r="AS307" s="30" t="n">
        <f aca="false">AS305+AS306+AS295+AS298</f>
        <v>172574.204057217</v>
      </c>
      <c r="AT307" s="30" t="n">
        <f aca="false">AT305+AT306+AT295+AT298</f>
        <v>254257.204057217</v>
      </c>
      <c r="AU307" s="30" t="n">
        <f aca="false">AU305+AU306+AU295+AU298</f>
        <v>172574.204057217</v>
      </c>
      <c r="AV307" s="30" t="n">
        <f aca="false">AV305+AV306+AV295+AV298</f>
        <v>445059.789410717</v>
      </c>
      <c r="AW307" s="30" t="n">
        <f aca="false">AW305+AW306+AW295+AW298</f>
        <v>81682</v>
      </c>
      <c r="AX307" s="30" t="n">
        <f aca="false">AX305+AX306+AX295+AX298</f>
        <v>0</v>
      </c>
      <c r="AY307" s="30" t="n">
        <f aca="false">AY305+AY306+AY295+AY298</f>
        <v>0</v>
      </c>
      <c r="AZ307" s="30" t="n">
        <f aca="false">AZ305+AZ306+AZ295+AZ298</f>
        <v>81682</v>
      </c>
      <c r="BA307" s="30" t="n">
        <f aca="false">BA305+BA306+BA295+BA298</f>
        <v>0</v>
      </c>
      <c r="BB307" s="30" t="n">
        <f aca="false">BB305+BB306+BB295+BB298</f>
        <v>0</v>
      </c>
      <c r="BC307" s="30" t="n">
        <f aca="false">BC305+BC306+BC295+BC298</f>
        <v>933521</v>
      </c>
      <c r="BD307" s="30" t="n">
        <f aca="false">BD305+BD306+BD295+BD298</f>
        <v>0</v>
      </c>
      <c r="BE307" s="30" t="n">
        <f aca="false">BE305+BE306+BE295+BE298</f>
        <v>0</v>
      </c>
      <c r="BF307" s="30" t="n">
        <f aca="false">BF305+BF306+BF295+BF298</f>
        <v>130878</v>
      </c>
      <c r="BG307" s="30" t="n">
        <f aca="false">BG305+BG306+BG295+BG298</f>
        <v>0</v>
      </c>
      <c r="BH307" s="30" t="n">
        <f aca="false">BH305+BH306+BH295+BH298</f>
        <v>0</v>
      </c>
      <c r="BI307" s="30" t="n">
        <f aca="false">BI305+BI306+BI295+BI298</f>
        <v>130876</v>
      </c>
      <c r="BJ307" s="30" t="n">
        <f aca="false">BJ305+BJ306+BJ295+BJ298</f>
        <v>0</v>
      </c>
      <c r="BK307" s="30" t="n">
        <f aca="false">BK305+BK306+BK295+BK298</f>
        <v>0</v>
      </c>
      <c r="BL307" s="30" t="n">
        <f aca="false">BL305+BL306+BL295+BL298</f>
        <v>130876</v>
      </c>
      <c r="BM307" s="30" t="n">
        <f aca="false">BM305+BM306+BM295+BM298</f>
        <v>0</v>
      </c>
      <c r="BN307" s="30" t="n">
        <f aca="false">BN305+BN306+BN295+BN298</f>
        <v>0</v>
      </c>
      <c r="BO307" s="30" t="n">
        <f aca="false">BO305+BO306+BO295+BO298</f>
        <v>130876</v>
      </c>
      <c r="BP307" s="30" t="n">
        <f aca="false">BP305+BP306+BP295+BP298</f>
        <v>0</v>
      </c>
      <c r="BQ307" s="30" t="n">
        <f aca="false">BQ305+BQ306+BQ295+BQ298</f>
        <v>0</v>
      </c>
      <c r="BR307" s="30" t="n">
        <f aca="false">BR305+BR306+BR295+BR298</f>
        <v>142406</v>
      </c>
      <c r="BS307" s="30" t="n">
        <f aca="false">BS305+BS306+BS295+BS298</f>
        <v>0</v>
      </c>
      <c r="BT307" s="30" t="n">
        <f aca="false">BT305+BT306+BT295+BT298</f>
        <v>0</v>
      </c>
      <c r="BU307" s="30" t="n">
        <f aca="false">BU305+BU306+BU295+BU298</f>
        <v>142402</v>
      </c>
      <c r="BV307" s="30" t="n">
        <f aca="false">BV305+BV306+BV295+BV298</f>
        <v>0</v>
      </c>
      <c r="BW307" s="30" t="n">
        <f aca="false">BW305+BW306+BW295+BW298</f>
        <v>0</v>
      </c>
      <c r="BX307" s="30" t="n">
        <f aca="false">BX305+BX306+BX295+BX298</f>
        <v>142402</v>
      </c>
      <c r="BY307" s="30" t="n">
        <f aca="false">BY305+BY306+BY295+BY298</f>
        <v>0</v>
      </c>
      <c r="BZ307" s="30" t="n">
        <f aca="false">BZ305+BZ306+BZ295+BZ298</f>
        <v>0</v>
      </c>
      <c r="CA307" s="30" t="n">
        <f aca="false">CA305+CA306+CA295+CA298</f>
        <v>142402</v>
      </c>
      <c r="CB307" s="30" t="n">
        <f aca="false">CB305+CB306+CB295+CB298</f>
        <v>0</v>
      </c>
      <c r="CC307" s="30" t="n">
        <f aca="false">CC305+CC306+CC295+CC298</f>
        <v>0</v>
      </c>
      <c r="CD307" s="30" t="n">
        <f aca="false">CD305+CD306+CD295+CD298</f>
        <v>157862</v>
      </c>
      <c r="CE307" s="30" t="n">
        <f aca="false">CE305+CE306+CE295+CE298</f>
        <v>0</v>
      </c>
      <c r="CF307" s="30" t="n">
        <f aca="false">CF305+CF306+CF295+CF298</f>
        <v>0</v>
      </c>
      <c r="CG307" s="30" t="n">
        <f aca="false">CG305+CG306+CG295+CG298</f>
        <v>157861</v>
      </c>
      <c r="CH307" s="30" t="n">
        <f aca="false">CH305+CH306+CH295+CH298</f>
        <v>0</v>
      </c>
      <c r="CI307" s="30" t="n">
        <f aca="false">CI305+CI306+CI295+CI298</f>
        <v>0</v>
      </c>
      <c r="CJ307" s="30" t="n">
        <f aca="false">CJ305+CJ306+CJ295+CJ298</f>
        <v>157861</v>
      </c>
      <c r="CK307" s="30" t="n">
        <f aca="false">CK305+CK306+CK295+CK298</f>
        <v>157861</v>
      </c>
      <c r="CL307" s="30" t="n">
        <f aca="false">CL305+CL306+CL295+CL298</f>
        <v>157861</v>
      </c>
      <c r="CM307" s="30" t="n">
        <f aca="false">CM305+CM306+CM295+CM298</f>
        <v>157861</v>
      </c>
      <c r="CN307" s="30" t="n">
        <f aca="false">CN305+CN306+CN295+CN298</f>
        <v>157861</v>
      </c>
      <c r="CO307" s="30" t="n">
        <f aca="false">CO305+CO306+CO295+CO298</f>
        <v>157861</v>
      </c>
      <c r="CP307" s="30" t="n">
        <f aca="false">CP305+CP306+CP295+CP298</f>
        <v>157861</v>
      </c>
      <c r="CQ307" s="30" t="n">
        <f aca="false">CQ305+CQ306+CQ295+CQ298</f>
        <v>157861</v>
      </c>
      <c r="CR307" s="30" t="n">
        <f aca="false">CR305+CR306+CR295+CR298</f>
        <v>157861</v>
      </c>
      <c r="CS307" s="30" t="n">
        <f aca="false">CS305+CS306+CS295+CS298</f>
        <v>157861</v>
      </c>
      <c r="CT307" s="30" t="n">
        <f aca="false">CT305+CT306+CT295+CT298</f>
        <v>157861</v>
      </c>
      <c r="CU307" s="30" t="n">
        <f aca="false">CU305+CU306+CU295+CU298</f>
        <v>157861</v>
      </c>
      <c r="CV307" s="30" t="n">
        <f aca="false">CV305+CV306+CV295+CV298</f>
        <v>157861</v>
      </c>
      <c r="CW307" s="30" t="n">
        <f aca="false">CW305+CW306+CW295+CW298</f>
        <v>157861</v>
      </c>
      <c r="CX307" s="30" t="n">
        <f aca="false">CX305+CX306+CX295+CX298</f>
        <v>157861</v>
      </c>
      <c r="CY307" s="30" t="n">
        <f aca="false">CY305+CY306+CY295+CY298</f>
        <v>157861</v>
      </c>
      <c r="CZ307" s="30" t="n">
        <f aca="false">CZ305+CZ306+CZ295+CZ298</f>
        <v>157861</v>
      </c>
      <c r="DA307" s="30" t="n">
        <f aca="false">DA305+DA306+DA295+DA298</f>
        <v>157861</v>
      </c>
      <c r="DB307" s="30" t="n">
        <f aca="false">DB305+DB306+DB295+DB298</f>
        <v>157861</v>
      </c>
      <c r="DC307" s="30" t="n">
        <f aca="false">DC305+DC306+DC295+DC298</f>
        <v>157861</v>
      </c>
      <c r="DD307" s="30" t="n">
        <f aca="false">DD305+DD306+DD295+DD298</f>
        <v>157861</v>
      </c>
      <c r="DE307" s="30" t="n">
        <f aca="false">DE305+DE306+DE295+DE298</f>
        <v>157861</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-396472.629666667</v>
      </c>
      <c r="K308" s="13" t="n">
        <f aca="false">K236</f>
        <v>-386472.629666667</v>
      </c>
      <c r="L308" s="13" t="n">
        <f aca="false">L236</f>
        <v>-386472.629666667</v>
      </c>
      <c r="M308" s="13" t="n">
        <f aca="false">M236</f>
        <v>-482928.879666667</v>
      </c>
      <c r="N308" s="13" t="n">
        <f aca="false">N236</f>
        <v>-432890.963</v>
      </c>
      <c r="O308" s="13" t="n">
        <f aca="false">O236</f>
        <v>-517564.713</v>
      </c>
      <c r="P308" s="13" t="n">
        <f aca="false">P236</f>
        <v>-476689.713</v>
      </c>
      <c r="Q308" s="13" t="n">
        <f aca="false">Q236</f>
        <v>-485923.50726</v>
      </c>
      <c r="R308" s="13" t="n">
        <f aca="false">R236</f>
        <v>-485923.50726</v>
      </c>
      <c r="S308" s="13" t="n">
        <f aca="false">S236</f>
        <v>-534260.93226</v>
      </c>
      <c r="T308" s="13" t="n">
        <f aca="false">T236</f>
        <v>-512885.93226</v>
      </c>
      <c r="U308" s="13" t="n">
        <f aca="false">U236</f>
        <v>-512885.93226</v>
      </c>
      <c r="V308" s="13" t="n">
        <f aca="false">V236</f>
        <v>-512885.93226</v>
      </c>
      <c r="W308" s="13" t="n">
        <f aca="false">W236</f>
        <v>-512885.93226</v>
      </c>
      <c r="X308" s="13" t="n">
        <f aca="false">X236</f>
        <v>-512885.93226</v>
      </c>
      <c r="Y308" s="13" t="n">
        <f aca="false">Y236</f>
        <v>-512885.93226</v>
      </c>
      <c r="Z308" s="13" t="n">
        <f aca="false">Z236</f>
        <v>-504663.838029231</v>
      </c>
      <c r="AA308" s="13" t="n">
        <f aca="false">AA236</f>
        <v>-467480.053413846</v>
      </c>
      <c r="AB308" s="13" t="n">
        <f aca="false">AB236</f>
        <v>-458497.099567692</v>
      </c>
      <c r="AC308" s="13" t="n">
        <f aca="false">AC236</f>
        <v>-449234.598828277</v>
      </c>
      <c r="AD308" s="13" t="n">
        <f aca="false">AD236</f>
        <v>-421635.055212892</v>
      </c>
      <c r="AE308" s="13" t="n">
        <f aca="false">AE236</f>
        <v>-399327.3629052</v>
      </c>
      <c r="AF308" s="13" t="n">
        <f aca="false">AF236</f>
        <v>-399327.3629052</v>
      </c>
      <c r="AG308" s="13" t="n">
        <f aca="false">AG236</f>
        <v>-399327.3629052</v>
      </c>
      <c r="AH308" s="13" t="n">
        <f aca="false">AH236</f>
        <v>-396880.610020585</v>
      </c>
      <c r="AI308" s="13" t="n">
        <f aca="false">AI236</f>
        <v>-387265.2254052</v>
      </c>
      <c r="AJ308" s="13" t="n">
        <f aca="false">AJ236</f>
        <v>-387265.2254052</v>
      </c>
      <c r="AK308" s="13" t="n">
        <f aca="false">AK236</f>
        <v>-387265.2254052</v>
      </c>
      <c r="AL308" s="13" t="n">
        <f aca="false">AL236</f>
        <v>-387265.2254052</v>
      </c>
      <c r="AM308" s="13" t="n">
        <f aca="false">AM236</f>
        <v>-387265.2254052</v>
      </c>
      <c r="AN308" s="13" t="n">
        <f aca="false">AN236</f>
        <v>-387265.2254052</v>
      </c>
      <c r="AO308" s="13" t="n">
        <f aca="false">AO236</f>
        <v>-394710.529913304</v>
      </c>
      <c r="AP308" s="13" t="n">
        <f aca="false">AP236</f>
        <v>-394710.529913304</v>
      </c>
      <c r="AQ308" s="13" t="n">
        <f aca="false">AQ236</f>
        <v>-394710.529913304</v>
      </c>
      <c r="AR308" s="13" t="n">
        <f aca="false">AR236</f>
        <v>-394710.529913304</v>
      </c>
      <c r="AS308" s="13" t="n">
        <f aca="false">AS236</f>
        <v>-394710.529913304</v>
      </c>
      <c r="AT308" s="13" t="n">
        <f aca="false">AT236</f>
        <v>-394710.529913304</v>
      </c>
      <c r="AU308" s="13" t="n">
        <f aca="false">AU236</f>
        <v>-394710.529913304</v>
      </c>
      <c r="AV308" s="13" t="n">
        <f aca="false">AV236</f>
        <v>-394710.529913304</v>
      </c>
      <c r="AW308" s="13" t="n">
        <f aca="false">AW236</f>
        <v>-394710.529913304</v>
      </c>
      <c r="AX308" s="13" t="n">
        <f aca="false">AX236</f>
        <v>-394710.529913304</v>
      </c>
      <c r="AY308" s="13" t="n">
        <f aca="false">AY236</f>
        <v>-394710.529913304</v>
      </c>
      <c r="AZ308" s="13" t="n">
        <f aca="false">AZ236</f>
        <v>-394710.529913304</v>
      </c>
      <c r="BA308" s="13" t="n">
        <f aca="false">BA236</f>
        <v>-402304.74051157</v>
      </c>
      <c r="BB308" s="13" t="n">
        <f aca="false">BB236</f>
        <v>-402304.74051157</v>
      </c>
      <c r="BC308" s="13" t="n">
        <f aca="false">BC236</f>
        <v>-402304.74051157</v>
      </c>
      <c r="BD308" s="13" t="n">
        <f aca="false">BD236</f>
        <v>-402304.74051157</v>
      </c>
      <c r="BE308" s="13" t="n">
        <f aca="false">BE236</f>
        <v>-402304.74051157</v>
      </c>
      <c r="BF308" s="13" t="n">
        <f aca="false">BF236</f>
        <v>-402304.74051157</v>
      </c>
      <c r="BG308" s="13" t="n">
        <f aca="false">BG236</f>
        <v>-402304.74051157</v>
      </c>
      <c r="BH308" s="13" t="n">
        <f aca="false">BH236</f>
        <v>-402304.74051157</v>
      </c>
      <c r="BI308" s="13" t="n">
        <f aca="false">BI236</f>
        <v>-402304.74051157</v>
      </c>
      <c r="BJ308" s="13" t="n">
        <f aca="false">BJ236</f>
        <v>-402304.74051157</v>
      </c>
      <c r="BK308" s="13" t="n">
        <f aca="false">BK236</f>
        <v>-402304.74051157</v>
      </c>
      <c r="BL308" s="13" t="n">
        <f aca="false">BL236</f>
        <v>-402304.74051157</v>
      </c>
      <c r="BM308" s="13" t="n">
        <f aca="false">BM236</f>
        <v>-410050.835321802</v>
      </c>
      <c r="BN308" s="13" t="n">
        <f aca="false">BN236</f>
        <v>-410050.835321802</v>
      </c>
      <c r="BO308" s="13" t="n">
        <f aca="false">BO236</f>
        <v>-410050.835321802</v>
      </c>
      <c r="BP308" s="13" t="n">
        <f aca="false">BP236</f>
        <v>-410050.835321802</v>
      </c>
      <c r="BQ308" s="13" t="n">
        <f aca="false">BQ236</f>
        <v>-410050.835321802</v>
      </c>
      <c r="BR308" s="13" t="n">
        <f aca="false">BR236</f>
        <v>-410050.835321802</v>
      </c>
      <c r="BS308" s="13" t="n">
        <f aca="false">BS236</f>
        <v>-410050.835321802</v>
      </c>
      <c r="BT308" s="13" t="n">
        <f aca="false">BT236</f>
        <v>-410050.835321802</v>
      </c>
      <c r="BU308" s="13" t="n">
        <f aca="false">BU236</f>
        <v>-410050.835321802</v>
      </c>
      <c r="BV308" s="13" t="n">
        <f aca="false">BV236</f>
        <v>-410050.835321802</v>
      </c>
      <c r="BW308" s="13" t="n">
        <f aca="false">BW236</f>
        <v>-410050.835321802</v>
      </c>
      <c r="BX308" s="13" t="n">
        <f aca="false">BX236</f>
        <v>-410050.835321802</v>
      </c>
      <c r="BY308" s="13" t="n">
        <f aca="false">BY236</f>
        <v>-417951.852028238</v>
      </c>
      <c r="BZ308" s="13" t="n">
        <f aca="false">BZ236</f>
        <v>-417951.852028238</v>
      </c>
      <c r="CA308" s="13" t="n">
        <f aca="false">CA236</f>
        <v>-417951.852028238</v>
      </c>
      <c r="CB308" s="13" t="n">
        <f aca="false">CB236</f>
        <v>-417951.852028238</v>
      </c>
      <c r="CC308" s="13" t="n">
        <f aca="false">CC236</f>
        <v>-417951.852028238</v>
      </c>
      <c r="CD308" s="13" t="n">
        <f aca="false">CD236</f>
        <v>-417951.852028238</v>
      </c>
      <c r="CE308" s="13" t="n">
        <f aca="false">CE236</f>
        <v>-417951.852028238</v>
      </c>
      <c r="CF308" s="13" t="n">
        <f aca="false">CF236</f>
        <v>-417951.852028238</v>
      </c>
      <c r="CG308" s="13" t="n">
        <f aca="false">CG236</f>
        <v>-417951.852028238</v>
      </c>
      <c r="CH308" s="13" t="n">
        <f aca="false">CH236</f>
        <v>-417951.852028238</v>
      </c>
      <c r="CI308" s="13" t="n">
        <f aca="false">CI236</f>
        <v>-417951.852028238</v>
      </c>
      <c r="CJ308" s="13" t="n">
        <f aca="false">CJ236</f>
        <v>-417951.852028238</v>
      </c>
      <c r="CK308" s="13" t="n">
        <f aca="false">CK236</f>
        <v>-426010.889068802</v>
      </c>
      <c r="CL308" s="13" t="n">
        <f aca="false">CL236</f>
        <v>-426010.889068802</v>
      </c>
      <c r="CM308" s="13" t="n">
        <f aca="false">CM236</f>
        <v>-426010.889068802</v>
      </c>
      <c r="CN308" s="13" t="n">
        <f aca="false">CN236</f>
        <v>-426010.889068802</v>
      </c>
      <c r="CO308" s="13" t="n">
        <f aca="false">CO236</f>
        <v>-426010.889068802</v>
      </c>
      <c r="CP308" s="13" t="n">
        <f aca="false">CP236</f>
        <v>-426010.889068802</v>
      </c>
      <c r="CQ308" s="13" t="n">
        <f aca="false">CQ236</f>
        <v>-426010.889068802</v>
      </c>
      <c r="CR308" s="13" t="n">
        <f aca="false">CR236</f>
        <v>-426010.889068802</v>
      </c>
      <c r="CS308" s="13" t="n">
        <f aca="false">CS236</f>
        <v>-426010.889068802</v>
      </c>
      <c r="CT308" s="13" t="n">
        <f aca="false">CT236</f>
        <v>-385658.075026777</v>
      </c>
      <c r="CU308" s="13" t="n">
        <f aca="false">CU236</f>
        <v>-385658.075026777</v>
      </c>
      <c r="CV308" s="13" t="n">
        <f aca="false">CV236</f>
        <v>-385658.075026777</v>
      </c>
      <c r="CW308" s="13" t="n">
        <f aca="false">CW236</f>
        <v>-393071.236527312</v>
      </c>
      <c r="CX308" s="13" t="n">
        <f aca="false">CX236</f>
        <v>-393071.236527312</v>
      </c>
      <c r="CY308" s="13" t="n">
        <f aca="false">CY236</f>
        <v>-393071.236527312</v>
      </c>
      <c r="CZ308" s="13" t="n">
        <f aca="false">CZ236</f>
        <v>-393071.236527312</v>
      </c>
      <c r="DA308" s="13" t="n">
        <f aca="false">DA236</f>
        <v>-393071.236527312</v>
      </c>
      <c r="DB308" s="13" t="n">
        <f aca="false">DB236</f>
        <v>-393071.236527312</v>
      </c>
      <c r="DC308" s="13" t="n">
        <f aca="false">DC236</f>
        <v>-393071.236527312</v>
      </c>
      <c r="DD308" s="13" t="n">
        <f aca="false">DD236</f>
        <v>-393071.236527312</v>
      </c>
      <c r="DE308" s="13" t="n">
        <f aca="false">DE236</f>
        <v>-393071.236527312</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-197545.8</v>
      </c>
      <c r="K309" s="13" t="n">
        <f aca="false">K292</f>
        <v>-197545.8</v>
      </c>
      <c r="L309" s="13" t="n">
        <f aca="false">L292</f>
        <v>-197545.8</v>
      </c>
      <c r="M309" s="13" t="n">
        <f aca="false">M292</f>
        <v>-194045.8</v>
      </c>
      <c r="N309" s="13" t="n">
        <f aca="false">N292</f>
        <v>-195439.62</v>
      </c>
      <c r="O309" s="13" t="n">
        <f aca="false">O292</f>
        <v>-195439.62</v>
      </c>
      <c r="P309" s="13" t="n">
        <f aca="false">P292</f>
        <v>-195439.62</v>
      </c>
      <c r="Q309" s="13" t="n">
        <f aca="false">Q292</f>
        <v>-199005.6524</v>
      </c>
      <c r="R309" s="13" t="n">
        <f aca="false">R292</f>
        <v>-199005.6524</v>
      </c>
      <c r="S309" s="13" t="n">
        <f aca="false">S292</f>
        <v>-199005.6524</v>
      </c>
      <c r="T309" s="13" t="n">
        <f aca="false">T292</f>
        <v>-199005.6524</v>
      </c>
      <c r="U309" s="13" t="n">
        <f aca="false">U292</f>
        <v>-199005.6524</v>
      </c>
      <c r="V309" s="13" t="n">
        <f aca="false">V292</f>
        <v>-199005.6524</v>
      </c>
      <c r="W309" s="13" t="n">
        <f aca="false">W292</f>
        <v>-199005.6524</v>
      </c>
      <c r="X309" s="13" t="n">
        <f aca="false">X292</f>
        <v>-199005.6524</v>
      </c>
      <c r="Y309" s="13" t="n">
        <f aca="false">Y292</f>
        <v>-199005.6524</v>
      </c>
      <c r="Z309" s="13" t="n">
        <f aca="false">Z292</f>
        <v>-199005.6524</v>
      </c>
      <c r="AA309" s="13" t="n">
        <f aca="false">AA292</f>
        <v>-199005.6524</v>
      </c>
      <c r="AB309" s="13" t="n">
        <f aca="false">AB292</f>
        <v>-199005.6524</v>
      </c>
      <c r="AC309" s="13" t="n">
        <f aca="false">AC292</f>
        <v>-202643.005448</v>
      </c>
      <c r="AD309" s="13" t="n">
        <f aca="false">AD292</f>
        <v>-202643.005448</v>
      </c>
      <c r="AE309" s="13" t="n">
        <f aca="false">AE292</f>
        <v>-202643.005448</v>
      </c>
      <c r="AF309" s="13" t="n">
        <f aca="false">AF292</f>
        <v>-202643.005448</v>
      </c>
      <c r="AG309" s="13" t="n">
        <f aca="false">AG292</f>
        <v>-202643.005448</v>
      </c>
      <c r="AH309" s="13" t="n">
        <f aca="false">AH292</f>
        <v>-202643.005448</v>
      </c>
      <c r="AI309" s="13" t="n">
        <f aca="false">AI292</f>
        <v>-202643.005448</v>
      </c>
      <c r="AJ309" s="13" t="n">
        <f aca="false">AJ292</f>
        <v>-202643.005448</v>
      </c>
      <c r="AK309" s="13" t="n">
        <f aca="false">AK292</f>
        <v>-202643.005448</v>
      </c>
      <c r="AL309" s="13" t="n">
        <f aca="false">AL292</f>
        <v>-202643.005448</v>
      </c>
      <c r="AM309" s="13" t="n">
        <f aca="false">AM292</f>
        <v>-202643.005448</v>
      </c>
      <c r="AN309" s="13" t="n">
        <f aca="false">AN292</f>
        <v>-202643.005448</v>
      </c>
      <c r="AO309" s="13" t="n">
        <f aca="false">AO292</f>
        <v>-206353.10555696</v>
      </c>
      <c r="AP309" s="13" t="n">
        <f aca="false">AP292</f>
        <v>-206353.10555696</v>
      </c>
      <c r="AQ309" s="13" t="n">
        <f aca="false">AQ292</f>
        <v>-206353.10555696</v>
      </c>
      <c r="AR309" s="13" t="n">
        <f aca="false">AR292</f>
        <v>-206353.10555696</v>
      </c>
      <c r="AS309" s="13" t="n">
        <f aca="false">AS292</f>
        <v>-206353.10555696</v>
      </c>
      <c r="AT309" s="13" t="n">
        <f aca="false">AT292</f>
        <v>-288036.10555696</v>
      </c>
      <c r="AU309" s="13" t="n">
        <f aca="false">AU292</f>
        <v>-206353.10555696</v>
      </c>
      <c r="AV309" s="13" t="n">
        <f aca="false">AV292</f>
        <v>-206353.10555696</v>
      </c>
      <c r="AW309" s="13" t="n">
        <f aca="false">AW292</f>
        <v>-288035.10555696</v>
      </c>
      <c r="AX309" s="13" t="n">
        <f aca="false">AX292</f>
        <v>-206353.10555696</v>
      </c>
      <c r="AY309" s="13" t="n">
        <f aca="false">AY292</f>
        <v>-206353.10555696</v>
      </c>
      <c r="AZ309" s="13" t="n">
        <f aca="false">AZ292</f>
        <v>-288035.10555696</v>
      </c>
      <c r="BA309" s="13" t="n">
        <f aca="false">BA292</f>
        <v>-210137.407668099</v>
      </c>
      <c r="BB309" s="13" t="n">
        <f aca="false">BB292</f>
        <v>-210137.407668099</v>
      </c>
      <c r="BC309" s="13" t="n">
        <f aca="false">BC292</f>
        <v>-1143658.4076681</v>
      </c>
      <c r="BD309" s="13" t="n">
        <f aca="false">BD292</f>
        <v>-210137.407668099</v>
      </c>
      <c r="BE309" s="13" t="n">
        <f aca="false">BE292</f>
        <v>-210137.407668099</v>
      </c>
      <c r="BF309" s="13" t="n">
        <f aca="false">BF292</f>
        <v>-341015.407668099</v>
      </c>
      <c r="BG309" s="13" t="n">
        <f aca="false">BG292</f>
        <v>-210137.407668099</v>
      </c>
      <c r="BH309" s="13" t="n">
        <f aca="false">BH292</f>
        <v>-210137.407668099</v>
      </c>
      <c r="BI309" s="13" t="n">
        <f aca="false">BI292</f>
        <v>-341013.407668099</v>
      </c>
      <c r="BJ309" s="13" t="n">
        <f aca="false">BJ292</f>
        <v>-210137.407668099</v>
      </c>
      <c r="BK309" s="13" t="n">
        <f aca="false">BK292</f>
        <v>-210137.407668099</v>
      </c>
      <c r="BL309" s="13" t="n">
        <f aca="false">BL292</f>
        <v>-341013.407668099</v>
      </c>
      <c r="BM309" s="13" t="n">
        <f aca="false">BM292</f>
        <v>-213997.395821461</v>
      </c>
      <c r="BN309" s="13" t="n">
        <f aca="false">BN292</f>
        <v>-213997.395821461</v>
      </c>
      <c r="BO309" s="13" t="n">
        <f aca="false">BO292</f>
        <v>-344873.395821461</v>
      </c>
      <c r="BP309" s="13" t="n">
        <f aca="false">BP292</f>
        <v>-213997.395821461</v>
      </c>
      <c r="BQ309" s="13" t="n">
        <f aca="false">BQ292</f>
        <v>-213997.395821461</v>
      </c>
      <c r="BR309" s="13" t="n">
        <f aca="false">BR292</f>
        <v>-303153.045821461</v>
      </c>
      <c r="BS309" s="13" t="n">
        <f aca="false">BS292</f>
        <v>-213997.395821461</v>
      </c>
      <c r="BT309" s="13" t="n">
        <f aca="false">BT292</f>
        <v>-213997.395821461</v>
      </c>
      <c r="BU309" s="13" t="n">
        <f aca="false">BU292</f>
        <v>-288637.395821461</v>
      </c>
      <c r="BV309" s="13" t="n">
        <f aca="false">BV292</f>
        <v>-213997.395821461</v>
      </c>
      <c r="BW309" s="13" t="n">
        <f aca="false">BW292</f>
        <v>-213997.395821461</v>
      </c>
      <c r="BX309" s="13" t="n">
        <f aca="false">BX292</f>
        <v>-288637.395821461</v>
      </c>
      <c r="BY309" s="13" t="n">
        <f aca="false">BY292</f>
        <v>-217934.58373789</v>
      </c>
      <c r="BZ309" s="13" t="n">
        <f aca="false">BZ292</f>
        <v>-217934.58373789</v>
      </c>
      <c r="CA309" s="13" t="n">
        <f aca="false">CA292</f>
        <v>-292574.58373789</v>
      </c>
      <c r="CB309" s="13" t="n">
        <f aca="false">CB292</f>
        <v>-217934.58373789</v>
      </c>
      <c r="CC309" s="13" t="n">
        <f aca="false">CC292</f>
        <v>-217934.58373789</v>
      </c>
      <c r="CD309" s="13" t="n">
        <f aca="false">CD292</f>
        <v>-299297.58373789</v>
      </c>
      <c r="CE309" s="13" t="n">
        <f aca="false">CE292</f>
        <v>-217934.58373789</v>
      </c>
      <c r="CF309" s="13" t="n">
        <f aca="false">CF292</f>
        <v>-217934.58373789</v>
      </c>
      <c r="CG309" s="13" t="n">
        <f aca="false">CG292</f>
        <v>-299296.58373789</v>
      </c>
      <c r="CH309" s="13" t="n">
        <f aca="false">CH292</f>
        <v>-217934.58373789</v>
      </c>
      <c r="CI309" s="13" t="n">
        <f aca="false">CI292</f>
        <v>-217934.58373789</v>
      </c>
      <c r="CJ309" s="13" t="n">
        <f aca="false">CJ292</f>
        <v>-292688.557131411</v>
      </c>
      <c r="CK309" s="13" t="n">
        <f aca="false">CK292</f>
        <v>-221950.515412648</v>
      </c>
      <c r="CL309" s="13" t="n">
        <f aca="false">CL292</f>
        <v>-221950.515412648</v>
      </c>
      <c r="CM309" s="13" t="n">
        <f aca="false">CM292</f>
        <v>-221950.515412648</v>
      </c>
      <c r="CN309" s="13" t="n">
        <f aca="false">CN292</f>
        <v>-221950.515412648</v>
      </c>
      <c r="CO309" s="13" t="n">
        <f aca="false">CO292</f>
        <v>-221950.515412648</v>
      </c>
      <c r="CP309" s="13" t="n">
        <f aca="false">CP292</f>
        <v>-221950.515412648</v>
      </c>
      <c r="CQ309" s="13" t="n">
        <f aca="false">CQ292</f>
        <v>-221950.515412648</v>
      </c>
      <c r="CR309" s="13" t="n">
        <f aca="false">CR292</f>
        <v>-221950.515412648</v>
      </c>
      <c r="CS309" s="13" t="n">
        <f aca="false">CS292</f>
        <v>-221950.515412648</v>
      </c>
      <c r="CT309" s="13" t="n">
        <f aca="false">CT292</f>
        <v>-216039.570414536</v>
      </c>
      <c r="CU309" s="13" t="n">
        <f aca="false">CU292</f>
        <v>-216039.570414536</v>
      </c>
      <c r="CV309" s="13" t="n">
        <f aca="false">CV292</f>
        <v>-216039.570414536</v>
      </c>
      <c r="CW309" s="13" t="n">
        <f aca="false">CW292</f>
        <v>-220017.601822827</v>
      </c>
      <c r="CX309" s="13" t="n">
        <f aca="false">CX292</f>
        <v>-220017.601822827</v>
      </c>
      <c r="CY309" s="13" t="n">
        <f aca="false">CY292</f>
        <v>-220017.601822827</v>
      </c>
      <c r="CZ309" s="13" t="n">
        <f aca="false">CZ292</f>
        <v>-220017.601822827</v>
      </c>
      <c r="DA309" s="13" t="n">
        <f aca="false">DA292</f>
        <v>-220017.601822827</v>
      </c>
      <c r="DB309" s="13" t="n">
        <f aca="false">DB292</f>
        <v>-220017.601822827</v>
      </c>
      <c r="DC309" s="13" t="n">
        <f aca="false">DC292</f>
        <v>-220017.601822827</v>
      </c>
      <c r="DD309" s="13" t="n">
        <f aca="false">DD292</f>
        <v>-220017.601822827</v>
      </c>
      <c r="DE309" s="13" t="n">
        <f aca="false">DE292</f>
        <v>-220017.601822827</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-594018.429666667</v>
      </c>
      <c r="K310" s="30" t="n">
        <f aca="false">K308+K309+K296+K299</f>
        <v>-584018.429666667</v>
      </c>
      <c r="L310" s="30" t="n">
        <f aca="false">L308+L309+L296+L299</f>
        <v>-584018.429666667</v>
      </c>
      <c r="M310" s="30" t="n">
        <f aca="false">M308+M309+M296+M299</f>
        <v>-676974.679666667</v>
      </c>
      <c r="N310" s="30" t="n">
        <f aca="false">N308+N309+N296+N299</f>
        <v>-628330.583</v>
      </c>
      <c r="O310" s="30" t="n">
        <f aca="false">O308+O309+O296+O299</f>
        <v>-713004.333</v>
      </c>
      <c r="P310" s="30" t="n">
        <f aca="false">P308+P309+P296+P299</f>
        <v>-672129.333</v>
      </c>
      <c r="Q310" s="30" t="n">
        <f aca="false">Q308+Q309+Q296+Q299</f>
        <v>-684929.15966</v>
      </c>
      <c r="R310" s="30" t="n">
        <f aca="false">R308+R309+R296+R299</f>
        <v>-684929.15966</v>
      </c>
      <c r="S310" s="30" t="n">
        <f aca="false">S308+S309+S296+S299</f>
        <v>-733266.58466</v>
      </c>
      <c r="T310" s="30" t="n">
        <f aca="false">T308+T309+T296+T299</f>
        <v>-711891.58466</v>
      </c>
      <c r="U310" s="30" t="n">
        <f aca="false">U308+U309+U296+U299</f>
        <v>-711891.58466</v>
      </c>
      <c r="V310" s="30" t="n">
        <f aca="false">V308+V309+V296+V299</f>
        <v>-711891.58466</v>
      </c>
      <c r="W310" s="30" t="n">
        <f aca="false">W308+W309+W296+W299</f>
        <v>-711891.58466</v>
      </c>
      <c r="X310" s="30" t="n">
        <f aca="false">X308+X309+X296+X299</f>
        <v>-711891.58466</v>
      </c>
      <c r="Y310" s="30" t="n">
        <f aca="false">Y308+Y309+Y296+Y299</f>
        <v>-711891.58466</v>
      </c>
      <c r="Z310" s="30" t="n">
        <f aca="false">Z308+Z309+Z296+Z299</f>
        <v>-703669.490429231</v>
      </c>
      <c r="AA310" s="30" t="n">
        <f aca="false">AA308+AA309+AA296+AA299</f>
        <v>-666485.705813846</v>
      </c>
      <c r="AB310" s="30" t="n">
        <f aca="false">AB308+AB309+AB296+AB299</f>
        <v>-657502.751967692</v>
      </c>
      <c r="AC310" s="30" t="n">
        <f aca="false">AC308+AC309+AC296+AC299</f>
        <v>-651877.604276277</v>
      </c>
      <c r="AD310" s="30" t="n">
        <f aca="false">AD308+AD309+AD296+AD299</f>
        <v>-624278.060660892</v>
      </c>
      <c r="AE310" s="30" t="n">
        <f aca="false">AE308+AE309+AE296+AE299</f>
        <v>-601970.3683532</v>
      </c>
      <c r="AF310" s="30" t="n">
        <f aca="false">AF308+AF309+AF296+AF299</f>
        <v>-601970.3683532</v>
      </c>
      <c r="AG310" s="30" t="n">
        <f aca="false">AG308+AG309+AG296+AG299</f>
        <v>-601970.3683532</v>
      </c>
      <c r="AH310" s="30" t="n">
        <f aca="false">AH308+AH309+AH296+AH299</f>
        <v>-599523.615468585</v>
      </c>
      <c r="AI310" s="30" t="n">
        <f aca="false">AI308+AI309+AI296+AI299</f>
        <v>-589908.2308532</v>
      </c>
      <c r="AJ310" s="30" t="n">
        <f aca="false">AJ308+AJ309+AJ296+AJ299</f>
        <v>-589908.2308532</v>
      </c>
      <c r="AK310" s="30" t="n">
        <f aca="false">AK308+AK309+AK296+AK299</f>
        <v>-589908.2308532</v>
      </c>
      <c r="AL310" s="30" t="n">
        <f aca="false">AL308+AL309+AL296+AL299</f>
        <v>-589908.2308532</v>
      </c>
      <c r="AM310" s="30" t="n">
        <f aca="false">AM308+AM309+AM296+AM299</f>
        <v>-589908.2308532</v>
      </c>
      <c r="AN310" s="30" t="n">
        <f aca="false">AN308+AN309+AN296+AN299</f>
        <v>-589908.2308532</v>
      </c>
      <c r="AO310" s="30" t="n">
        <f aca="false">AO308+AO309+AO296+AO299</f>
        <v>-601063.635470264</v>
      </c>
      <c r="AP310" s="30" t="n">
        <f aca="false">AP308+AP309+AP296+AP299</f>
        <v>-601063.635470264</v>
      </c>
      <c r="AQ310" s="30" t="n">
        <f aca="false">AQ308+AQ309+AQ296+AQ299</f>
        <v>-601063.635470264</v>
      </c>
      <c r="AR310" s="30" t="n">
        <f aca="false">AR308+AR309+AR296+AR299</f>
        <v>-601063.635470264</v>
      </c>
      <c r="AS310" s="30" t="n">
        <f aca="false">AS308+AS309+AS296+AS299</f>
        <v>-601063.635470264</v>
      </c>
      <c r="AT310" s="30" t="n">
        <f aca="false">AT308+AT309+AT296+AT299</f>
        <v>-682746.635470264</v>
      </c>
      <c r="AU310" s="30" t="n">
        <f aca="false">AU308+AU309+AU296+AU299</f>
        <v>-601063.635470264</v>
      </c>
      <c r="AV310" s="30" t="n">
        <f aca="false">AV308+AV309+AV296+AV299</f>
        <v>-601063.635470264</v>
      </c>
      <c r="AW310" s="30" t="n">
        <f aca="false">AW308+AW309+AW296+AW299</f>
        <v>-682745.635470264</v>
      </c>
      <c r="AX310" s="30" t="n">
        <f aca="false">AX308+AX309+AX296+AX299</f>
        <v>-601063.635470264</v>
      </c>
      <c r="AY310" s="30" t="n">
        <f aca="false">AY308+AY309+AY296+AY299</f>
        <v>-601063.635470264</v>
      </c>
      <c r="AZ310" s="30" t="n">
        <f aca="false">AZ308+AZ309+AZ296+AZ299</f>
        <v>-682745.635470264</v>
      </c>
      <c r="BA310" s="30" t="n">
        <f aca="false">BA308+BA309+BA296+BA299</f>
        <v>-612442.148179669</v>
      </c>
      <c r="BB310" s="30" t="n">
        <f aca="false">BB308+BB309+BB296+BB299</f>
        <v>-612442.148179669</v>
      </c>
      <c r="BC310" s="30" t="n">
        <f aca="false">BC308+BC309+BC296+BC299</f>
        <v>-1545963.14817967</v>
      </c>
      <c r="BD310" s="30" t="n">
        <f aca="false">BD308+BD309+BD296+BD299</f>
        <v>-612442.148179669</v>
      </c>
      <c r="BE310" s="30" t="n">
        <f aca="false">BE308+BE309+BE296+BE299</f>
        <v>-612442.148179669</v>
      </c>
      <c r="BF310" s="30" t="n">
        <f aca="false">BF308+BF309+BF296+BF299</f>
        <v>-743320.148179669</v>
      </c>
      <c r="BG310" s="30" t="n">
        <f aca="false">BG308+BG309+BG296+BG299</f>
        <v>-612442.148179669</v>
      </c>
      <c r="BH310" s="30" t="n">
        <f aca="false">BH308+BH309+BH296+BH299</f>
        <v>-612442.148179669</v>
      </c>
      <c r="BI310" s="30" t="n">
        <f aca="false">BI308+BI309+BI296+BI299</f>
        <v>-743318.148179669</v>
      </c>
      <c r="BJ310" s="30" t="n">
        <f aca="false">BJ308+BJ309+BJ296+BJ299</f>
        <v>-612442.148179669</v>
      </c>
      <c r="BK310" s="30" t="n">
        <f aca="false">BK308+BK309+BK296+BK299</f>
        <v>-612442.148179669</v>
      </c>
      <c r="BL310" s="30" t="n">
        <f aca="false">BL308+BL309+BL296+BL299</f>
        <v>-743318.148179669</v>
      </c>
      <c r="BM310" s="30" t="n">
        <f aca="false">BM308+BM309+BM296+BM299</f>
        <v>-624048.231143263</v>
      </c>
      <c r="BN310" s="30" t="n">
        <f aca="false">BN308+BN309+BN296+BN299</f>
        <v>-624048.231143263</v>
      </c>
      <c r="BO310" s="30" t="n">
        <f aca="false">BO308+BO309+BO296+BO299</f>
        <v>-754924.231143263</v>
      </c>
      <c r="BP310" s="30" t="n">
        <f aca="false">BP308+BP309+BP296+BP299</f>
        <v>-624048.231143263</v>
      </c>
      <c r="BQ310" s="30" t="n">
        <f aca="false">BQ308+BQ309+BQ296+BQ299</f>
        <v>-624048.231143263</v>
      </c>
      <c r="BR310" s="30" t="n">
        <f aca="false">BR308+BR309+BR296+BR299</f>
        <v>-713203.881143263</v>
      </c>
      <c r="BS310" s="30" t="n">
        <f aca="false">BS308+BS309+BS296+BS299</f>
        <v>-624048.231143263</v>
      </c>
      <c r="BT310" s="30" t="n">
        <f aca="false">BT308+BT309+BT296+BT299</f>
        <v>-624048.231143263</v>
      </c>
      <c r="BU310" s="30" t="n">
        <f aca="false">BU308+BU309+BU296+BU299</f>
        <v>-698688.231143263</v>
      </c>
      <c r="BV310" s="30" t="n">
        <f aca="false">BV308+BV309+BV296+BV299</f>
        <v>-624048.231143263</v>
      </c>
      <c r="BW310" s="30" t="n">
        <f aca="false">BW308+BW309+BW296+BW299</f>
        <v>-624048.231143263</v>
      </c>
      <c r="BX310" s="30" t="n">
        <f aca="false">BX308+BX309+BX296+BX299</f>
        <v>-698688.231143263</v>
      </c>
      <c r="BY310" s="30" t="n">
        <f aca="false">BY308+BY309+BY296+BY299</f>
        <v>-635886.435766128</v>
      </c>
      <c r="BZ310" s="30" t="n">
        <f aca="false">BZ308+BZ309+BZ296+BZ299</f>
        <v>-635886.435766128</v>
      </c>
      <c r="CA310" s="30" t="n">
        <f aca="false">CA308+CA309+CA296+CA299</f>
        <v>-710526.435766128</v>
      </c>
      <c r="CB310" s="30" t="n">
        <f aca="false">CB308+CB309+CB296+CB299</f>
        <v>-635886.435766128</v>
      </c>
      <c r="CC310" s="30" t="n">
        <f aca="false">CC308+CC309+CC296+CC299</f>
        <v>-635886.435766128</v>
      </c>
      <c r="CD310" s="30" t="n">
        <f aca="false">CD308+CD309+CD296+CD299</f>
        <v>-717249.435766128</v>
      </c>
      <c r="CE310" s="30" t="n">
        <f aca="false">CE308+CE309+CE296+CE299</f>
        <v>-635886.435766128</v>
      </c>
      <c r="CF310" s="30" t="n">
        <f aca="false">CF308+CF309+CF296+CF299</f>
        <v>-635886.435766128</v>
      </c>
      <c r="CG310" s="30" t="n">
        <f aca="false">CG308+CG309+CG296+CG299</f>
        <v>-717248.435766128</v>
      </c>
      <c r="CH310" s="30" t="n">
        <f aca="false">CH308+CH309+CH296+CH299</f>
        <v>-635886.435766128</v>
      </c>
      <c r="CI310" s="30" t="n">
        <f aca="false">CI308+CI309+CI296+CI299</f>
        <v>-635886.435766128</v>
      </c>
      <c r="CJ310" s="30" t="n">
        <f aca="false">CJ308+CJ309+CJ296+CJ299</f>
        <v>-710640.409159649</v>
      </c>
      <c r="CK310" s="30" t="n">
        <f aca="false">CK308+CK309+CK296+CK299</f>
        <v>-647961.404481451</v>
      </c>
      <c r="CL310" s="30" t="n">
        <f aca="false">CL308+CL309+CL296+CL299</f>
        <v>-647961.404481451</v>
      </c>
      <c r="CM310" s="30" t="n">
        <f aca="false">CM308+CM309+CM296+CM299</f>
        <v>-647961.404481451</v>
      </c>
      <c r="CN310" s="30" t="n">
        <f aca="false">CN308+CN309+CN296+CN299</f>
        <v>-647961.404481451</v>
      </c>
      <c r="CO310" s="30" t="n">
        <f aca="false">CO308+CO309+CO296+CO299</f>
        <v>-647961.404481451</v>
      </c>
      <c r="CP310" s="30" t="n">
        <f aca="false">CP308+CP309+CP296+CP299</f>
        <v>-647961.404481451</v>
      </c>
      <c r="CQ310" s="30" t="n">
        <f aca="false">CQ308+CQ309+CQ296+CQ299</f>
        <v>-647961.404481451</v>
      </c>
      <c r="CR310" s="30" t="n">
        <f aca="false">CR308+CR309+CR296+CR299</f>
        <v>-647961.404481451</v>
      </c>
      <c r="CS310" s="30" t="n">
        <f aca="false">CS308+CS309+CS296+CS299</f>
        <v>-647961.404481451</v>
      </c>
      <c r="CT310" s="30" t="n">
        <f aca="false">CT308+CT309+CT296+CT299</f>
        <v>-601697.645441313</v>
      </c>
      <c r="CU310" s="30" t="n">
        <f aca="false">CU308+CU309+CU296+CU299</f>
        <v>-601697.645441313</v>
      </c>
      <c r="CV310" s="30" t="n">
        <f aca="false">CV308+CV309+CV296+CV299</f>
        <v>-601697.645441313</v>
      </c>
      <c r="CW310" s="30" t="n">
        <f aca="false">CW308+CW309+CW296+CW299</f>
        <v>-613088.838350139</v>
      </c>
      <c r="CX310" s="30" t="n">
        <f aca="false">CX308+CX309+CX296+CX299</f>
        <v>-613088.838350139</v>
      </c>
      <c r="CY310" s="30" t="n">
        <f aca="false">CY308+CY309+CY296+CY299</f>
        <v>-613088.838350139</v>
      </c>
      <c r="CZ310" s="30" t="n">
        <f aca="false">CZ308+CZ309+CZ296+CZ299</f>
        <v>-613088.838350139</v>
      </c>
      <c r="DA310" s="30" t="n">
        <f aca="false">DA308+DA309+DA296+DA299</f>
        <v>-613088.838350139</v>
      </c>
      <c r="DB310" s="30" t="n">
        <f aca="false">DB308+DB309+DB296+DB299</f>
        <v>-613088.838350139</v>
      </c>
      <c r="DC310" s="30" t="n">
        <f aca="false">DC308+DC309+DC296+DC299</f>
        <v>-613088.838350139</v>
      </c>
      <c r="DD310" s="30" t="n">
        <f aca="false">DD308+DD309+DD296+DD299</f>
        <v>-613088.838350139</v>
      </c>
      <c r="DE310" s="30" t="n">
        <f aca="false">DE308+DE309+DE296+DE299</f>
        <v>-613088.838350139</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151689.786613631</v>
      </c>
      <c r="K311" s="37" t="n">
        <f aca="false">K307+K310</f>
        <v>229578.147935434</v>
      </c>
      <c r="L311" s="37" t="n">
        <f aca="false">L307+L310</f>
        <v>59010.3863327071</v>
      </c>
      <c r="M311" s="37" t="n">
        <f aca="false">M307+M310</f>
        <v>-363989.180347785</v>
      </c>
      <c r="N311" s="37" t="n">
        <f aca="false">N307+N310</f>
        <v>325582.515477694</v>
      </c>
      <c r="O311" s="37" t="n">
        <f aca="false">O307+O310</f>
        <v>154852.136695485</v>
      </c>
      <c r="P311" s="37" t="n">
        <f aca="false">P307+P310</f>
        <v>217350.472228486</v>
      </c>
      <c r="Q311" s="37" t="n">
        <f aca="false">Q307+Q310</f>
        <v>150000.270035485</v>
      </c>
      <c r="R311" s="37" t="n">
        <f aca="false">R307+R310</f>
        <v>94082.2300354856</v>
      </c>
      <c r="S311" s="37" t="n">
        <f aca="false">S307+S310</f>
        <v>-598103.031572322</v>
      </c>
      <c r="T311" s="37" t="n">
        <f aca="false">T307+T310</f>
        <v>278546.979092703</v>
      </c>
      <c r="U311" s="37" t="n">
        <f aca="false">U307+U310</f>
        <v>172817.689092704</v>
      </c>
      <c r="V311" s="37" t="n">
        <f aca="false">V307+V310</f>
        <v>251396.7790927</v>
      </c>
      <c r="W311" s="37" t="n">
        <f aca="false">W307+W310</f>
        <v>139710.479092702</v>
      </c>
      <c r="X311" s="37" t="n">
        <f aca="false">X307+X310</f>
        <v>314326.019092702</v>
      </c>
      <c r="Y311" s="37" t="n">
        <f aca="false">Y307+Y310</f>
        <v>209940.199092702</v>
      </c>
      <c r="Z311" s="37" t="n">
        <f aca="false">Z307+Z310</f>
        <v>286702.866268841</v>
      </c>
      <c r="AA311" s="37" t="n">
        <f aca="false">AA307+AA310</f>
        <v>353125.304245365</v>
      </c>
      <c r="AB311" s="37" t="n">
        <f aca="false">AB307+AB310</f>
        <v>238494.528872917</v>
      </c>
      <c r="AC311" s="37" t="n">
        <f aca="false">AC307+AC310</f>
        <v>-47323.7855611226</v>
      </c>
      <c r="AD311" s="37" t="n">
        <f aca="false">AD307+AD310</f>
        <v>3225.66805426218</v>
      </c>
      <c r="AE311" s="37" t="n">
        <f aca="false">AE307+AE310</f>
        <v>73840.3703619554</v>
      </c>
      <c r="AF311" s="37" t="n">
        <f aca="false">AF307+AF310</f>
        <v>175397.577080605</v>
      </c>
      <c r="AG311" s="37" t="n">
        <f aca="false">AG307+AG310</f>
        <v>107749.305387413</v>
      </c>
      <c r="AH311" s="37" t="n">
        <f aca="false">AH307+AH310</f>
        <v>-29655.1594267144</v>
      </c>
      <c r="AI311" s="37" t="n">
        <f aca="false">AI307+AI310</f>
        <v>-35706.644811329</v>
      </c>
      <c r="AJ311" s="37" t="n">
        <f aca="false">AJ307+AJ310</f>
        <v>-30335.5452435794</v>
      </c>
      <c r="AK311" s="37" t="n">
        <f aca="false">AK307+AK310</f>
        <v>-284669.964052465</v>
      </c>
      <c r="AL311" s="37" t="n">
        <f aca="false">AL307+AL310</f>
        <v>-280805.146795984</v>
      </c>
      <c r="AM311" s="37" t="n">
        <f aca="false">AM307+AM310</f>
        <v>-268923.366795983</v>
      </c>
      <c r="AN311" s="37" t="n">
        <f aca="false">AN307+AN310</f>
        <v>-371821.145616765</v>
      </c>
      <c r="AO311" s="37" t="n">
        <f aca="false">AO307+AO310</f>
        <v>-428489.431413048</v>
      </c>
      <c r="AP311" s="37" t="n">
        <f aca="false">AP307+AP310</f>
        <v>-428489.431413048</v>
      </c>
      <c r="AQ311" s="37" t="n">
        <f aca="false">AQ307+AQ310</f>
        <v>-428489.431413048</v>
      </c>
      <c r="AR311" s="37" t="n">
        <f aca="false">AR307+AR310</f>
        <v>-428489.431413048</v>
      </c>
      <c r="AS311" s="37" t="n">
        <f aca="false">AS307+AS310</f>
        <v>-428489.431413048</v>
      </c>
      <c r="AT311" s="37" t="n">
        <f aca="false">AT307+AT310</f>
        <v>-428489.431413048</v>
      </c>
      <c r="AU311" s="37" t="n">
        <f aca="false">AU307+AU310</f>
        <v>-428489.431413048</v>
      </c>
      <c r="AV311" s="37" t="n">
        <f aca="false">AV307+AV310</f>
        <v>-156003.846059548</v>
      </c>
      <c r="AW311" s="37" t="n">
        <f aca="false">AW307+AW310</f>
        <v>-601063.635470264</v>
      </c>
      <c r="AX311" s="37" t="n">
        <f aca="false">AX307+AX310</f>
        <v>-601063.635470264</v>
      </c>
      <c r="AY311" s="37" t="n">
        <f aca="false">AY307+AY310</f>
        <v>-601063.635470264</v>
      </c>
      <c r="AZ311" s="37" t="n">
        <f aca="false">AZ307+AZ310</f>
        <v>-601063.635470264</v>
      </c>
      <c r="BA311" s="37" t="n">
        <f aca="false">BA307+BA310</f>
        <v>-612442.148179669</v>
      </c>
      <c r="BB311" s="37" t="n">
        <f aca="false">BB307+BB310</f>
        <v>-612442.148179669</v>
      </c>
      <c r="BC311" s="37" t="n">
        <f aca="false">BC307+BC310</f>
        <v>-612442.148179669</v>
      </c>
      <c r="BD311" s="37" t="n">
        <f aca="false">BD307+BD310</f>
        <v>-612442.148179669</v>
      </c>
      <c r="BE311" s="37" t="n">
        <f aca="false">BE307+BE310</f>
        <v>-612442.148179669</v>
      </c>
      <c r="BF311" s="37" t="n">
        <f aca="false">BF307+BF310</f>
        <v>-612442.148179669</v>
      </c>
      <c r="BG311" s="37" t="n">
        <f aca="false">BG307+BG310</f>
        <v>-612442.148179669</v>
      </c>
      <c r="BH311" s="37" t="n">
        <f aca="false">BH307+BH310</f>
        <v>-612442.148179669</v>
      </c>
      <c r="BI311" s="37" t="n">
        <f aca="false">BI307+BI310</f>
        <v>-612442.148179669</v>
      </c>
      <c r="BJ311" s="37" t="n">
        <f aca="false">BJ307+BJ310</f>
        <v>-612442.148179669</v>
      </c>
      <c r="BK311" s="37" t="n">
        <f aca="false">BK307+BK310</f>
        <v>-612442.148179669</v>
      </c>
      <c r="BL311" s="37" t="n">
        <f aca="false">BL307+BL310</f>
        <v>-612442.148179669</v>
      </c>
      <c r="BM311" s="37" t="n">
        <f aca="false">BM307+BM310</f>
        <v>-624048.231143263</v>
      </c>
      <c r="BN311" s="37" t="n">
        <f aca="false">BN307+BN310</f>
        <v>-624048.231143263</v>
      </c>
      <c r="BO311" s="37" t="n">
        <f aca="false">BO307+BO310</f>
        <v>-624048.231143263</v>
      </c>
      <c r="BP311" s="37" t="n">
        <f aca="false">BP307+BP310</f>
        <v>-624048.231143263</v>
      </c>
      <c r="BQ311" s="37" t="n">
        <f aca="false">BQ307+BQ310</f>
        <v>-624048.231143263</v>
      </c>
      <c r="BR311" s="37" t="n">
        <f aca="false">BR307+BR310</f>
        <v>-570797.881143263</v>
      </c>
      <c r="BS311" s="37" t="n">
        <f aca="false">BS307+BS310</f>
        <v>-624048.231143263</v>
      </c>
      <c r="BT311" s="37" t="n">
        <f aca="false">BT307+BT310</f>
        <v>-624048.231143263</v>
      </c>
      <c r="BU311" s="37" t="n">
        <f aca="false">BU307+BU310</f>
        <v>-556286.231143263</v>
      </c>
      <c r="BV311" s="37" t="n">
        <f aca="false">BV307+BV310</f>
        <v>-624048.231143263</v>
      </c>
      <c r="BW311" s="37" t="n">
        <f aca="false">BW307+BW310</f>
        <v>-624048.231143263</v>
      </c>
      <c r="BX311" s="37" t="n">
        <f aca="false">BX307+BX310</f>
        <v>-556286.231143263</v>
      </c>
      <c r="BY311" s="37" t="n">
        <f aca="false">BY307+BY310</f>
        <v>-635886.435766128</v>
      </c>
      <c r="BZ311" s="37" t="n">
        <f aca="false">BZ307+BZ310</f>
        <v>-635886.435766128</v>
      </c>
      <c r="CA311" s="37" t="n">
        <f aca="false">CA307+CA310</f>
        <v>-568124.435766128</v>
      </c>
      <c r="CB311" s="37" t="n">
        <f aca="false">CB307+CB310</f>
        <v>-635886.435766128</v>
      </c>
      <c r="CC311" s="37" t="n">
        <f aca="false">CC307+CC310</f>
        <v>-635886.435766128</v>
      </c>
      <c r="CD311" s="37" t="n">
        <f aca="false">CD307+CD310</f>
        <v>-559387.435766128</v>
      </c>
      <c r="CE311" s="37" t="n">
        <f aca="false">CE307+CE310</f>
        <v>-635886.435766128</v>
      </c>
      <c r="CF311" s="37" t="n">
        <f aca="false">CF307+CF310</f>
        <v>-635886.435766128</v>
      </c>
      <c r="CG311" s="37" t="n">
        <f aca="false">CG307+CG310</f>
        <v>-559387.435766128</v>
      </c>
      <c r="CH311" s="37" t="n">
        <f aca="false">CH307+CH310</f>
        <v>-635886.435766128</v>
      </c>
      <c r="CI311" s="37" t="n">
        <f aca="false">CI307+CI310</f>
        <v>-635886.435766128</v>
      </c>
      <c r="CJ311" s="37" t="n">
        <f aca="false">CJ307+CJ310</f>
        <v>-552779.409159649</v>
      </c>
      <c r="CK311" s="37" t="n">
        <f aca="false">CK307+CK310</f>
        <v>-490100.404481451</v>
      </c>
      <c r="CL311" s="37" t="n">
        <f aca="false">CL307+CL310</f>
        <v>-490100.404481451</v>
      </c>
      <c r="CM311" s="37" t="n">
        <f aca="false">CM307+CM310</f>
        <v>-490100.404481451</v>
      </c>
      <c r="CN311" s="37" t="n">
        <f aca="false">CN307+CN310</f>
        <v>-490100.404481451</v>
      </c>
      <c r="CO311" s="37" t="n">
        <f aca="false">CO307+CO310</f>
        <v>-490100.404481451</v>
      </c>
      <c r="CP311" s="37" t="n">
        <f aca="false">CP307+CP310</f>
        <v>-490100.404481451</v>
      </c>
      <c r="CQ311" s="37" t="n">
        <f aca="false">CQ307+CQ310</f>
        <v>-490100.404481451</v>
      </c>
      <c r="CR311" s="37" t="n">
        <f aca="false">CR307+CR310</f>
        <v>-490100.404481451</v>
      </c>
      <c r="CS311" s="37" t="n">
        <f aca="false">CS307+CS310</f>
        <v>-490100.404481451</v>
      </c>
      <c r="CT311" s="37" t="n">
        <f aca="false">CT307+CT310</f>
        <v>-443836.645441313</v>
      </c>
      <c r="CU311" s="37" t="n">
        <f aca="false">CU307+CU310</f>
        <v>-443836.645441313</v>
      </c>
      <c r="CV311" s="37" t="n">
        <f aca="false">CV307+CV310</f>
        <v>-443836.645441313</v>
      </c>
      <c r="CW311" s="37" t="n">
        <f aca="false">CW307+CW310</f>
        <v>-455227.838350139</v>
      </c>
      <c r="CX311" s="37" t="n">
        <f aca="false">CX307+CX310</f>
        <v>-455227.838350139</v>
      </c>
      <c r="CY311" s="37" t="n">
        <f aca="false">CY307+CY310</f>
        <v>-455227.838350139</v>
      </c>
      <c r="CZ311" s="37" t="n">
        <f aca="false">CZ307+CZ310</f>
        <v>-455227.838350139</v>
      </c>
      <c r="DA311" s="37" t="n">
        <f aca="false">DA307+DA310</f>
        <v>-455227.838350139</v>
      </c>
      <c r="DB311" s="37" t="n">
        <f aca="false">DB307+DB310</f>
        <v>-455227.838350139</v>
      </c>
      <c r="DC311" s="37" t="n">
        <f aca="false">DC307+DC310</f>
        <v>-455227.838350139</v>
      </c>
      <c r="DD311" s="37" t="n">
        <f aca="false">DD307+DD310</f>
        <v>-455227.838350139</v>
      </c>
      <c r="DE311" s="37" t="n">
        <f aca="false">DE307+DE310</f>
        <v>-455227.838350139</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0.203417078291402</v>
      </c>
      <c r="K312" s="33" t="n">
        <f aca="false">IFERROR(IF(OR(K307&lt;=0,K311/K307&lt;0,K311/K307&gt;1),0,K311/K307),0)</f>
        <v>0.282176885025827</v>
      </c>
      <c r="L312" s="33" t="n">
        <f aca="false">IFERROR(IF(OR(L307&lt;=0,L311/L307&lt;0,L311/L307&gt;1),0,L311/L307),0)</f>
        <v>0.0917694275349001</v>
      </c>
      <c r="M312" s="33" t="n">
        <f aca="false">IFERROR(IF(OR(M307&lt;=0,M311/M307&lt;0,M311/M307&gt;1),0,M311/M307),0)</f>
        <v>0</v>
      </c>
      <c r="N312" s="33" t="n">
        <f aca="false">IFERROR(IF(OR(N307&lt;=0,N311/N307&lt;0,N311/N307&gt;1),0,N311/N307),0)</f>
        <v>0.341312553520102</v>
      </c>
      <c r="O312" s="33" t="n">
        <f aca="false">IFERROR(IF(OR(O307&lt;=0,O311/O307&lt;0,O311/O307&gt;1),0,O311/O307),0)</f>
        <v>0.178430583976426</v>
      </c>
      <c r="P312" s="33" t="n">
        <f aca="false">IFERROR(IF(OR(P307&lt;=0,P311/P307&lt;0,P311/P307&gt;1),0,P311/P307),0)</f>
        <v>0.244356837503077</v>
      </c>
      <c r="Q312" s="33" t="n">
        <f aca="false">IFERROR(IF(OR(Q307&lt;=0,Q311/Q307&lt;0,Q311/Q307&gt;1),0,Q311/Q307),0)</f>
        <v>0.179656225664716</v>
      </c>
      <c r="R312" s="33" t="n">
        <f aca="false">IFERROR(IF(OR(R307&lt;=0,R311/R307&lt;0,R311/R307&gt;1),0,R311/R307),0)</f>
        <v>0.120771315130915</v>
      </c>
      <c r="S312" s="33" t="n">
        <f aca="false">IFERROR(IF(OR(S307&lt;=0,S311/S307&lt;0,S311/S307&gt;1),0,S311/S307),0)</f>
        <v>0</v>
      </c>
      <c r="T312" s="33" t="n">
        <f aca="false">IFERROR(IF(OR(T307&lt;=0,T311/T307&lt;0,T311/T307&gt;1),0,T311/T307),0)</f>
        <v>0.281235999169204</v>
      </c>
      <c r="U312" s="33" t="n">
        <f aca="false">IFERROR(IF(OR(U307&lt;=0,U311/U307&lt;0,U311/U307&gt;1),0,U311/U307),0)</f>
        <v>0.195338394453193</v>
      </c>
      <c r="V312" s="33" t="n">
        <f aca="false">IFERROR(IF(OR(V307&lt;=0,V311/V307&lt;0,V311/V307&gt;1),0,V311/V307),0)</f>
        <v>0.260977697387861</v>
      </c>
      <c r="W312" s="33" t="n">
        <f aca="false">IFERROR(IF(OR(W307&lt;=0,W311/W307&lt;0,W311/W307&gt;1),0,W311/W307),0)</f>
        <v>0.164056059795168</v>
      </c>
      <c r="X312" s="33" t="n">
        <f aca="false">IFERROR(IF(OR(X307&lt;=0,X311/X307&lt;0,X311/X307&gt;1),0,X311/X307),0)</f>
        <v>0.306295680315038</v>
      </c>
      <c r="Y312" s="33" t="n">
        <f aca="false">IFERROR(IF(OR(Y307&lt;=0,Y311/Y307&lt;0,Y311/Y307&gt;1),0,Y311/Y307),0)</f>
        <v>0.227742417643762</v>
      </c>
      <c r="Z312" s="33" t="n">
        <f aca="false">IFERROR(IF(OR(Z307&lt;=0,Z311/Z307&lt;0,Z311/Z307&gt;1),0,Z311/Z307),0)</f>
        <v>0.289489972463202</v>
      </c>
      <c r="AA312" s="33" t="n">
        <f aca="false">IFERROR(IF(OR(AA307&lt;=0,AA311/AA307&lt;0,AA311/AA307&gt;1),0,AA311/AA307),0)</f>
        <v>0.346333357291678</v>
      </c>
      <c r="AB312" s="33" t="n">
        <f aca="false">IFERROR(IF(OR(AB307&lt;=0,AB311/AB307&lt;0,AB311/AB307&gt;1),0,AB311/AB307),0)</f>
        <v>0.266177737335503</v>
      </c>
      <c r="AC312" s="33" t="n">
        <f aca="false">IFERROR(IF(OR(AC307&lt;=0,AC311/AC307&lt;0,AC311/AC307&gt;1),0,AC311/AC307),0)</f>
        <v>0</v>
      </c>
      <c r="AD312" s="33" t="n">
        <f aca="false">IFERROR(IF(OR(AD307&lt;=0,AD311/AD307&lt;0,AD311/AD307&gt;1),0,AD311/AD307),0)</f>
        <v>0.00514047631376931</v>
      </c>
      <c r="AE312" s="33" t="n">
        <f aca="false">IFERROR(IF(OR(AE307&lt;=0,AE311/AE307&lt;0,AE311/AE307&gt;1),0,AE311/AE307),0)</f>
        <v>0.109261907412628</v>
      </c>
      <c r="AF312" s="33" t="n">
        <f aca="false">IFERROR(IF(OR(AF307&lt;=0,AF311/AF307&lt;0,AF311/AF307&gt;1),0,AF311/AF307),0)</f>
        <v>0.225630061171001</v>
      </c>
      <c r="AG312" s="33" t="n">
        <f aca="false">IFERROR(IF(OR(AG307&lt;=0,AG311/AG307&lt;0,AG311/AG307&gt;1),0,AG311/AG307),0)</f>
        <v>0.151819527306485</v>
      </c>
      <c r="AH312" s="33" t="n">
        <f aca="false">IFERROR(IF(OR(AH307&lt;=0,AH311/AH307&lt;0,AH311/AH307&gt;1),0,AH311/AH307),0)</f>
        <v>0</v>
      </c>
      <c r="AI312" s="33" t="n">
        <f aca="false">IFERROR(IF(OR(AI307&lt;=0,AI311/AI307&lt;0,AI311/AI307&gt;1),0,AI311/AI307),0)</f>
        <v>0</v>
      </c>
      <c r="AJ312" s="33" t="n">
        <f aca="false">IFERROR(IF(OR(AJ307&lt;=0,AJ311/AJ307&lt;0,AJ311/AJ307&gt;1),0,AJ311/AJ307),0)</f>
        <v>0</v>
      </c>
      <c r="AK312" s="33" t="n">
        <f aca="false">IFERROR(IF(OR(AK307&lt;=0,AK311/AK307&lt;0,AK311/AK307&gt;1),0,AK311/AK307),0)</f>
        <v>0</v>
      </c>
      <c r="AL312" s="33" t="n">
        <f aca="false">IFERROR(IF(OR(AL307&lt;=0,AL311/AL307&lt;0,AL311/AL307&gt;1),0,AL311/AL307),0)</f>
        <v>0</v>
      </c>
      <c r="AM312" s="33" t="n">
        <f aca="false">IFERROR(IF(OR(AM307&lt;=0,AM311/AM307&lt;0,AM311/AM307&gt;1),0,AM311/AM307),0)</f>
        <v>0</v>
      </c>
      <c r="AN312" s="33" t="n">
        <f aca="false">IFERROR(IF(OR(AN307&lt;=0,AN311/AN307&lt;0,AN311/AN307&gt;1),0,AN311/AN307),0)</f>
        <v>0</v>
      </c>
      <c r="AO312" s="33" t="n">
        <f aca="false">IFERROR(IF(OR(AO307&lt;=0,AO311/AO307&lt;0,AO311/AO307&gt;1),0,AO311/AO307),0)</f>
        <v>0</v>
      </c>
      <c r="AP312" s="33" t="n">
        <f aca="false">IFERROR(IF(OR(AP307&lt;=0,AP311/AP307&lt;0,AP311/AP307&gt;1),0,AP311/AP307),0)</f>
        <v>0</v>
      </c>
      <c r="AQ312" s="33" t="n">
        <f aca="false">IFERROR(IF(OR(AQ307&lt;=0,AQ311/AQ307&lt;0,AQ311/AQ307&gt;1),0,AQ311/AQ307),0)</f>
        <v>0</v>
      </c>
      <c r="AR312" s="33" t="n">
        <f aca="false">IFERROR(IF(OR(AR307&lt;=0,AR311/AR307&lt;0,AR311/AR307&gt;1),0,AR311/AR307),0)</f>
        <v>0</v>
      </c>
      <c r="AS312" s="33" t="n">
        <f aca="false">IFERROR(IF(OR(AS307&lt;=0,AS311/AS307&lt;0,AS311/AS307&gt;1),0,AS311/AS307),0)</f>
        <v>0</v>
      </c>
      <c r="AT312" s="33" t="n">
        <f aca="false">IFERROR(IF(OR(AT307&lt;=0,AT311/AT307&lt;0,AT311/AT307&gt;1),0,AT311/AT307),0)</f>
        <v>0</v>
      </c>
      <c r="AU312" s="33" t="n">
        <f aca="false">IFERROR(IF(OR(AU307&lt;=0,AU311/AU307&lt;0,AU311/AU307&gt;1),0,AU311/AU307),0)</f>
        <v>0</v>
      </c>
      <c r="AV312" s="33" t="n">
        <f aca="false">IFERROR(IF(OR(AV307&lt;=0,AV311/AV307&lt;0,AV311/AV307&gt;1),0,AV311/AV307),0)</f>
        <v>0</v>
      </c>
      <c r="AW312" s="33" t="n">
        <f aca="false">IFERROR(IF(OR(AW307&lt;=0,AW311/AW307&lt;0,AW311/AW307&gt;1),0,AW311/AW307),0)</f>
        <v>0</v>
      </c>
      <c r="AX312" s="33" t="n">
        <f aca="false">IFERROR(IF(OR(AX307&lt;=0,AX311/AX307&lt;0,AX311/AX307&gt;1),0,AX311/AX307),0)</f>
        <v>0</v>
      </c>
      <c r="AY312" s="33" t="n">
        <f aca="false">IFERROR(IF(OR(AY307&lt;=0,AY311/AY307&lt;0,AY311/AY307&gt;1),0,AY311/AY307),0)</f>
        <v>0</v>
      </c>
      <c r="AZ312" s="33" t="n">
        <f aca="false">IFERROR(IF(OR(AZ307&lt;=0,AZ311/AZ307&lt;0,AZ311/AZ307&gt;1),0,AZ311/AZ307),0)</f>
        <v>0</v>
      </c>
      <c r="BA312" s="33" t="n">
        <f aca="false">IFERROR(IF(OR(BA307&lt;=0,BA311/BA307&lt;0,BA311/BA307&gt;1),0,BA311/BA307),0)</f>
        <v>0</v>
      </c>
      <c r="BB312" s="33" t="n">
        <f aca="false">IFERROR(IF(OR(BB307&lt;=0,BB311/BB307&lt;0,BB311/BB307&gt;1),0,BB311/BB307),0)</f>
        <v>0</v>
      </c>
      <c r="BC312" s="33" t="n">
        <f aca="false">IFERROR(IF(OR(BC307&lt;=0,BC311/BC307&lt;0,BC311/BC307&gt;1),0,BC311/BC307),0)</f>
        <v>0</v>
      </c>
      <c r="BD312" s="33" t="n">
        <f aca="false">IFERROR(IF(OR(BD307&lt;=0,BD311/BD307&lt;0,BD311/BD307&gt;1),0,BD311/BD307),0)</f>
        <v>0</v>
      </c>
      <c r="BE312" s="33" t="n">
        <f aca="false">IFERROR(IF(OR(BE307&lt;=0,BE311/BE307&lt;0,BE311/BE307&gt;1),0,BE311/BE307),0)</f>
        <v>0</v>
      </c>
      <c r="BF312" s="33" t="n">
        <f aca="false">IFERROR(IF(OR(BF307&lt;=0,BF311/BF307&lt;0,BF311/BF307&gt;1),0,BF311/BF307),0)</f>
        <v>0</v>
      </c>
      <c r="BG312" s="33" t="n">
        <f aca="false">IFERROR(IF(OR(BG307&lt;=0,BG311/BG307&lt;0,BG311/BG307&gt;1),0,BG311/BG307),0)</f>
        <v>0</v>
      </c>
      <c r="BH312" s="33" t="n">
        <f aca="false">IFERROR(IF(OR(BH307&lt;=0,BH311/BH307&lt;0,BH311/BH307&gt;1),0,BH311/BH307),0)</f>
        <v>0</v>
      </c>
      <c r="BI312" s="33" t="n">
        <f aca="false">IFERROR(IF(OR(BI307&lt;=0,BI311/BI307&lt;0,BI311/BI307&gt;1),0,BI311/BI307),0)</f>
        <v>0</v>
      </c>
      <c r="BJ312" s="33" t="n">
        <f aca="false">IFERROR(IF(OR(BJ307&lt;=0,BJ311/BJ307&lt;0,BJ311/BJ307&gt;1),0,BJ311/BJ307),0)</f>
        <v>0</v>
      </c>
      <c r="BK312" s="33" t="n">
        <f aca="false">IFERROR(IF(OR(BK307&lt;=0,BK311/BK307&lt;0,BK311/BK307&gt;1),0,BK311/BK307),0)</f>
        <v>0</v>
      </c>
      <c r="BL312" s="33" t="n">
        <f aca="false">IFERROR(IF(OR(BL307&lt;=0,BL311/BL307&lt;0,BL311/BL307&gt;1),0,BL311/BL307),0)</f>
        <v>0</v>
      </c>
      <c r="BM312" s="33" t="n">
        <f aca="false">IFERROR(IF(OR(BM307&lt;=0,BM311/BM307&lt;0,BM311/BM307&gt;1),0,BM311/BM307),0)</f>
        <v>0</v>
      </c>
      <c r="BN312" s="33" t="n">
        <f aca="false">IFERROR(IF(OR(BN307&lt;=0,BN311/BN307&lt;0,BN311/BN307&gt;1),0,BN311/BN307),0)</f>
        <v>0</v>
      </c>
      <c r="BO312" s="33" t="n">
        <f aca="false">IFERROR(IF(OR(BO307&lt;=0,BO311/BO307&lt;0,BO311/BO307&gt;1),0,BO311/BO307),0)</f>
        <v>0</v>
      </c>
      <c r="BP312" s="33" t="n">
        <f aca="false">IFERROR(IF(OR(BP307&lt;=0,BP311/BP307&lt;0,BP311/BP307&gt;1),0,BP311/BP307),0)</f>
        <v>0</v>
      </c>
      <c r="BQ312" s="33" t="n">
        <f aca="false">IFERROR(IF(OR(BQ307&lt;=0,BQ311/BQ307&lt;0,BQ311/BQ307&gt;1),0,BQ311/BQ307),0)</f>
        <v>0</v>
      </c>
      <c r="BR312" s="33" t="n">
        <f aca="false">IFERROR(IF(OR(BR307&lt;=0,BR311/BR307&lt;0,BR311/BR307&gt;1),0,BR311/BR307),0)</f>
        <v>0</v>
      </c>
      <c r="BS312" s="33" t="n">
        <f aca="false">IFERROR(IF(OR(BS307&lt;=0,BS311/BS307&lt;0,BS311/BS307&gt;1),0,BS311/BS307),0)</f>
        <v>0</v>
      </c>
      <c r="BT312" s="33" t="n">
        <f aca="false">IFERROR(IF(OR(BT307&lt;=0,BT311/BT307&lt;0,BT311/BT307&gt;1),0,BT311/BT307),0)</f>
        <v>0</v>
      </c>
      <c r="BU312" s="33" t="n">
        <f aca="false">IFERROR(IF(OR(BU307&lt;=0,BU311/BU307&lt;0,BU311/BU307&gt;1),0,BU311/BU307),0)</f>
        <v>0</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-20399.12</v>
      </c>
      <c r="K314" s="13" t="n">
        <f aca="false">ROUND(K311-(Budget!L57+Budget!L114),2)</f>
        <v>64235.58</v>
      </c>
      <c r="L314" s="13" t="n">
        <f aca="false">ROUND(L311-(Budget!M57+Budget!M114),2)</f>
        <v>-105749.28</v>
      </c>
      <c r="M314" s="13" t="n">
        <f aca="false">ROUND(M311-(Budget!N57+Budget!N114),2)</f>
        <v>-479866.53</v>
      </c>
      <c r="N314" s="13" t="n">
        <f aca="false">ROUND(N311-(Budget!O57+Budget!O114),2)</f>
        <v>325582.52</v>
      </c>
      <c r="O314" s="13" t="n">
        <f aca="false">ROUND(O311-(Budget!P57+Budget!P114),2)</f>
        <v>154852.14</v>
      </c>
      <c r="P314" s="13" t="n">
        <f aca="false">ROUND(P311-(Budget!Q57+Budget!Q114),2)</f>
        <v>217350.47</v>
      </c>
      <c r="Q314" s="13" t="n">
        <f aca="false">ROUND(Q311-(Budget!R57+Budget!R114),2)</f>
        <v>150000.27</v>
      </c>
      <c r="R314" s="13" t="n">
        <f aca="false">ROUND(R311-(Budget!S57+Budget!S114),2)</f>
        <v>94082.23</v>
      </c>
      <c r="S314" s="13" t="n">
        <f aca="false">ROUND(S311-(Budget!T57+Budget!T114),2)</f>
        <v>-598103.03</v>
      </c>
      <c r="T314" s="13" t="n">
        <f aca="false">ROUND(T311-(Budget!U57+Budget!U114),2)</f>
        <v>278546.98</v>
      </c>
      <c r="U314" s="13" t="n">
        <f aca="false">ROUND(U311-(Budget!V57+Budget!V114),2)</f>
        <v>172817.69</v>
      </c>
      <c r="V314" s="13" t="n">
        <f aca="false">ROUND(V311-(Budget!W57+Budget!W114),2)</f>
        <v>251396.78</v>
      </c>
      <c r="W314" s="13" t="n">
        <f aca="false">ROUND(W311-(Budget!X57+Budget!X114),2)</f>
        <v>139710.48</v>
      </c>
      <c r="X314" s="13" t="n">
        <f aca="false">ROUND(X311-(Budget!Y57+Budget!Y114),2)</f>
        <v>314326.02</v>
      </c>
      <c r="Y314" s="13" t="n">
        <f aca="false">ROUND(Y311-(Budget!Z57+Budget!Z114),2)</f>
        <v>209940.2</v>
      </c>
      <c r="Z314" s="13" t="n">
        <f aca="false">ROUND(Z311-(Budget!AA57+Budget!AA114),2)</f>
        <v>286702.87</v>
      </c>
      <c r="AA314" s="13" t="n">
        <f aca="false">ROUND(AA311-(Budget!AB57+Budget!AB114),2)</f>
        <v>353125.3</v>
      </c>
      <c r="AB314" s="13" t="n">
        <f aca="false">ROUND(AB311-(Budget!AC57+Budget!AC114),2)</f>
        <v>238494.53</v>
      </c>
      <c r="AC314" s="13" t="n">
        <f aca="false">ROUND(AC311-(Budget!AD57+Budget!AD114),2)</f>
        <v>-47323.79</v>
      </c>
      <c r="AD314" s="13" t="n">
        <f aca="false">ROUND(AD311-(Budget!AE57+Budget!AE114),2)</f>
        <v>3225.67</v>
      </c>
      <c r="AE314" s="13" t="n">
        <f aca="false">ROUND(AE311-(Budget!AF57+Budget!AF114),2)</f>
        <v>73840.37</v>
      </c>
      <c r="AF314" s="13" t="n">
        <f aca="false">ROUND(AF311-(Budget!AG57+Budget!AG114),2)</f>
        <v>175397.58</v>
      </c>
      <c r="AG314" s="13" t="n">
        <f aca="false">ROUND(AG311-(Budget!AH57+Budget!AH114),2)</f>
        <v>107749.31</v>
      </c>
      <c r="AH314" s="13" t="n">
        <f aca="false">ROUND(AH311-(Budget!AI57+Budget!AI114),2)</f>
        <v>-29655.16</v>
      </c>
      <c r="AI314" s="13" t="n">
        <f aca="false">ROUND(AI311-(Budget!AJ57+Budget!AJ114),2)</f>
        <v>-35706.64</v>
      </c>
      <c r="AJ314" s="13" t="n">
        <f aca="false">ROUND(AJ311-(Budget!AK57+Budget!AK114),2)</f>
        <v>-30335.55</v>
      </c>
      <c r="AK314" s="13" t="n">
        <f aca="false">ROUND(AK311-(Budget!AL57+Budget!AL114),2)</f>
        <v>-284669.96</v>
      </c>
      <c r="AL314" s="13" t="n">
        <f aca="false">ROUND(AL311-(Budget!AM57+Budget!AM114),2)</f>
        <v>-280805.15</v>
      </c>
      <c r="AM314" s="13" t="n">
        <f aca="false">ROUND(AM311-(Budget!AN57+Budget!AN114),2)</f>
        <v>-268923.37</v>
      </c>
      <c r="AN314" s="13" t="n">
        <f aca="false">ROUND(AN311-(Budget!AO57+Budget!AO114),2)</f>
        <v>-371821.15</v>
      </c>
      <c r="AO314" s="13" t="n">
        <f aca="false">ROUND(AO311-(Budget!AP57+Budget!AP114),2)</f>
        <v>-428489.43</v>
      </c>
      <c r="AP314" s="13" t="n">
        <f aca="false">ROUND(AP311-(Budget!AQ57+Budget!AQ114),2)</f>
        <v>-428489.43</v>
      </c>
      <c r="AQ314" s="13" t="n">
        <f aca="false">ROUND(AQ311-(Budget!AR57+Budget!AR114),2)</f>
        <v>-428489.43</v>
      </c>
      <c r="AR314" s="13" t="n">
        <f aca="false">ROUND(AR311-(Budget!AS57+Budget!AS114),2)</f>
        <v>-428489.43</v>
      </c>
      <c r="AS314" s="13" t="n">
        <f aca="false">ROUND(AS311-(Budget!AT57+Budget!AT114),2)</f>
        <v>-428489.43</v>
      </c>
      <c r="AT314" s="13" t="n">
        <f aca="false">ROUND(AT311-(Budget!AU57+Budget!AU114),2)</f>
        <v>-428489.43</v>
      </c>
      <c r="AU314" s="13" t="n">
        <f aca="false">ROUND(AU311-(Budget!AV57+Budget!AV114),2)</f>
        <v>-428489.43</v>
      </c>
      <c r="AV314" s="13" t="n">
        <f aca="false">ROUND(AV311-(Budget!AW57+Budget!AW114),2)</f>
        <v>-156003.85</v>
      </c>
      <c r="AW314" s="13" t="n">
        <f aca="false">ROUND(AW311-(Budget!AX57+Budget!AX114),2)</f>
        <v>-601063.64</v>
      </c>
      <c r="AX314" s="13" t="n">
        <f aca="false">ROUND(AX311-(Budget!AY57+Budget!AY114),2)</f>
        <v>-601063.64</v>
      </c>
      <c r="AY314" s="13" t="n">
        <f aca="false">ROUND(AY311-(Budget!AZ57+Budget!AZ114),2)</f>
        <v>-601063.64</v>
      </c>
      <c r="AZ314" s="13" t="n">
        <f aca="false">ROUND(AZ311-(Budget!BA57+Budget!BA114),2)</f>
        <v>-601063.64</v>
      </c>
      <c r="BA314" s="13" t="n">
        <f aca="false">ROUND(BA311-(Budget!BB57+Budget!BB114),2)</f>
        <v>-612442.15</v>
      </c>
      <c r="BB314" s="13" t="n">
        <f aca="false">ROUND(BB311-(Budget!BC57+Budget!BC114),2)</f>
        <v>-612442.15</v>
      </c>
      <c r="BC314" s="13" t="n">
        <f aca="false">ROUND(BC311-(Budget!BD57+Budget!BD114),2)</f>
        <v>-612442.15</v>
      </c>
      <c r="BD314" s="13" t="n">
        <f aca="false">ROUND(BD311-(Budget!BE57+Budget!BE114),2)</f>
        <v>-612442.15</v>
      </c>
      <c r="BE314" s="13" t="n">
        <f aca="false">ROUND(BE311-(Budget!BF57+Budget!BF114),2)</f>
        <v>-612442.15</v>
      </c>
      <c r="BF314" s="13" t="n">
        <f aca="false">ROUND(BF311-(Budget!BG57+Budget!BG114),2)</f>
        <v>-612442.15</v>
      </c>
      <c r="BG314" s="13" t="n">
        <f aca="false">ROUND(BG311-(Budget!BH57+Budget!BH114),2)</f>
        <v>-612442.15</v>
      </c>
      <c r="BH314" s="13" t="n">
        <f aca="false">ROUND(BH311-(Budget!BI57+Budget!BI114),2)</f>
        <v>-612442.15</v>
      </c>
      <c r="BI314" s="13" t="n">
        <f aca="false">ROUND(BI311-(Budget!BJ57+Budget!BJ114),2)</f>
        <v>-612442.15</v>
      </c>
      <c r="BJ314" s="13" t="n">
        <f aca="false">ROUND(BJ311-(Budget!BK57+Budget!BK114),2)</f>
        <v>-612442.15</v>
      </c>
      <c r="BK314" s="13" t="n">
        <f aca="false">ROUND(BK311-(Budget!BL57+Budget!BL114),2)</f>
        <v>-612442.15</v>
      </c>
      <c r="BL314" s="13" t="n">
        <f aca="false">ROUND(BL311-(Budget!BM57+Budget!BM114),2)</f>
        <v>-612442.15</v>
      </c>
      <c r="BM314" s="13" t="n">
        <f aca="false">ROUND(BM311-(Budget!BN57+Budget!BN114),2)</f>
        <v>-624048.23</v>
      </c>
      <c r="BN314" s="13" t="n">
        <f aca="false">ROUND(BN311-(Budget!BO57+Budget!BO114),2)</f>
        <v>-624048.23</v>
      </c>
      <c r="BO314" s="13" t="n">
        <f aca="false">ROUND(BO311-(Budget!BP57+Budget!BP114),2)</f>
        <v>-624048.23</v>
      </c>
      <c r="BP314" s="13" t="n">
        <f aca="false">ROUND(BP311-(Budget!BQ57+Budget!BQ114),2)</f>
        <v>-624048.23</v>
      </c>
      <c r="BQ314" s="13" t="n">
        <f aca="false">ROUND(BQ311-(Budget!BR57+Budget!BR114),2)</f>
        <v>-624048.23</v>
      </c>
      <c r="BR314" s="13" t="n">
        <f aca="false">ROUND(BR311-(Budget!BS57+Budget!BS114),2)</f>
        <v>-570797.88</v>
      </c>
      <c r="BS314" s="13" t="n">
        <f aca="false">ROUND(BS311-(Budget!BT57+Budget!BT114),2)</f>
        <v>-624048.23</v>
      </c>
      <c r="BT314" s="13" t="n">
        <f aca="false">ROUND(BT311-(Budget!BU57+Budget!BU114),2)</f>
        <v>-624048.23</v>
      </c>
      <c r="BU314" s="13" t="n">
        <f aca="false">ROUND(BU311-(Budget!BV57+Budget!BV114),2)</f>
        <v>-556286.23</v>
      </c>
      <c r="BV314" s="13" t="n">
        <f aca="false">ROUND(BV311-(Budget!BW57+Budget!BW114),2)</f>
        <v>-624048.23</v>
      </c>
      <c r="BW314" s="13" t="n">
        <f aca="false">ROUND(BW311-(Budget!BX57+Budget!BX114),2)</f>
        <v>-624048.23</v>
      </c>
      <c r="BX314" s="13" t="n">
        <f aca="false">ROUND(BX311-(Budget!BY57+Budget!BY114),2)</f>
        <v>-556286.23</v>
      </c>
      <c r="BY314" s="13" t="n">
        <f aca="false">ROUND(BY311-(Budget!BZ57+Budget!BZ114),2)</f>
        <v>-635886.44</v>
      </c>
      <c r="BZ314" s="13" t="n">
        <f aca="false">ROUND(BZ311-(Budget!CA57+Budget!CA114),2)</f>
        <v>-635886.44</v>
      </c>
      <c r="CA314" s="13" t="n">
        <f aca="false">ROUND(CA311-(Budget!CB57+Budget!CB114),2)</f>
        <v>-568124.44</v>
      </c>
      <c r="CB314" s="13" t="n">
        <f aca="false">ROUND(CB311-(Budget!CC57+Budget!CC114),2)</f>
        <v>-635886.44</v>
      </c>
      <c r="CC314" s="13" t="n">
        <f aca="false">ROUND(CC311-(Budget!CD57+Budget!CD114),2)</f>
        <v>-635886.44</v>
      </c>
      <c r="CD314" s="13" t="n">
        <f aca="false">ROUND(CD311-(Budget!CE57+Budget!CE114),2)</f>
        <v>-559387.44</v>
      </c>
      <c r="CE314" s="13" t="n">
        <f aca="false">ROUND(CE311-(Budget!CF57+Budget!CF114),2)</f>
        <v>-635886.44</v>
      </c>
      <c r="CF314" s="13" t="n">
        <f aca="false">ROUND(CF311-(Budget!CG57+Budget!CG114),2)</f>
        <v>-635886.44</v>
      </c>
      <c r="CG314" s="13" t="n">
        <f aca="false">ROUND(CG311-(Budget!CH57+Budget!CH114),2)</f>
        <v>-559387.44</v>
      </c>
      <c r="CH314" s="13" t="n">
        <f aca="false">ROUND(CH311-(Budget!CI57+Budget!CI114),2)</f>
        <v>-635886.44</v>
      </c>
      <c r="CI314" s="13" t="n">
        <f aca="false">ROUND(CI311-(Budget!CJ57+Budget!CJ114),2)</f>
        <v>-635886.44</v>
      </c>
      <c r="CJ314" s="13" t="n">
        <f aca="false">ROUND(CJ311-(Budget!CK57+Budget!CK114),2)</f>
        <v>-552779.41</v>
      </c>
      <c r="CK314" s="13" t="n">
        <f aca="false">ROUND(CK311-(Budget!CL57+Budget!CL114),2)</f>
        <v>-490100.4</v>
      </c>
      <c r="CL314" s="13" t="n">
        <f aca="false">ROUND(CL311-(Budget!CM57+Budget!CM114),2)</f>
        <v>-490100.4</v>
      </c>
      <c r="CM314" s="13" t="n">
        <f aca="false">ROUND(CM311-(Budget!CN57+Budget!CN114),2)</f>
        <v>-490100.4</v>
      </c>
      <c r="CN314" s="13" t="n">
        <f aca="false">ROUND(CN311-(Budget!CO57+Budget!CO114),2)</f>
        <v>-490100.4</v>
      </c>
      <c r="CO314" s="13" t="n">
        <f aca="false">ROUND(CO311-(Budget!CP57+Budget!CP114),2)</f>
        <v>-490100.4</v>
      </c>
      <c r="CP314" s="13" t="n">
        <f aca="false">ROUND(CP311-(Budget!CQ57+Budget!CQ114),2)</f>
        <v>-490100.4</v>
      </c>
      <c r="CQ314" s="13" t="n">
        <f aca="false">ROUND(CQ311-(Budget!CR57+Budget!CR114),2)</f>
        <v>-490100.4</v>
      </c>
      <c r="CR314" s="13" t="n">
        <f aca="false">ROUND(CR311-(Budget!CS57+Budget!CS114),2)</f>
        <v>-490100.4</v>
      </c>
      <c r="CS314" s="13" t="n">
        <f aca="false">ROUND(CS311-(Budget!CT57+Budget!CT114),2)</f>
        <v>-490100.4</v>
      </c>
      <c r="CT314" s="13" t="n">
        <f aca="false">ROUND(CT311-(Budget!CU57+Budget!CU114),2)</f>
        <v>-443836.65</v>
      </c>
      <c r="CU314" s="13" t="n">
        <f aca="false">ROUND(CU311-(Budget!CV57+Budget!CV114),2)</f>
        <v>-443836.65</v>
      </c>
      <c r="CV314" s="13" t="n">
        <f aca="false">ROUND(CV311-(Budget!CW57+Budget!CW114),2)</f>
        <v>-443836.65</v>
      </c>
      <c r="CW314" s="13" t="n">
        <f aca="false">ROUND(CW311-(Budget!CX57+Budget!CX114),2)</f>
        <v>-455227.84</v>
      </c>
      <c r="CX314" s="13" t="n">
        <f aca="false">ROUND(CX311-(Budget!CY57+Budget!CY114),2)</f>
        <v>-455227.84</v>
      </c>
      <c r="CY314" s="13" t="n">
        <f aca="false">ROUND(CY311-(Budget!CZ57+Budget!CZ114),2)</f>
        <v>-455227.84</v>
      </c>
      <c r="CZ314" s="13" t="n">
        <f aca="false">ROUND(CZ311-(Budget!DA57+Budget!DA114),2)</f>
        <v>-455227.84</v>
      </c>
      <c r="DA314" s="13" t="n">
        <f aca="false">ROUND(DA311-(Budget!DB57+Budget!DB114),2)</f>
        <v>-455227.84</v>
      </c>
      <c r="DB314" s="13" t="n">
        <f aca="false">ROUND(DB311-(Budget!DC57+Budget!DC114),2)</f>
        <v>-455227.84</v>
      </c>
      <c r="DC314" s="13" t="n">
        <f aca="false">ROUND(DC311-(Budget!DD57+Budget!DD114),2)</f>
        <v>-455227.84</v>
      </c>
      <c r="DD314" s="13" t="n">
        <f aca="false">ROUND(DD311-(Budget!DE57+Budget!DE114),2)</f>
        <v>-455227.84</v>
      </c>
      <c r="DE314" s="13" t="n">
        <f aca="false">ROUND(DE311-(Budget!DF57+Budget!DF114),2)</f>
        <v>-455227.84</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750000</v>
      </c>
      <c r="AO324" s="13" t="n">
        <f aca="false">AN326</f>
        <v>750000</v>
      </c>
      <c r="AP324" s="13" t="n">
        <f aca="false">AO326</f>
        <v>750000</v>
      </c>
      <c r="AQ324" s="13" t="n">
        <f aca="false">AP326</f>
        <v>750000</v>
      </c>
      <c r="AR324" s="13" t="n">
        <f aca="false">AQ326</f>
        <v>750000</v>
      </c>
      <c r="AS324" s="13" t="n">
        <f aca="false">AR326</f>
        <v>750000</v>
      </c>
      <c r="AT324" s="13" t="n">
        <f aca="false">AS326</f>
        <v>750000</v>
      </c>
      <c r="AU324" s="13" t="n">
        <f aca="false">AT326</f>
        <v>750000</v>
      </c>
      <c r="AV324" s="13" t="n">
        <f aca="false">AU326</f>
        <v>750000</v>
      </c>
      <c r="AW324" s="13" t="n">
        <f aca="false">AV326</f>
        <v>750000</v>
      </c>
      <c r="AX324" s="13" t="n">
        <f aca="false">AW326</f>
        <v>750000</v>
      </c>
      <c r="AY324" s="13" t="n">
        <f aca="false">AX326</f>
        <v>750000</v>
      </c>
      <c r="AZ324" s="13" t="n">
        <f aca="false">AY326</f>
        <v>750000</v>
      </c>
      <c r="BA324" s="13" t="n">
        <f aca="false">AZ326</f>
        <v>750000</v>
      </c>
      <c r="BB324" s="13" t="n">
        <f aca="false">BA326</f>
        <v>750000</v>
      </c>
      <c r="BC324" s="13" t="n">
        <f aca="false">BB326</f>
        <v>750000</v>
      </c>
      <c r="BD324" s="13" t="n">
        <f aca="false">BC326</f>
        <v>750000</v>
      </c>
      <c r="BE324" s="13" t="n">
        <f aca="false">BD326</f>
        <v>750000</v>
      </c>
      <c r="BF324" s="13" t="n">
        <f aca="false">BE326</f>
        <v>750000</v>
      </c>
      <c r="BG324" s="13" t="n">
        <f aca="false">BF326</f>
        <v>750000</v>
      </c>
      <c r="BH324" s="13" t="n">
        <f aca="false">BG326</f>
        <v>750000</v>
      </c>
      <c r="BI324" s="13" t="n">
        <f aca="false">BH326</f>
        <v>750000</v>
      </c>
      <c r="BJ324" s="13" t="n">
        <f aca="false">BI326</f>
        <v>750000</v>
      </c>
      <c r="BK324" s="13" t="n">
        <f aca="false">BJ326</f>
        <v>750000</v>
      </c>
      <c r="BL324" s="13" t="n">
        <f aca="false">BK326</f>
        <v>750000</v>
      </c>
      <c r="BM324" s="13" t="n">
        <f aca="false">BL326</f>
        <v>750000</v>
      </c>
      <c r="BN324" s="13" t="n">
        <f aca="false">BM326</f>
        <v>750000</v>
      </c>
      <c r="BO324" s="13" t="n">
        <f aca="false">BN326</f>
        <v>750000</v>
      </c>
      <c r="BP324" s="13" t="n">
        <f aca="false">BO326</f>
        <v>750000</v>
      </c>
      <c r="BQ324" s="13" t="n">
        <f aca="false">BP326</f>
        <v>750000</v>
      </c>
      <c r="BR324" s="13" t="n">
        <f aca="false">BQ326</f>
        <v>750000</v>
      </c>
      <c r="BS324" s="13" t="n">
        <f aca="false">BR326</f>
        <v>750000</v>
      </c>
      <c r="BT324" s="13" t="n">
        <f aca="false">BS326</f>
        <v>750000</v>
      </c>
      <c r="BU324" s="13" t="n">
        <f aca="false">BT326</f>
        <v>750000</v>
      </c>
      <c r="BV324" s="13" t="n">
        <f aca="false">BU326</f>
        <v>750000</v>
      </c>
      <c r="BW324" s="13" t="n">
        <f aca="false">BV326</f>
        <v>750000</v>
      </c>
      <c r="BX324" s="13" t="n">
        <f aca="false">BW326</f>
        <v>750000</v>
      </c>
      <c r="BY324" s="13" t="n">
        <f aca="false">BX326</f>
        <v>750000</v>
      </c>
      <c r="BZ324" s="13" t="n">
        <f aca="false">BY326</f>
        <v>750000</v>
      </c>
      <c r="CA324" s="13" t="n">
        <f aca="false">BZ326</f>
        <v>750000</v>
      </c>
      <c r="CB324" s="13" t="n">
        <f aca="false">CA326</f>
        <v>750000</v>
      </c>
      <c r="CC324" s="13" t="n">
        <f aca="false">CB326</f>
        <v>750000</v>
      </c>
      <c r="CD324" s="13" t="n">
        <f aca="false">CC326</f>
        <v>750000</v>
      </c>
      <c r="CE324" s="13" t="n">
        <f aca="false">CD326</f>
        <v>750000</v>
      </c>
      <c r="CF324" s="13" t="n">
        <f aca="false">CE326</f>
        <v>750000</v>
      </c>
      <c r="CG324" s="13" t="n">
        <f aca="false">CF326</f>
        <v>750000</v>
      </c>
      <c r="CH324" s="13" t="n">
        <f aca="false">CG326</f>
        <v>750000</v>
      </c>
      <c r="CI324" s="13" t="n">
        <f aca="false">CH326</f>
        <v>750000</v>
      </c>
      <c r="CJ324" s="13" t="n">
        <f aca="false">CI326</f>
        <v>750000</v>
      </c>
      <c r="CK324" s="13" t="n">
        <f aca="false">CJ326</f>
        <v>750000</v>
      </c>
      <c r="CL324" s="13" t="n">
        <f aca="false">CK326</f>
        <v>750000</v>
      </c>
      <c r="CM324" s="13" t="n">
        <f aca="false">CL326</f>
        <v>750000</v>
      </c>
      <c r="CN324" s="13" t="n">
        <f aca="false">CM326</f>
        <v>750000</v>
      </c>
      <c r="CO324" s="13" t="n">
        <f aca="false">CN326</f>
        <v>750000</v>
      </c>
      <c r="CP324" s="13" t="n">
        <f aca="false">CO326</f>
        <v>750000</v>
      </c>
      <c r="CQ324" s="13" t="n">
        <f aca="false">CP326</f>
        <v>750000</v>
      </c>
      <c r="CR324" s="13" t="n">
        <f aca="false">CQ326</f>
        <v>750000</v>
      </c>
      <c r="CS324" s="13" t="n">
        <f aca="false">CR326</f>
        <v>750000</v>
      </c>
      <c r="CT324" s="13" t="n">
        <f aca="false">CS326</f>
        <v>750000</v>
      </c>
      <c r="CU324" s="13" t="n">
        <f aca="false">CT326</f>
        <v>750000</v>
      </c>
      <c r="CV324" s="13" t="n">
        <f aca="false">CU326</f>
        <v>750000</v>
      </c>
      <c r="CW324" s="13" t="n">
        <f aca="false">CV326</f>
        <v>750000</v>
      </c>
      <c r="CX324" s="13" t="n">
        <f aca="false">CW326</f>
        <v>750000</v>
      </c>
      <c r="CY324" s="13" t="n">
        <f aca="false">CX326</f>
        <v>750000</v>
      </c>
      <c r="CZ324" s="13" t="n">
        <f aca="false">CY326</f>
        <v>750000</v>
      </c>
      <c r="DA324" s="13" t="n">
        <f aca="false">CZ326</f>
        <v>750000</v>
      </c>
      <c r="DB324" s="13" t="n">
        <f aca="false">DA326</f>
        <v>750000</v>
      </c>
      <c r="DC324" s="13" t="n">
        <f aca="false">DB326</f>
        <v>750000</v>
      </c>
      <c r="DD324" s="13" t="n">
        <f aca="false">DC326</f>
        <v>750000</v>
      </c>
      <c r="DE324" s="13" t="n">
        <f aca="false">DD326</f>
        <v>750000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750000</v>
      </c>
      <c r="AN326" s="46" t="n">
        <f aca="false">MAX(0,AN324+AN325)</f>
        <v>750000</v>
      </c>
      <c r="AO326" s="46" t="n">
        <f aca="false">MAX(0,AO324+AO325)</f>
        <v>750000</v>
      </c>
      <c r="AP326" s="46" t="n">
        <f aca="false">MAX(0,AP324+AP325)</f>
        <v>750000</v>
      </c>
      <c r="AQ326" s="46" t="n">
        <f aca="false">MAX(0,AQ324+AQ325)</f>
        <v>750000</v>
      </c>
      <c r="AR326" s="46" t="n">
        <f aca="false">MAX(0,AR324+AR325)</f>
        <v>750000</v>
      </c>
      <c r="AS326" s="46" t="n">
        <f aca="false">MAX(0,AS324+AS325)</f>
        <v>750000</v>
      </c>
      <c r="AT326" s="46" t="n">
        <f aca="false">MAX(0,AT324+AT325)</f>
        <v>750000</v>
      </c>
      <c r="AU326" s="46" t="n">
        <f aca="false">MAX(0,AU324+AU325)</f>
        <v>750000</v>
      </c>
      <c r="AV326" s="46" t="n">
        <f aca="false">MAX(0,AV324+AV325)</f>
        <v>750000</v>
      </c>
      <c r="AW326" s="46" t="n">
        <f aca="false">MAX(0,AW324+AW325)</f>
        <v>750000</v>
      </c>
      <c r="AX326" s="46" t="n">
        <f aca="false">MAX(0,AX324+AX325)</f>
        <v>750000</v>
      </c>
      <c r="AY326" s="46" t="n">
        <f aca="false">MAX(0,AY324+AY325)</f>
        <v>750000</v>
      </c>
      <c r="AZ326" s="46" t="n">
        <f aca="false">MAX(0,AZ324+AZ325)</f>
        <v>750000</v>
      </c>
      <c r="BA326" s="46" t="n">
        <f aca="false">MAX(0,BA324+BA325)</f>
        <v>750000</v>
      </c>
      <c r="BB326" s="46" t="n">
        <f aca="false">MAX(0,BB324+BB325)</f>
        <v>750000</v>
      </c>
      <c r="BC326" s="46" t="n">
        <f aca="false">MAX(0,BC324+BC325)</f>
        <v>750000</v>
      </c>
      <c r="BD326" s="46" t="n">
        <f aca="false">MAX(0,BD324+BD325)</f>
        <v>750000</v>
      </c>
      <c r="BE326" s="46" t="n">
        <f aca="false">MAX(0,BE324+BE325)</f>
        <v>750000</v>
      </c>
      <c r="BF326" s="46" t="n">
        <f aca="false">MAX(0,BF324+BF325)</f>
        <v>750000</v>
      </c>
      <c r="BG326" s="46" t="n">
        <f aca="false">MAX(0,BG324+BG325)</f>
        <v>750000</v>
      </c>
      <c r="BH326" s="46" t="n">
        <f aca="false">MAX(0,BH324+BH325)</f>
        <v>750000</v>
      </c>
      <c r="BI326" s="46" t="n">
        <f aca="false">MAX(0,BI324+BI325)</f>
        <v>750000</v>
      </c>
      <c r="BJ326" s="46" t="n">
        <f aca="false">MAX(0,BJ324+BJ325)</f>
        <v>750000</v>
      </c>
      <c r="BK326" s="46" t="n">
        <f aca="false">MAX(0,BK324+BK325)</f>
        <v>750000</v>
      </c>
      <c r="BL326" s="46" t="n">
        <f aca="false">MAX(0,BL324+BL325)</f>
        <v>750000</v>
      </c>
      <c r="BM326" s="46" t="n">
        <f aca="false">MAX(0,BM324+BM325)</f>
        <v>750000</v>
      </c>
      <c r="BN326" s="46" t="n">
        <f aca="false">MAX(0,BN324+BN325)</f>
        <v>750000</v>
      </c>
      <c r="BO326" s="46" t="n">
        <f aca="false">MAX(0,BO324+BO325)</f>
        <v>750000</v>
      </c>
      <c r="BP326" s="46" t="n">
        <f aca="false">MAX(0,BP324+BP325)</f>
        <v>750000</v>
      </c>
      <c r="BQ326" s="46" t="n">
        <f aca="false">MAX(0,BQ324+BQ325)</f>
        <v>750000</v>
      </c>
      <c r="BR326" s="46" t="n">
        <f aca="false">MAX(0,BR324+BR325)</f>
        <v>750000</v>
      </c>
      <c r="BS326" s="46" t="n">
        <f aca="false">MAX(0,BS324+BS325)</f>
        <v>750000</v>
      </c>
      <c r="BT326" s="46" t="n">
        <f aca="false">MAX(0,BT324+BT325)</f>
        <v>750000</v>
      </c>
      <c r="BU326" s="46" t="n">
        <f aca="false">MAX(0,BU324+BU325)</f>
        <v>750000</v>
      </c>
      <c r="BV326" s="46" t="n">
        <f aca="false">MAX(0,BV324+BV325)</f>
        <v>750000</v>
      </c>
      <c r="BW326" s="46" t="n">
        <f aca="false">MAX(0,BW324+BW325)</f>
        <v>750000</v>
      </c>
      <c r="BX326" s="46" t="n">
        <f aca="false">MAX(0,BX324+BX325)</f>
        <v>750000</v>
      </c>
      <c r="BY326" s="46" t="n">
        <f aca="false">MAX(0,BY324+BY325)</f>
        <v>750000</v>
      </c>
      <c r="BZ326" s="46" t="n">
        <f aca="false">MAX(0,BZ324+BZ325)</f>
        <v>750000</v>
      </c>
      <c r="CA326" s="46" t="n">
        <f aca="false">MAX(0,CA324+CA325)</f>
        <v>750000</v>
      </c>
      <c r="CB326" s="46" t="n">
        <f aca="false">MAX(0,CB324+CB325)</f>
        <v>750000</v>
      </c>
      <c r="CC326" s="46" t="n">
        <f aca="false">MAX(0,CC324+CC325)</f>
        <v>750000</v>
      </c>
      <c r="CD326" s="46" t="n">
        <f aca="false">MAX(0,CD324+CD325)</f>
        <v>750000</v>
      </c>
      <c r="CE326" s="46" t="n">
        <f aca="false">MAX(0,CE324+CE325)</f>
        <v>750000</v>
      </c>
      <c r="CF326" s="46" t="n">
        <f aca="false">MAX(0,CF324+CF325)</f>
        <v>750000</v>
      </c>
      <c r="CG326" s="46" t="n">
        <f aca="false">MAX(0,CG324+CG325)</f>
        <v>750000</v>
      </c>
      <c r="CH326" s="46" t="n">
        <f aca="false">MAX(0,CH324+CH325)</f>
        <v>750000</v>
      </c>
      <c r="CI326" s="46" t="n">
        <f aca="false">MAX(0,CI324+CI325)</f>
        <v>750000</v>
      </c>
      <c r="CJ326" s="46" t="n">
        <f aca="false">MAX(0,CJ324+CJ325)</f>
        <v>750000</v>
      </c>
      <c r="CK326" s="46" t="n">
        <f aca="false">MAX(0,CK324+CK325)</f>
        <v>750000</v>
      </c>
      <c r="CL326" s="46" t="n">
        <f aca="false">MAX(0,CL324+CL325)</f>
        <v>750000</v>
      </c>
      <c r="CM326" s="46" t="n">
        <f aca="false">MAX(0,CM324+CM325)</f>
        <v>750000</v>
      </c>
      <c r="CN326" s="46" t="n">
        <f aca="false">MAX(0,CN324+CN325)</f>
        <v>750000</v>
      </c>
      <c r="CO326" s="46" t="n">
        <f aca="false">MAX(0,CO324+CO325)</f>
        <v>750000</v>
      </c>
      <c r="CP326" s="46" t="n">
        <f aca="false">MAX(0,CP324+CP325)</f>
        <v>750000</v>
      </c>
      <c r="CQ326" s="46" t="n">
        <f aca="false">MAX(0,CQ324+CQ325)</f>
        <v>750000</v>
      </c>
      <c r="CR326" s="46" t="n">
        <f aca="false">MAX(0,CR324+CR325)</f>
        <v>750000</v>
      </c>
      <c r="CS326" s="46" t="n">
        <f aca="false">MAX(0,CS324+CS325)</f>
        <v>750000</v>
      </c>
      <c r="CT326" s="46" t="n">
        <f aca="false">MAX(0,CT324+CT325)</f>
        <v>750000</v>
      </c>
      <c r="CU326" s="46" t="n">
        <f aca="false">MAX(0,CU324+CU325)</f>
        <v>750000</v>
      </c>
      <c r="CV326" s="46" t="n">
        <f aca="false">MAX(0,CV324+CV325)</f>
        <v>750000</v>
      </c>
      <c r="CW326" s="46" t="n">
        <f aca="false">MAX(0,CW324+CW325)</f>
        <v>750000</v>
      </c>
      <c r="CX326" s="46" t="n">
        <f aca="false">MAX(0,CX324+CX325)</f>
        <v>750000</v>
      </c>
      <c r="CY326" s="46" t="n">
        <f aca="false">MAX(0,CY324+CY325)</f>
        <v>750000</v>
      </c>
      <c r="CZ326" s="46" t="n">
        <f aca="false">MAX(0,CZ324+CZ325)</f>
        <v>750000</v>
      </c>
      <c r="DA326" s="46" t="n">
        <f aca="false">MAX(0,DA324+DA325)</f>
        <v>750000</v>
      </c>
      <c r="DB326" s="46" t="n">
        <f aca="false">MAX(0,DB324+DB325)</f>
        <v>750000</v>
      </c>
      <c r="DC326" s="46" t="n">
        <f aca="false">MAX(0,DC324+DC325)</f>
        <v>750000</v>
      </c>
      <c r="DD326" s="46" t="n">
        <f aca="false">MAX(0,DD324+DD325)</f>
        <v>750000</v>
      </c>
      <c r="DE326" s="46" t="n">
        <f aca="false">MAX(0,DE324+DE325)</f>
        <v>750000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0</v>
      </c>
      <c r="F339" s="56" t="n">
        <f aca="false">E343</f>
        <v>0</v>
      </c>
      <c r="G339" s="56" t="n">
        <f aca="false">IF(Projects!$G$14="Yes",F343+Assumptions!$B$76*0.2,F343)</f>
        <v>0</v>
      </c>
      <c r="H339" s="56" t="n">
        <f aca="false">G343</f>
        <v>0</v>
      </c>
      <c r="I339" s="56" t="n">
        <f aca="false">H343</f>
        <v>0</v>
      </c>
      <c r="J339" s="56" t="n">
        <f aca="false">IF(Projects!$G$14="Yes",I343+Assumptions!$B$76*0.2,I343)</f>
        <v>0</v>
      </c>
      <c r="K339" s="56" t="n">
        <f aca="false">J343</f>
        <v>0</v>
      </c>
      <c r="L339" s="56" t="n">
        <f aca="false">K343</f>
        <v>0</v>
      </c>
      <c r="M339" s="56" t="n">
        <f aca="false">L343</f>
        <v>0</v>
      </c>
      <c r="N339" s="56" t="n">
        <f aca="false">IF(Projects!$G$14="Yes",M343+Assumptions!$B$76*0.1,M343)</f>
        <v>0</v>
      </c>
      <c r="O339" s="56" t="n">
        <f aca="false">N343</f>
        <v>0</v>
      </c>
      <c r="P339" s="56" t="n">
        <f aca="false">O343</f>
        <v>0</v>
      </c>
      <c r="Q339" s="56" t="n">
        <f aca="false">P343</f>
        <v>0</v>
      </c>
      <c r="R339" s="56" t="n">
        <f aca="false">Q343</f>
        <v>0</v>
      </c>
      <c r="S339" s="56" t="n">
        <f aca="false">IF(Projects!$G$14="Yes",R343+Assumptions!$B$76*0.1,R343)</f>
        <v>0</v>
      </c>
      <c r="T339" s="56" t="n">
        <f aca="false">S343</f>
        <v>0</v>
      </c>
      <c r="U339" s="56" t="n">
        <f aca="false">T343</f>
        <v>0</v>
      </c>
      <c r="V339" s="56" t="n">
        <f aca="false">U343</f>
        <v>0</v>
      </c>
      <c r="W339" s="56" t="n">
        <f aca="false">V343</f>
        <v>0</v>
      </c>
      <c r="X339" s="56" t="n">
        <f aca="false">W343</f>
        <v>0</v>
      </c>
      <c r="Y339" s="56" t="n">
        <f aca="false">IF(Projects!$G$14="Yes",X343+Assumptions!$B$76*0.1,X343)</f>
        <v>0</v>
      </c>
      <c r="Z339" s="56" t="n">
        <f aca="false">Y343</f>
        <v>0</v>
      </c>
      <c r="AA339" s="56" t="n">
        <f aca="false">Z343</f>
        <v>0</v>
      </c>
      <c r="AB339" s="56" t="n">
        <f aca="false">AA343</f>
        <v>0</v>
      </c>
      <c r="AC339" s="56" t="n">
        <f aca="false">AB343</f>
        <v>0</v>
      </c>
      <c r="AD339" s="56" t="n">
        <f aca="false">AC343</f>
        <v>0</v>
      </c>
      <c r="AE339" s="56" t="n">
        <f aca="false">IF(Projects!$G$14="Yes",AD343+Assumptions!$B$76,AD343)</f>
        <v>0</v>
      </c>
      <c r="AF339" s="56" t="n">
        <f aca="false">AE343</f>
        <v>0</v>
      </c>
      <c r="AG339" s="56" t="n">
        <f aca="false">AF343</f>
        <v>0</v>
      </c>
      <c r="AH339" s="56" t="n">
        <f aca="false">AG343</f>
        <v>0</v>
      </c>
      <c r="AI339" s="56" t="n">
        <f aca="false">AH343</f>
        <v>0</v>
      </c>
      <c r="AJ339" s="56" t="n">
        <f aca="false">AI343</f>
        <v>0</v>
      </c>
      <c r="AK339" s="56" t="n">
        <f aca="false">AJ343</f>
        <v>0</v>
      </c>
      <c r="AL339" s="56" t="n">
        <f aca="false">AK343</f>
        <v>0</v>
      </c>
      <c r="AM339" s="56" t="n">
        <f aca="false">AL343</f>
        <v>0</v>
      </c>
      <c r="AN339" s="56" t="n">
        <f aca="false">AM343</f>
        <v>0</v>
      </c>
      <c r="AO339" s="56" t="n">
        <f aca="false">AN343</f>
        <v>0</v>
      </c>
      <c r="AP339" s="56" t="n">
        <f aca="false">AO343</f>
        <v>0</v>
      </c>
      <c r="AQ339" s="56" t="n">
        <f aca="false">AP343</f>
        <v>0</v>
      </c>
      <c r="AR339" s="56" t="n">
        <f aca="false">AQ343</f>
        <v>0</v>
      </c>
      <c r="AS339" s="56" t="n">
        <f aca="false">AR343</f>
        <v>0</v>
      </c>
      <c r="AT339" s="56" t="n">
        <f aca="false">AS343</f>
        <v>0</v>
      </c>
      <c r="AU339" s="56" t="n">
        <f aca="false">AT343</f>
        <v>0</v>
      </c>
      <c r="AV339" s="56" t="n">
        <f aca="false">AU343</f>
        <v>0</v>
      </c>
      <c r="AW339" s="56" t="n">
        <f aca="false">AV343</f>
        <v>0</v>
      </c>
      <c r="AX339" s="56" t="n">
        <f aca="false">AW343</f>
        <v>0</v>
      </c>
      <c r="AY339" s="56" t="n">
        <f aca="false">AX343</f>
        <v>0</v>
      </c>
      <c r="AZ339" s="56" t="n">
        <f aca="false">AY343</f>
        <v>0</v>
      </c>
      <c r="BA339" s="56" t="n">
        <f aca="false">AZ343</f>
        <v>0</v>
      </c>
      <c r="BB339" s="56" t="n">
        <f aca="false">BA343</f>
        <v>0</v>
      </c>
      <c r="BC339" s="56" t="n">
        <f aca="false">BB343</f>
        <v>0</v>
      </c>
      <c r="BD339" s="56" t="n">
        <f aca="false">BC343</f>
        <v>0</v>
      </c>
      <c r="BE339" s="56" t="n">
        <f aca="false">BD343</f>
        <v>0</v>
      </c>
      <c r="BF339" s="56" t="n">
        <f aca="false">BE343</f>
        <v>0</v>
      </c>
      <c r="BG339" s="56" t="n">
        <f aca="false">BF343</f>
        <v>0</v>
      </c>
      <c r="BH339" s="56" t="n">
        <f aca="false">BG343</f>
        <v>0</v>
      </c>
      <c r="BI339" s="56" t="n">
        <f aca="false">BH343</f>
        <v>0</v>
      </c>
      <c r="BJ339" s="56" t="n">
        <f aca="false">BI343</f>
        <v>0</v>
      </c>
      <c r="BK339" s="56" t="n">
        <f aca="false">BJ343</f>
        <v>0</v>
      </c>
      <c r="BL339" s="56" t="n">
        <f aca="false">BK343</f>
        <v>0</v>
      </c>
      <c r="BM339" s="56" t="n">
        <f aca="false">BL343</f>
        <v>0</v>
      </c>
      <c r="BN339" s="56" t="n">
        <f aca="false">BM343</f>
        <v>0</v>
      </c>
      <c r="BO339" s="56" t="n">
        <f aca="false">BN343</f>
        <v>0</v>
      </c>
      <c r="BP339" s="56" t="n">
        <f aca="false">BO343</f>
        <v>0</v>
      </c>
      <c r="BQ339" s="56" t="n">
        <f aca="false">BP343</f>
        <v>0</v>
      </c>
      <c r="BR339" s="56" t="n">
        <f aca="false">BQ343</f>
        <v>0</v>
      </c>
      <c r="BS339" s="56" t="n">
        <f aca="false">BR343</f>
        <v>0</v>
      </c>
      <c r="BT339" s="56" t="n">
        <f aca="false">BS343</f>
        <v>0</v>
      </c>
      <c r="BU339" s="56" t="n">
        <f aca="false">BT343</f>
        <v>0</v>
      </c>
      <c r="BV339" s="56" t="n">
        <f aca="false">BU343</f>
        <v>0</v>
      </c>
      <c r="BW339" s="56" t="n">
        <f aca="false">BV343</f>
        <v>0</v>
      </c>
      <c r="BX339" s="56" t="n">
        <f aca="false">BW343</f>
        <v>0</v>
      </c>
      <c r="BY339" s="56" t="n">
        <f aca="false">BX343</f>
        <v>0</v>
      </c>
      <c r="BZ339" s="56" t="n">
        <f aca="false">BY343</f>
        <v>0</v>
      </c>
      <c r="CA339" s="56" t="n">
        <f aca="false">BZ343</f>
        <v>0</v>
      </c>
      <c r="CB339" s="56" t="n">
        <f aca="false">CA343</f>
        <v>0</v>
      </c>
      <c r="CC339" s="56" t="n">
        <f aca="false">CB343</f>
        <v>0</v>
      </c>
      <c r="CD339" s="56" t="n">
        <f aca="false">CC343</f>
        <v>0</v>
      </c>
      <c r="CE339" s="56" t="n">
        <f aca="false">CD343</f>
        <v>0</v>
      </c>
      <c r="CF339" s="56" t="n">
        <f aca="false">CE343</f>
        <v>0</v>
      </c>
      <c r="CG339" s="56" t="n">
        <f aca="false">CF343</f>
        <v>0</v>
      </c>
      <c r="CH339" s="56" t="n">
        <f aca="false">CG343</f>
        <v>0</v>
      </c>
      <c r="CI339" s="56" t="n">
        <f aca="false">CH343</f>
        <v>0</v>
      </c>
      <c r="CJ339" s="56" t="n">
        <f aca="false">CI343</f>
        <v>0</v>
      </c>
      <c r="CK339" s="56" t="n">
        <f aca="false">CJ343</f>
        <v>0</v>
      </c>
      <c r="CL339" s="56" t="n">
        <f aca="false">CK343</f>
        <v>0</v>
      </c>
      <c r="CM339" s="56" t="n">
        <f aca="false">CL343</f>
        <v>0</v>
      </c>
      <c r="CN339" s="56" t="n">
        <f aca="false">CM343</f>
        <v>0</v>
      </c>
      <c r="CO339" s="56" t="n">
        <f aca="false">CN343</f>
        <v>0</v>
      </c>
      <c r="CP339" s="56" t="n">
        <f aca="false">CO343</f>
        <v>0</v>
      </c>
      <c r="CQ339" s="56" t="n">
        <f aca="false">CP343</f>
        <v>0</v>
      </c>
      <c r="CR339" s="56" t="n">
        <f aca="false">CQ343</f>
        <v>0</v>
      </c>
      <c r="CS339" s="56" t="n">
        <f aca="false">CR343</f>
        <v>0</v>
      </c>
      <c r="CT339" s="56" t="n">
        <f aca="false">CS343</f>
        <v>0</v>
      </c>
      <c r="CU339" s="56" t="n">
        <f aca="false">CT343</f>
        <v>0</v>
      </c>
      <c r="CV339" s="56" t="n">
        <f aca="false">CU343</f>
        <v>0</v>
      </c>
      <c r="CW339" s="56" t="n">
        <f aca="false">CV343</f>
        <v>0</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0</v>
      </c>
      <c r="H340" s="56" t="n">
        <f aca="false">IF(AND(MOD(4,3)=0,H339&gt;0),H339*Assumptions!$B$59,0)</f>
        <v>0</v>
      </c>
      <c r="I340" s="56" t="n">
        <f aca="false">IF(AND(MOD(5,3)=0,I339&gt;0),I339*Assumptions!$B$59,0)</f>
        <v>0</v>
      </c>
      <c r="J340" s="56" t="n">
        <f aca="false">IF(AND(MOD(6,3)=0,J339&gt;0),J339*Assumptions!$B$59,0)</f>
        <v>0</v>
      </c>
      <c r="K340" s="56" t="n">
        <f aca="false">IF(AND(MOD(7,3)=0,K339&gt;0),K339*Assumptions!$B$59,0)</f>
        <v>0</v>
      </c>
      <c r="L340" s="56" t="n">
        <f aca="false">IF(AND(MOD(8,3)=0,L339&gt;0),L339*Assumptions!$B$59,0)</f>
        <v>0</v>
      </c>
      <c r="M340" s="56" t="n">
        <f aca="false">IF(AND(MOD(9,3)=0,M339&gt;0),M339*Assumptions!$B$59,0)</f>
        <v>0</v>
      </c>
      <c r="N340" s="56" t="n">
        <f aca="false">IF(AND(MOD(10,3)=0,N339&gt;0),N339*Assumptions!$B$59,0)</f>
        <v>0</v>
      </c>
      <c r="O340" s="56" t="n">
        <f aca="false">IF(AND(MOD(11,3)=0,O339&gt;0),O339*Assumptions!$B$59,0)</f>
        <v>0</v>
      </c>
      <c r="P340" s="56" t="n">
        <f aca="false">IF(AND(MOD(12,3)=0,P339&gt;0),P339*Assumptions!$B$59,0)</f>
        <v>0</v>
      </c>
      <c r="Q340" s="56" t="n">
        <f aca="false">IF(AND(MOD(13,3)=0,Q339&gt;0),Q339*Assumptions!$B$59,0)</f>
        <v>0</v>
      </c>
      <c r="R340" s="56" t="n">
        <f aca="false">IF(AND(MOD(14,3)=0,R339&gt;0),R339*Assumptions!$B$59,0)</f>
        <v>0</v>
      </c>
      <c r="S340" s="56" t="n">
        <f aca="false">IF(AND(MOD(15,3)=0,S339&gt;0),S339*Assumptions!$B$59,0)</f>
        <v>0</v>
      </c>
      <c r="T340" s="56" t="n">
        <f aca="false">IF(AND(MOD(16,3)=0,T339&gt;0),T339*Assumptions!$B$59,0)</f>
        <v>0</v>
      </c>
      <c r="U340" s="56" t="n">
        <f aca="false">IF(AND(MOD(17,3)=0,U339&gt;0),U339*Assumptions!$B$59,0)</f>
        <v>0</v>
      </c>
      <c r="V340" s="56" t="n">
        <f aca="false">IF(AND(MOD(18,3)=0,V339&gt;0),V339*Assumptions!$B$59,0)</f>
        <v>0</v>
      </c>
      <c r="W340" s="56" t="n">
        <f aca="false">IF(AND(MOD(19,3)=0,W339&gt;0),W339*Assumptions!$B$59,0)</f>
        <v>0</v>
      </c>
      <c r="X340" s="56" t="n">
        <f aca="false">IF(AND(MOD(20,3)=0,X339&gt;0),X339*Assumptions!$B$59,0)</f>
        <v>0</v>
      </c>
      <c r="Y340" s="56" t="n">
        <f aca="false">IF(AND(MOD(21,3)=0,Y339&gt;0),Y339*Assumptions!$B$59,0)</f>
        <v>0</v>
      </c>
      <c r="Z340" s="56" t="n">
        <f aca="false">IF(AND(MOD(22,3)=0,Z339&gt;0),Z339*Assumptions!$B$59,0)</f>
        <v>0</v>
      </c>
      <c r="AA340" s="56" t="n">
        <f aca="false">IF(AND(MOD(23,3)=0,AA339&gt;0),AA339*Assumptions!$B$59,0)</f>
        <v>0</v>
      </c>
      <c r="AB340" s="56" t="n">
        <f aca="false">IF(AND(MOD(24,3)=0,AB339&gt;0),AB339*Assumptions!$B$59,0)</f>
        <v>0</v>
      </c>
      <c r="AC340" s="56" t="n">
        <f aca="false">IF(AND(MOD(25,3)=0,AC339&gt;0),AC339*Assumptions!$B$59,0)</f>
        <v>0</v>
      </c>
      <c r="AD340" s="56" t="n">
        <f aca="false">IF(AND(MOD(26,3)=0,AD339&gt;0),AD339*Assumptions!$B$59,0)</f>
        <v>0</v>
      </c>
      <c r="AE340" s="56" t="n">
        <f aca="false">IF(AND(MOD(27,3)=0,AE339&gt;0),AE339*Assumptions!$B$59,0)</f>
        <v>0</v>
      </c>
      <c r="AF340" s="56" t="n">
        <f aca="false">IF(AND(MOD(28,3)=0,AF339&gt;0),AF339*Assumptions!$B$59,0)</f>
        <v>0</v>
      </c>
      <c r="AG340" s="56" t="n">
        <f aca="false">IF(AND(MOD(29,3)=0,AG339&gt;0),AG339*Assumptions!$B$59,0)</f>
        <v>0</v>
      </c>
      <c r="AH340" s="56" t="n">
        <f aca="false">IF(AND(MOD(30,3)=0,AH339&gt;0),AH339*Assumptions!$B$59,0)</f>
        <v>0</v>
      </c>
      <c r="AI340" s="56" t="n">
        <f aca="false">IF(AND(MOD(31,3)=0,AI339&gt;0),AI339*Assumptions!$B$59,0)</f>
        <v>0</v>
      </c>
      <c r="AJ340" s="56" t="n">
        <f aca="false">IF(AND(MOD(32,3)=0,AJ339&gt;0),AJ339*Assumptions!$B$59,0)</f>
        <v>0</v>
      </c>
      <c r="AK340" s="56" t="n">
        <f aca="false">IF(AND(MOD(33,3)=0,AK339&gt;0),AK339*Assumptions!$B$59,0)</f>
        <v>0</v>
      </c>
      <c r="AL340" s="56" t="n">
        <f aca="false">IF(AND(MOD(34,3)=0,AL339&gt;0),AL339*Assumptions!$B$59,0)</f>
        <v>0</v>
      </c>
      <c r="AM340" s="56" t="n">
        <f aca="false">IF(AND(MOD(35,3)=0,AM339&gt;0),AM339*Assumptions!$B$59,0)</f>
        <v>0</v>
      </c>
      <c r="AN340" s="56" t="n">
        <f aca="false">IF(AND(MOD(36,3)=0,AN339&gt;0),AN339*Assumptions!$B$59,0)</f>
        <v>0</v>
      </c>
      <c r="AO340" s="56" t="n">
        <f aca="false">IF(AND(MOD(37,3)=0,AO339&gt;0),AO339*Assumptions!$B$59,0)</f>
        <v>0</v>
      </c>
      <c r="AP340" s="56" t="n">
        <f aca="false">IF(AND(MOD(38,3)=0,AP339&gt;0),AP339*Assumptions!$B$59,0)</f>
        <v>0</v>
      </c>
      <c r="AQ340" s="56" t="n">
        <f aca="false">IF(AND(MOD(39,3)=0,AQ339&gt;0),AQ339*Assumptions!$B$59,0)</f>
        <v>0</v>
      </c>
      <c r="AR340" s="56" t="n">
        <f aca="false">IF(AND(MOD(40,3)=0,AR339&gt;0),AR339*Assumptions!$B$59,0)</f>
        <v>0</v>
      </c>
      <c r="AS340" s="56" t="n">
        <f aca="false">IF(AND(MOD(41,3)=0,AS339&gt;0),AS339*Assumptions!$B$59,0)</f>
        <v>0</v>
      </c>
      <c r="AT340" s="56" t="n">
        <f aca="false">IF(AND(MOD(42,3)=0,AT339&gt;0),AT339*Assumptions!$B$59,0)</f>
        <v>0</v>
      </c>
      <c r="AU340" s="56" t="n">
        <f aca="false">IF(AND(MOD(43,3)=0,AU339&gt;0),AU339*Assumptions!$B$59,0)</f>
        <v>0</v>
      </c>
      <c r="AV340" s="56" t="n">
        <f aca="false">IF(AND(MOD(44,3)=0,AV339&gt;0),AV339*Assumptions!$B$59,0)</f>
        <v>0</v>
      </c>
      <c r="AW340" s="56" t="n">
        <f aca="false">IF(AND(MOD(45,3)=0,AW339&gt;0),AW339*Assumptions!$B$59,0)</f>
        <v>0</v>
      </c>
      <c r="AX340" s="56" t="n">
        <f aca="false">IF(AND(MOD(46,3)=0,AX339&gt;0),AX339*Assumptions!$B$59,0)</f>
        <v>0</v>
      </c>
      <c r="AY340" s="56" t="n">
        <f aca="false">IF(AND(MOD(47,3)=0,AY339&gt;0),AY339*Assumptions!$B$59,0)</f>
        <v>0</v>
      </c>
      <c r="AZ340" s="56" t="n">
        <f aca="false">IF(AND(MOD(48,3)=0,AZ339&gt;0),AZ339*Assumptions!$B$59,0)</f>
        <v>0</v>
      </c>
      <c r="BA340" s="56" t="n">
        <f aca="false">IF(AND(MOD(49,3)=0,BA339&gt;0),BA339*Assumptions!$B$59,0)</f>
        <v>0</v>
      </c>
      <c r="BB340" s="56" t="n">
        <f aca="false">IF(AND(MOD(50,3)=0,BB339&gt;0),BB339*Assumptions!$B$59,0)</f>
        <v>0</v>
      </c>
      <c r="BC340" s="56" t="n">
        <f aca="false">IF(AND(MOD(51,3)=0,BC339&gt;0),BC339*Assumptions!$B$59,0)</f>
        <v>0</v>
      </c>
      <c r="BD340" s="56" t="n">
        <f aca="false">IF(AND(MOD(52,3)=0,BD339&gt;0),BD339*Assumptions!$B$59,0)</f>
        <v>0</v>
      </c>
      <c r="BE340" s="56" t="n">
        <f aca="false">IF(AND(MOD(53,3)=0,BE339&gt;0),BE339*Assumptions!$B$59,0)</f>
        <v>0</v>
      </c>
      <c r="BF340" s="56" t="n">
        <f aca="false">IF(AND(MOD(54,3)=0,BF339&gt;0),BF339*Assumptions!$B$59,0)</f>
        <v>0</v>
      </c>
      <c r="BG340" s="56" t="n">
        <f aca="false">IF(AND(MOD(55,3)=0,BG339&gt;0),BG339*Assumptions!$B$59,0)</f>
        <v>0</v>
      </c>
      <c r="BH340" s="56" t="n">
        <f aca="false">IF(AND(MOD(56,3)=0,BH339&gt;0),BH339*Assumptions!$B$59,0)</f>
        <v>0</v>
      </c>
      <c r="BI340" s="56" t="n">
        <f aca="false">IF(AND(MOD(57,3)=0,BI339&gt;0),BI339*Assumptions!$B$59,0)</f>
        <v>0</v>
      </c>
      <c r="BJ340" s="56" t="n">
        <f aca="false">IF(AND(MOD(58,3)=0,BJ339&gt;0),BJ339*Assumptions!$B$59,0)</f>
        <v>0</v>
      </c>
      <c r="BK340" s="56" t="n">
        <f aca="false">IF(AND(MOD(59,3)=0,BK339&gt;0),BK339*Assumptions!$B$59,0)</f>
        <v>0</v>
      </c>
      <c r="BL340" s="56" t="n">
        <f aca="false">IF(AND(MOD(60,3)=0,BL339&gt;0),BL339*Assumptions!$B$59,0)</f>
        <v>0</v>
      </c>
      <c r="BM340" s="56" t="n">
        <f aca="false">IF(AND(MOD(61,3)=0,BM339&gt;0),BM339*Assumptions!$B$59,0)</f>
        <v>0</v>
      </c>
      <c r="BN340" s="56" t="n">
        <f aca="false">IF(AND(MOD(62,3)=0,BN339&gt;0),BN339*Assumptions!$B$59,0)</f>
        <v>0</v>
      </c>
      <c r="BO340" s="56" t="n">
        <f aca="false">IF(AND(MOD(63,3)=0,BO339&gt;0),BO339*Assumptions!$B$59,0)</f>
        <v>0</v>
      </c>
      <c r="BP340" s="56" t="n">
        <f aca="false">IF(AND(MOD(64,3)=0,BP339&gt;0),BP339*Assumptions!$B$59,0)</f>
        <v>0</v>
      </c>
      <c r="BQ340" s="56" t="n">
        <f aca="false">IF(AND(MOD(65,3)=0,BQ339&gt;0),BQ339*Assumptions!$B$59,0)</f>
        <v>0</v>
      </c>
      <c r="BR340" s="56" t="n">
        <f aca="false">IF(AND(MOD(66,3)=0,BR339&gt;0),BR339*Assumptions!$B$59,0)</f>
        <v>0</v>
      </c>
      <c r="BS340" s="56" t="n">
        <f aca="false">IF(AND(MOD(67,3)=0,BS339&gt;0),BS339*Assumptions!$B$59,0)</f>
        <v>0</v>
      </c>
      <c r="BT340" s="56" t="n">
        <f aca="false">IF(AND(MOD(68,3)=0,BT339&gt;0),BT339*Assumptions!$B$59,0)</f>
        <v>0</v>
      </c>
      <c r="BU340" s="56" t="n">
        <f aca="false">IF(AND(MOD(69,3)=0,BU339&gt;0),BU339*Assumptions!$B$59,0)</f>
        <v>0</v>
      </c>
      <c r="BV340" s="56" t="n">
        <f aca="false">IF(AND(MOD(70,3)=0,BV339&gt;0),BV339*Assumptions!$B$59,0)</f>
        <v>0</v>
      </c>
      <c r="BW340" s="56" t="n">
        <f aca="false">IF(AND(MOD(71,3)=0,BW339&gt;0),BW339*Assumptions!$B$59,0)</f>
        <v>0</v>
      </c>
      <c r="BX340" s="56" t="n">
        <f aca="false">IF(AND(MOD(72,3)=0,BX339&gt;0),BX339*Assumptions!$B$59,0)</f>
        <v>0</v>
      </c>
      <c r="BY340" s="56" t="n">
        <f aca="false">IF(AND(MOD(73,3)=0,BY339&gt;0),BY339*Assumptions!$B$59,0)</f>
        <v>0</v>
      </c>
      <c r="BZ340" s="56" t="n">
        <f aca="false">IF(AND(MOD(74,3)=0,BZ339&gt;0),BZ339*Assumptions!$B$59,0)</f>
        <v>0</v>
      </c>
      <c r="CA340" s="56" t="n">
        <f aca="false">IF(AND(MOD(75,3)=0,CA339&gt;0),CA339*Assumptions!$B$59,0)</f>
        <v>0</v>
      </c>
      <c r="CB340" s="56" t="n">
        <f aca="false">IF(AND(MOD(76,3)=0,CB339&gt;0),CB339*Assumptions!$B$59,0)</f>
        <v>0</v>
      </c>
      <c r="CC340" s="56" t="n">
        <f aca="false">IF(AND(MOD(77,3)=0,CC339&gt;0),CC339*Assumptions!$B$59,0)</f>
        <v>0</v>
      </c>
      <c r="CD340" s="56" t="n">
        <f aca="false">IF(AND(MOD(78,3)=0,CD339&gt;0),CD339*Assumptions!$B$59,0)</f>
        <v>0</v>
      </c>
      <c r="CE340" s="56" t="n">
        <f aca="false">IF(AND(MOD(79,3)=0,CE339&gt;0),CE339*Assumptions!$B$59,0)</f>
        <v>0</v>
      </c>
      <c r="CF340" s="56" t="n">
        <f aca="false">IF(AND(MOD(80,3)=0,CF339&gt;0),CF339*Assumptions!$B$59,0)</f>
        <v>0</v>
      </c>
      <c r="CG340" s="56" t="n">
        <f aca="false">IF(AND(MOD(81,3)=0,CG339&gt;0),CG339*Assumptions!$B$59,0)</f>
        <v>0</v>
      </c>
      <c r="CH340" s="56" t="n">
        <f aca="false">IF(AND(MOD(82,3)=0,CH339&gt;0),CH339*Assumptions!$B$59,0)</f>
        <v>0</v>
      </c>
      <c r="CI340" s="56" t="n">
        <f aca="false">IF(AND(MOD(83,3)=0,CI339&gt;0),CI339*Assumptions!$B$59,0)</f>
        <v>0</v>
      </c>
      <c r="CJ340" s="56" t="n">
        <f aca="false">IF(AND(MOD(84,3)=0,CJ339&gt;0),CJ339*Assumptions!$B$59,0)</f>
        <v>0</v>
      </c>
      <c r="CK340" s="56" t="n">
        <f aca="false">IF(AND(MOD(85,3)=0,CK339&gt;0),CK339*Assumptions!$B$59,0)</f>
        <v>0</v>
      </c>
      <c r="CL340" s="56" t="n">
        <f aca="false">IF(AND(MOD(86,3)=0,CL339&gt;0),CL339*Assumptions!$B$59,0)</f>
        <v>0</v>
      </c>
      <c r="CM340" s="56" t="n">
        <f aca="false">IF(AND(MOD(87,3)=0,CM339&gt;0),CM339*Assumptions!$B$59,0)</f>
        <v>0</v>
      </c>
      <c r="CN340" s="56" t="n">
        <f aca="false">IF(AND(MOD(88,3)=0,CN339&gt;0),CN339*Assumptions!$B$59,0)</f>
        <v>0</v>
      </c>
      <c r="CO340" s="56" t="n">
        <f aca="false">IF(AND(MOD(89,3)=0,CO339&gt;0),CO339*Assumptions!$B$59,0)</f>
        <v>0</v>
      </c>
      <c r="CP340" s="56" t="n">
        <f aca="false">IF(AND(MOD(90,3)=0,CP339&gt;0),CP339*Assumptions!$B$59,0)</f>
        <v>0</v>
      </c>
      <c r="CQ340" s="56" t="n">
        <f aca="false">IF(AND(MOD(91,3)=0,CQ339&gt;0),CQ339*Assumptions!$B$59,0)</f>
        <v>0</v>
      </c>
      <c r="CR340" s="56" t="n">
        <f aca="false">IF(AND(MOD(92,3)=0,CR339&gt;0),CR339*Assumptions!$B$59,0)</f>
        <v>0</v>
      </c>
      <c r="CS340" s="56" t="n">
        <f aca="false">IF(AND(MOD(93,3)=0,CS339&gt;0),CS339*Assumptions!$B$59,0)</f>
        <v>0</v>
      </c>
      <c r="CT340" s="56" t="n">
        <f aca="false">IF(AND(MOD(94,3)=0,CT339&gt;0),CT339*Assumptions!$B$59,0)</f>
        <v>0</v>
      </c>
      <c r="CU340" s="56" t="n">
        <f aca="false">IF(AND(MOD(95,3)=0,CU339&gt;0),CU339*Assumptions!$B$59,0)</f>
        <v>0</v>
      </c>
      <c r="CV340" s="56" t="n">
        <f aca="false">IF(AND(MOD(96,3)=0,CV339&gt;0),CV339*Assumptions!$B$59,0)</f>
        <v>0</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-0</v>
      </c>
      <c r="CO342" s="58" t="n">
        <f aca="false">-MIN(CO339+CO340+CO341,MAX(0,CO256-Helpers!CM26))</f>
        <v>-0</v>
      </c>
      <c r="CP342" s="58" t="n">
        <f aca="false">-MIN(CP339+CP340+CP341,MAX(0,CP256-Helpers!CN26))</f>
        <v>-0</v>
      </c>
      <c r="CQ342" s="58" t="n">
        <f aca="false">-MIN(CQ339+CQ340+CQ341,MAX(0,CQ256-Helpers!CO26))</f>
        <v>-0</v>
      </c>
      <c r="CR342" s="58" t="n">
        <f aca="false">-MIN(CR339+CR340+CR341,MAX(0,CR256-Helpers!CP26))</f>
        <v>-0</v>
      </c>
      <c r="CS342" s="58" t="n">
        <f aca="false">-MIN(CS339+CS340+CS341,MAX(0,CS256-Helpers!CQ26))</f>
        <v>-0</v>
      </c>
      <c r="CT342" s="58" t="n">
        <f aca="false">-MIN(CT339+CT340+CT341,MAX(0,CT256-Helpers!CR26))</f>
        <v>-0</v>
      </c>
      <c r="CU342" s="58" t="n">
        <f aca="false">-MIN(CU339+CU340+CU341,MAX(0,CU256-Helpers!CS26))</f>
        <v>-0</v>
      </c>
      <c r="CV342" s="58" t="n">
        <f aca="false">-MIN(CV339+CV340+CV341,MAX(0,CV256-Helpers!CT26))</f>
        <v>-0</v>
      </c>
      <c r="CW342" s="58" t="n">
        <f aca="false">-MIN(CW339+CW340+CW341,MAX(0,CW256-Helpers!CU26))</f>
        <v>-0</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0</v>
      </c>
      <c r="F343" s="54" t="n">
        <f aca="false">MAX(0,F339+F340+F341+F342)</f>
        <v>0</v>
      </c>
      <c r="G343" s="54" t="n">
        <f aca="false">MAX(0,G339+G340+G341+G342)</f>
        <v>0</v>
      </c>
      <c r="H343" s="54" t="n">
        <f aca="false">MAX(0,H339+H340+H341+H342)</f>
        <v>0</v>
      </c>
      <c r="I343" s="54" t="n">
        <f aca="false">MAX(0,I339+I340+I341+I342)</f>
        <v>0</v>
      </c>
      <c r="J343" s="54" t="n">
        <f aca="false">MAX(0,J339+J340+J341+J342)</f>
        <v>0</v>
      </c>
      <c r="K343" s="54" t="n">
        <f aca="false">MAX(0,K339+K340+K341+K342)</f>
        <v>0</v>
      </c>
      <c r="L343" s="54" t="n">
        <f aca="false">MAX(0,L339+L340+L341+L342)</f>
        <v>0</v>
      </c>
      <c r="M343" s="54" t="n">
        <f aca="false">MAX(0,M339+M340+M341+M342)</f>
        <v>0</v>
      </c>
      <c r="N343" s="54" t="n">
        <f aca="false">MAX(0,N339+N340+N341+N342)</f>
        <v>0</v>
      </c>
      <c r="O343" s="54" t="n">
        <f aca="false">MAX(0,O339+O340+O341+O342)</f>
        <v>0</v>
      </c>
      <c r="P343" s="54" t="n">
        <f aca="false">MAX(0,P339+P340+P341+P342)</f>
        <v>0</v>
      </c>
      <c r="Q343" s="54" t="n">
        <f aca="false">MAX(0,Q339+Q340+Q341+Q342)</f>
        <v>0</v>
      </c>
      <c r="R343" s="54" t="n">
        <f aca="false">MAX(0,R339+R340+R341+R342)</f>
        <v>0</v>
      </c>
      <c r="S343" s="54" t="n">
        <f aca="false">MAX(0,S339+S340+S341+S342)</f>
        <v>0</v>
      </c>
      <c r="T343" s="54" t="n">
        <f aca="false">MAX(0,T339+T340+T341+T342)</f>
        <v>0</v>
      </c>
      <c r="U343" s="54" t="n">
        <f aca="false">MAX(0,U339+U340+U341+U342)</f>
        <v>0</v>
      </c>
      <c r="V343" s="54" t="n">
        <f aca="false">MAX(0,V339+V340+V341+V342)</f>
        <v>0</v>
      </c>
      <c r="W343" s="54" t="n">
        <f aca="false">MAX(0,W339+W340+W341+W342)</f>
        <v>0</v>
      </c>
      <c r="X343" s="54" t="n">
        <f aca="false">MAX(0,X339+X340+X341+X342)</f>
        <v>0</v>
      </c>
      <c r="Y343" s="54" t="n">
        <f aca="false">MAX(0,Y339+Y340+Y341+Y342)</f>
        <v>0</v>
      </c>
      <c r="Z343" s="54" t="n">
        <f aca="false">MAX(0,Z339+Z340+Z341+Z342)</f>
        <v>0</v>
      </c>
      <c r="AA343" s="54" t="n">
        <f aca="false">MAX(0,AA339+AA340+AA341+AA342)</f>
        <v>0</v>
      </c>
      <c r="AB343" s="54" t="n">
        <f aca="false">MAX(0,AB339+AB340+AB341+AB342)</f>
        <v>0</v>
      </c>
      <c r="AC343" s="54" t="n">
        <f aca="false">MAX(0,AC339+AC340+AC341+AC342)</f>
        <v>0</v>
      </c>
      <c r="AD343" s="54" t="n">
        <f aca="false">MAX(0,AD339+AD340+AD341+AD342)</f>
        <v>0</v>
      </c>
      <c r="AE343" s="54" t="n">
        <f aca="false">MAX(0,AE339+AE340+AE341+AE342)</f>
        <v>0</v>
      </c>
      <c r="AF343" s="54" t="n">
        <f aca="false">MAX(0,AF339+AF340+AF341+AF342)</f>
        <v>0</v>
      </c>
      <c r="AG343" s="54" t="n">
        <f aca="false">MAX(0,AG339+AG340+AG341+AG342)</f>
        <v>0</v>
      </c>
      <c r="AH343" s="54" t="n">
        <f aca="false">MAX(0,AH339+AH340+AH341+AH342)</f>
        <v>0</v>
      </c>
      <c r="AI343" s="54" t="n">
        <f aca="false">MAX(0,AI339+AI340+AI341+AI342)</f>
        <v>0</v>
      </c>
      <c r="AJ343" s="54" t="n">
        <f aca="false">MAX(0,AJ339+AJ340+AJ341+AJ342)</f>
        <v>0</v>
      </c>
      <c r="AK343" s="54" t="n">
        <f aca="false">MAX(0,AK339+AK340+AK341+AK342)</f>
        <v>0</v>
      </c>
      <c r="AL343" s="54" t="n">
        <f aca="false">MAX(0,AL339+AL340+AL341+AL342)</f>
        <v>0</v>
      </c>
      <c r="AM343" s="54" t="n">
        <f aca="false">MAX(0,AM339+AM340+AM341+AM342)</f>
        <v>0</v>
      </c>
      <c r="AN343" s="54" t="n">
        <f aca="false">MAX(0,AN339+AN340+AN341+AN342)</f>
        <v>0</v>
      </c>
      <c r="AO343" s="54" t="n">
        <f aca="false">MAX(0,AO339+AO340+AO341+AO342)</f>
        <v>0</v>
      </c>
      <c r="AP343" s="54" t="n">
        <f aca="false">MAX(0,AP339+AP340+AP341+AP342)</f>
        <v>0</v>
      </c>
      <c r="AQ343" s="54" t="n">
        <f aca="false">MAX(0,AQ339+AQ340+AQ341+AQ342)</f>
        <v>0</v>
      </c>
      <c r="AR343" s="54" t="n">
        <f aca="false">MAX(0,AR339+AR340+AR341+AR342)</f>
        <v>0</v>
      </c>
      <c r="AS343" s="54" t="n">
        <f aca="false">MAX(0,AS339+AS340+AS341+AS342)</f>
        <v>0</v>
      </c>
      <c r="AT343" s="54" t="n">
        <f aca="false">MAX(0,AT339+AT340+AT341+AT342)</f>
        <v>0</v>
      </c>
      <c r="AU343" s="54" t="n">
        <f aca="false">MAX(0,AU339+AU340+AU341+AU342)</f>
        <v>0</v>
      </c>
      <c r="AV343" s="54" t="n">
        <f aca="false">MAX(0,AV339+AV340+AV341+AV342)</f>
        <v>0</v>
      </c>
      <c r="AW343" s="54" t="n">
        <f aca="false">MAX(0,AW339+AW340+AW341+AW342)</f>
        <v>0</v>
      </c>
      <c r="AX343" s="54" t="n">
        <f aca="false">MAX(0,AX339+AX340+AX341+AX342)</f>
        <v>0</v>
      </c>
      <c r="AY343" s="54" t="n">
        <f aca="false">MAX(0,AY339+AY340+AY341+AY342)</f>
        <v>0</v>
      </c>
      <c r="AZ343" s="54" t="n">
        <f aca="false">MAX(0,AZ339+AZ340+AZ341+AZ342)</f>
        <v>0</v>
      </c>
      <c r="BA343" s="54" t="n">
        <f aca="false">MAX(0,BA339+BA340+BA341+BA342)</f>
        <v>0</v>
      </c>
      <c r="BB343" s="54" t="n">
        <f aca="false">MAX(0,BB339+BB340+BB341+BB342)</f>
        <v>0</v>
      </c>
      <c r="BC343" s="54" t="n">
        <f aca="false">MAX(0,BC339+BC340+BC341+BC342)</f>
        <v>0</v>
      </c>
      <c r="BD343" s="54" t="n">
        <f aca="false">MAX(0,BD339+BD340+BD341+BD342)</f>
        <v>0</v>
      </c>
      <c r="BE343" s="54" t="n">
        <f aca="false">MAX(0,BE339+BE340+BE341+BE342)</f>
        <v>0</v>
      </c>
      <c r="BF343" s="54" t="n">
        <f aca="false">MAX(0,BF339+BF340+BF341+BF342)</f>
        <v>0</v>
      </c>
      <c r="BG343" s="54" t="n">
        <f aca="false">MAX(0,BG339+BG340+BG341+BG342)</f>
        <v>0</v>
      </c>
      <c r="BH343" s="54" t="n">
        <f aca="false">MAX(0,BH339+BH340+BH341+BH342)</f>
        <v>0</v>
      </c>
      <c r="BI343" s="54" t="n">
        <f aca="false">MAX(0,BI339+BI340+BI341+BI342)</f>
        <v>0</v>
      </c>
      <c r="BJ343" s="54" t="n">
        <f aca="false">MAX(0,BJ339+BJ340+BJ341+BJ342)</f>
        <v>0</v>
      </c>
      <c r="BK343" s="54" t="n">
        <f aca="false">MAX(0,BK339+BK340+BK341+BK342)</f>
        <v>0</v>
      </c>
      <c r="BL343" s="54" t="n">
        <f aca="false">MAX(0,BL339+BL340+BL341+BL342)</f>
        <v>0</v>
      </c>
      <c r="BM343" s="54" t="n">
        <f aca="false">MAX(0,BM339+BM340+BM341+BM342)</f>
        <v>0</v>
      </c>
      <c r="BN343" s="54" t="n">
        <f aca="false">MAX(0,BN339+BN340+BN341+BN342)</f>
        <v>0</v>
      </c>
      <c r="BO343" s="54" t="n">
        <f aca="false">MAX(0,BO339+BO340+BO341+BO342)</f>
        <v>0</v>
      </c>
      <c r="BP343" s="54" t="n">
        <f aca="false">MAX(0,BP339+BP340+BP341+BP342)</f>
        <v>0</v>
      </c>
      <c r="BQ343" s="54" t="n">
        <f aca="false">MAX(0,BQ339+BQ340+BQ341+BQ342)</f>
        <v>0</v>
      </c>
      <c r="BR343" s="54" t="n">
        <f aca="false">MAX(0,BR339+BR340+BR341+BR342)</f>
        <v>0</v>
      </c>
      <c r="BS343" s="54" t="n">
        <f aca="false">MAX(0,BS339+BS340+BS341+BS342)</f>
        <v>0</v>
      </c>
      <c r="BT343" s="54" t="n">
        <f aca="false">MAX(0,BT339+BT340+BT341+BT342)</f>
        <v>0</v>
      </c>
      <c r="BU343" s="54" t="n">
        <f aca="false">MAX(0,BU339+BU340+BU341+BU342)</f>
        <v>0</v>
      </c>
      <c r="BV343" s="54" t="n">
        <f aca="false">MAX(0,BV339+BV340+BV341+BV342)</f>
        <v>0</v>
      </c>
      <c r="BW343" s="54" t="n">
        <f aca="false">MAX(0,BW339+BW340+BW341+BW342)</f>
        <v>0</v>
      </c>
      <c r="BX343" s="54" t="n">
        <f aca="false">MAX(0,BX339+BX340+BX341+BX342)</f>
        <v>0</v>
      </c>
      <c r="BY343" s="54" t="n">
        <f aca="false">MAX(0,BY339+BY340+BY341+BY342)</f>
        <v>0</v>
      </c>
      <c r="BZ343" s="54" t="n">
        <f aca="false">MAX(0,BZ339+BZ340+BZ341+BZ342)</f>
        <v>0</v>
      </c>
      <c r="CA343" s="54" t="n">
        <f aca="false">MAX(0,CA339+CA340+CA341+CA342)</f>
        <v>0</v>
      </c>
      <c r="CB343" s="54" t="n">
        <f aca="false">MAX(0,CB339+CB340+CB341+CB342)</f>
        <v>0</v>
      </c>
      <c r="CC343" s="54" t="n">
        <f aca="false">MAX(0,CC339+CC340+CC341+CC342)</f>
        <v>0</v>
      </c>
      <c r="CD343" s="54" t="n">
        <f aca="false">MAX(0,CD339+CD340+CD341+CD342)</f>
        <v>0</v>
      </c>
      <c r="CE343" s="54" t="n">
        <f aca="false">MAX(0,CE339+CE340+CE341+CE342)</f>
        <v>0</v>
      </c>
      <c r="CF343" s="54" t="n">
        <f aca="false">MAX(0,CF339+CF340+CF341+CF342)</f>
        <v>0</v>
      </c>
      <c r="CG343" s="54" t="n">
        <f aca="false">MAX(0,CG339+CG340+CG341+CG342)</f>
        <v>0</v>
      </c>
      <c r="CH343" s="54" t="n">
        <f aca="false">MAX(0,CH339+CH340+CH341+CH342)</f>
        <v>0</v>
      </c>
      <c r="CI343" s="54" t="n">
        <f aca="false">MAX(0,CI339+CI340+CI341+CI342)</f>
        <v>0</v>
      </c>
      <c r="CJ343" s="54" t="n">
        <f aca="false">MAX(0,CJ339+CJ340+CJ341+CJ342)</f>
        <v>0</v>
      </c>
      <c r="CK343" s="54" t="n">
        <f aca="false">MAX(0,CK339+CK340+CK341+CK342)</f>
        <v>0</v>
      </c>
      <c r="CL343" s="54" t="n">
        <f aca="false">MAX(0,CL339+CL340+CL341+CL342)</f>
        <v>0</v>
      </c>
      <c r="CM343" s="54" t="n">
        <f aca="false">MAX(0,CM339+CM340+CM341+CM342)</f>
        <v>0</v>
      </c>
      <c r="CN343" s="54" t="n">
        <f aca="false">MAX(0,CN339+CN340+CN341+CN342)</f>
        <v>0</v>
      </c>
      <c r="CO343" s="54" t="n">
        <f aca="false">MAX(0,CO339+CO340+CO341+CO342)</f>
        <v>0</v>
      </c>
      <c r="CP343" s="54" t="n">
        <f aca="false">MAX(0,CP339+CP340+CP341+CP342)</f>
        <v>0</v>
      </c>
      <c r="CQ343" s="54" t="n">
        <f aca="false">MAX(0,CQ339+CQ340+CQ341+CQ342)</f>
        <v>0</v>
      </c>
      <c r="CR343" s="54" t="n">
        <f aca="false">MAX(0,CR339+CR340+CR341+CR342)</f>
        <v>0</v>
      </c>
      <c r="CS343" s="54" t="n">
        <f aca="false">MAX(0,CS339+CS340+CS341+CS342)</f>
        <v>0</v>
      </c>
      <c r="CT343" s="54" t="n">
        <f aca="false">MAX(0,CT339+CT340+CT341+CT342)</f>
        <v>0</v>
      </c>
      <c r="CU343" s="54" t="n">
        <f aca="false">MAX(0,CU339+CU340+CU341+CU342)</f>
        <v>0</v>
      </c>
      <c r="CV343" s="54" t="n">
        <f aca="false">MAX(0,CV339+CV340+CV341+CV342)</f>
        <v>0</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0</v>
      </c>
      <c r="AF358" s="13" t="n">
        <f aca="false">Helpers!AD15</f>
        <v>0</v>
      </c>
      <c r="AG358" s="13" t="n">
        <f aca="false">Helpers!AE15</f>
        <v>0</v>
      </c>
      <c r="AH358" s="13" t="n">
        <f aca="false">Helpers!AF15</f>
        <v>0</v>
      </c>
      <c r="AI358" s="13" t="n">
        <f aca="false">Helpers!AG15</f>
        <v>0</v>
      </c>
      <c r="AJ358" s="13" t="n">
        <f aca="false">Helpers!AH15</f>
        <v>0</v>
      </c>
      <c r="AK358" s="13" t="n">
        <f aca="false">Helpers!AI15</f>
        <v>0</v>
      </c>
      <c r="AL358" s="13" t="n">
        <f aca="false">Helpers!AJ15</f>
        <v>0</v>
      </c>
      <c r="AM358" s="13" t="n">
        <f aca="false">Helpers!AK15</f>
        <v>0</v>
      </c>
      <c r="AN358" s="13" t="n">
        <f aca="false">Helpers!AL15</f>
        <v>0</v>
      </c>
      <c r="AO358" s="13" t="n">
        <f aca="false">Helpers!AM15</f>
        <v>0</v>
      </c>
      <c r="AP358" s="13" t="n">
        <f aca="false">Helpers!AN15</f>
        <v>0</v>
      </c>
      <c r="AQ358" s="13" t="n">
        <f aca="false">Helpers!AO15</f>
        <v>0</v>
      </c>
      <c r="AR358" s="13" t="n">
        <f aca="false">Helpers!AP15</f>
        <v>0</v>
      </c>
      <c r="AS358" s="13" t="n">
        <f aca="false">Helpers!AQ15</f>
        <v>0</v>
      </c>
      <c r="AT358" s="13" t="n">
        <f aca="false">Helpers!AR15</f>
        <v>0</v>
      </c>
      <c r="AU358" s="13" t="n">
        <f aca="false">Helpers!AS15</f>
        <v>0</v>
      </c>
      <c r="AV358" s="13" t="n">
        <f aca="false">Helpers!AT15</f>
        <v>0</v>
      </c>
      <c r="AW358" s="13" t="n">
        <f aca="false">Helpers!AU15</f>
        <v>0</v>
      </c>
      <c r="AX358" s="13" t="n">
        <f aca="false">Helpers!AV15</f>
        <v>0</v>
      </c>
      <c r="AY358" s="13" t="n">
        <f aca="false">Helpers!AW15</f>
        <v>0</v>
      </c>
      <c r="AZ358" s="13" t="n">
        <f aca="false">Helpers!AX15</f>
        <v>0</v>
      </c>
      <c r="BA358" s="13" t="n">
        <f aca="false">Helpers!AY15</f>
        <v>0</v>
      </c>
      <c r="BB358" s="13" t="n">
        <f aca="false">Helpers!AZ15</f>
        <v>0</v>
      </c>
      <c r="BC358" s="13" t="n">
        <f aca="false">Helpers!BA15</f>
        <v>0</v>
      </c>
      <c r="BD358" s="13" t="n">
        <f aca="false">Helpers!BB15</f>
        <v>0</v>
      </c>
      <c r="BE358" s="13" t="n">
        <f aca="false">Helpers!BC15</f>
        <v>0</v>
      </c>
      <c r="BF358" s="13" t="n">
        <f aca="false">Helpers!BD15</f>
        <v>0</v>
      </c>
      <c r="BG358" s="13" t="n">
        <f aca="false">Helpers!BE15</f>
        <v>0</v>
      </c>
      <c r="BH358" s="13" t="n">
        <f aca="false">Helpers!BF15</f>
        <v>0</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77189993.1819724</v>
      </c>
      <c r="R359" s="30" t="n">
        <f aca="false">SUM(R351:R358)+R360</f>
        <v>72659481.0845662</v>
      </c>
      <c r="S359" s="30" t="n">
        <f aca="false">SUM(S351:S358)+S360</f>
        <v>112297974.24353</v>
      </c>
      <c r="T359" s="30" t="n">
        <f aca="false">SUM(T351:T358)+T360</f>
        <v>105858004.711346</v>
      </c>
      <c r="U359" s="30" t="n">
        <f aca="false">SUM(U351:U358)+U360</f>
        <v>100141909.911916</v>
      </c>
      <c r="V359" s="30" t="n">
        <f aca="false">SUM(V351:V358)+V360</f>
        <v>93115291.275657</v>
      </c>
      <c r="W359" s="30" t="n">
        <f aca="false">SUM(W351:W358)+W360</f>
        <v>87248224.3217229</v>
      </c>
      <c r="X359" s="30" t="n">
        <f aca="false">SUM(X351:X358)+X360</f>
        <v>79930647.985588</v>
      </c>
      <c r="Y359" s="30" t="n">
        <f aca="false">SUM(Y351:Y358)+Y360</f>
        <v>74016619.84339</v>
      </c>
      <c r="Z359" s="30" t="n">
        <f aca="false">SUM(Z351:Z358)+Z360</f>
        <v>67149404.1711135</v>
      </c>
      <c r="AA359" s="30" t="n">
        <f aca="false">SUM(AA351:AA358)+AA360</f>
        <v>60882940.0529335</v>
      </c>
      <c r="AB359" s="30" t="n">
        <f aca="false">SUM(AB351:AB358)+AB360</f>
        <v>51526654.72656</v>
      </c>
      <c r="AC359" s="30" t="n">
        <f aca="false">SUM(AC351:AC358)+AC360</f>
        <v>47768093.07512</v>
      </c>
      <c r="AD359" s="30" t="n">
        <f aca="false">SUM(AD351:AD358)+AD360</f>
        <v>43884869.336765</v>
      </c>
      <c r="AE359" s="30" t="n">
        <f aca="false">SUM(AE351:AE358)+AE360</f>
        <v>40150142.13637</v>
      </c>
      <c r="AF359" s="30" t="n">
        <f aca="false">SUM(AF351:AF358)+AF360</f>
        <v>36666097.63336</v>
      </c>
      <c r="AG359" s="30" t="n">
        <f aca="false">SUM(AG351:AG358)+AG360</f>
        <v>32112558.27646</v>
      </c>
      <c r="AH359" s="30" t="n">
        <f aca="false">SUM(AH351:AH358)+AH360</f>
        <v>27736880.61956</v>
      </c>
      <c r="AI359" s="30" t="n">
        <f aca="false">SUM(AI351:AI358)+AI360</f>
        <v>23433159.97655</v>
      </c>
      <c r="AJ359" s="30" t="n">
        <f aca="false">SUM(AJ351:AJ358)+AJ360</f>
        <v>20189659.33654</v>
      </c>
      <c r="AK359" s="30" t="n">
        <f aca="false">SUM(AK351:AK358)+AK360</f>
        <v>17213731.86939</v>
      </c>
      <c r="AL359" s="30" t="n">
        <f aca="false">SUM(AL351:AL358)+AL360</f>
        <v>14195605.80416</v>
      </c>
      <c r="AM359" s="30" t="n">
        <f aca="false">SUM(AM351:AM358)+AM360</f>
        <v>11170452.74172</v>
      </c>
      <c r="AN359" s="30" t="n">
        <f aca="false">SUM(AN351:AN358)+AN360</f>
        <v>9151447.09059</v>
      </c>
      <c r="AO359" s="30" t="n">
        <f aca="false">SUM(AO351:AO358)+AO360</f>
        <v>7578336.29955</v>
      </c>
      <c r="AP359" s="30" t="n">
        <f aca="false">SUM(AP351:AP358)+AP360</f>
        <v>6126087.78441</v>
      </c>
      <c r="AQ359" s="30" t="n">
        <f aca="false">SUM(AQ351:AQ358)+AQ360</f>
        <v>4798730.2877</v>
      </c>
      <c r="AR359" s="30" t="n">
        <f aca="false">SUM(AR351:AR358)+AR360</f>
        <v>3597576.54575</v>
      </c>
      <c r="AS359" s="30" t="n">
        <f aca="false">SUM(AS351:AS358)+AS360</f>
        <v>2521449.62254</v>
      </c>
      <c r="AT359" s="30" t="n">
        <f aca="false">SUM(AT351:AT358)+AT360</f>
        <v>1566909.24355</v>
      </c>
      <c r="AU359" s="30" t="n">
        <f aca="false">SUM(AU351:AU358)+AU360</f>
        <v>728659.196690001</v>
      </c>
      <c r="AV359" s="30" t="n">
        <f aca="false">SUM(AV351:AV358)+AV360</f>
        <v>-181.067079995155</v>
      </c>
      <c r="AW359" s="30" t="n">
        <f aca="false">SUM(AW351:AW358)+AW360</f>
        <v>0</v>
      </c>
      <c r="AX359" s="30" t="n">
        <f aca="false">SUM(AX351:AX358)+AX360</f>
        <v>0</v>
      </c>
      <c r="AY359" s="30" t="n">
        <f aca="false">SUM(AY351:AY358)+AY360</f>
        <v>0</v>
      </c>
      <c r="AZ359" s="30" t="n">
        <f aca="false">SUM(AZ351:AZ358)+AZ360</f>
        <v>0</v>
      </c>
      <c r="BA359" s="30" t="n">
        <f aca="false">SUM(BA351:BA358)+BA360</f>
        <v>0</v>
      </c>
      <c r="BB359" s="30" t="n">
        <f aca="false">SUM(BB351:BB358)+BB360</f>
        <v>0</v>
      </c>
      <c r="BC359" s="30" t="n">
        <f aca="false">SUM(BC351:BC358)+BC360</f>
        <v>0</v>
      </c>
      <c r="BD359" s="30" t="n">
        <f aca="false">SUM(BD351:BD358)+BD360</f>
        <v>0</v>
      </c>
      <c r="BE359" s="30" t="n">
        <f aca="false">SUM(BE351:BE358)+BE360</f>
        <v>0</v>
      </c>
      <c r="BF359" s="30" t="n">
        <f aca="false">SUM(BF351:BF358)+BF360</f>
        <v>0</v>
      </c>
      <c r="BG359" s="30" t="n">
        <f aca="false">SUM(BG351:BG358)+BG360</f>
        <v>0</v>
      </c>
      <c r="BH359" s="30" t="n">
        <f aca="false">SUM(BH351:BH358)+BH360</f>
        <v>0</v>
      </c>
      <c r="BI359" s="30" t="n">
        <f aca="false">SUM(BI351:BI358)+BI360</f>
        <v>0</v>
      </c>
      <c r="BJ359" s="30" t="n">
        <f aca="false">SUM(BJ351:BJ358)+BJ360</f>
        <v>0</v>
      </c>
      <c r="BK359" s="30" t="n">
        <f aca="false">SUM(BK351:BK358)+BK360</f>
        <v>0</v>
      </c>
      <c r="BL359" s="30" t="n">
        <f aca="false">SUM(BL351:BL358)+BL360</f>
        <v>0</v>
      </c>
      <c r="BM359" s="30" t="n">
        <f aca="false">SUM(BM351:BM358)+BM360</f>
        <v>0</v>
      </c>
      <c r="BN359" s="30" t="n">
        <f aca="false">SUM(BN351:BN358)+BN360</f>
        <v>0</v>
      </c>
      <c r="BO359" s="30" t="n">
        <f aca="false">SUM(BO351:BO358)+BO360</f>
        <v>0</v>
      </c>
      <c r="BP359" s="30" t="n">
        <f aca="false">SUM(BP351:BP358)+BP360</f>
        <v>0</v>
      </c>
      <c r="BQ359" s="30" t="n">
        <f aca="false">SUM(BQ351:BQ358)+BQ360</f>
        <v>0</v>
      </c>
      <c r="BR359" s="30" t="n">
        <f aca="false">SUM(BR351:BR358)+BR360</f>
        <v>0</v>
      </c>
      <c r="BS359" s="30" t="n">
        <f aca="false">SUM(BS351:BS358)+BS360</f>
        <v>0</v>
      </c>
      <c r="BT359" s="30" t="n">
        <f aca="false">SUM(BT351:BT358)+BT360</f>
        <v>0</v>
      </c>
      <c r="BU359" s="30" t="n">
        <f aca="false">SUM(BU351:BU358)+BU360</f>
        <v>0</v>
      </c>
      <c r="BV359" s="30" t="n">
        <f aca="false">SUM(BV351:BV358)+BV360</f>
        <v>0</v>
      </c>
      <c r="BW359" s="30" t="n">
        <f aca="false">SUM(BW351:BW358)+BW360</f>
        <v>0</v>
      </c>
      <c r="BX359" s="30" t="n">
        <f aca="false">SUM(BX351:BX358)+BX360</f>
        <v>0</v>
      </c>
      <c r="BY359" s="30" t="n">
        <f aca="false">SUM(BY351:BY358)+BY360</f>
        <v>0</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1121321.7942407</v>
      </c>
      <c r="L364" s="13" t="n">
        <f aca="false">K372</f>
        <v>1624723.12483538</v>
      </c>
      <c r="M364" s="13" t="n">
        <f aca="false">L372</f>
        <v>2077341.84486452</v>
      </c>
      <c r="N364" s="13" t="n">
        <f aca="false">M372</f>
        <v>2169280.11445269</v>
      </c>
      <c r="O364" s="13" t="n">
        <f aca="false">N372</f>
        <v>1282071.57256611</v>
      </c>
      <c r="P364" s="13" t="n">
        <f aca="false">O372</f>
        <v>1638278.79098763</v>
      </c>
      <c r="Q364" s="13" t="n">
        <f aca="false">P372</f>
        <v>1950479.9368901</v>
      </c>
      <c r="R364" s="13" t="n">
        <f aca="false">Q372</f>
        <v>2270295.32703257</v>
      </c>
      <c r="S364" s="13" t="n">
        <f aca="false">R372</f>
        <v>2544190.57067504</v>
      </c>
      <c r="T364" s="13" t="n">
        <f aca="false">S372</f>
        <v>2704731.76311465</v>
      </c>
      <c r="U364" s="13" t="n">
        <f aca="false">T372</f>
        <v>2163049.59544645</v>
      </c>
      <c r="V364" s="13" t="n">
        <f aca="false">U372</f>
        <v>2627369.45494328</v>
      </c>
      <c r="W364" s="13" t="n">
        <f aca="false">V372</f>
        <v>3056453.5699401</v>
      </c>
      <c r="X364" s="13" t="n">
        <f aca="false">W372</f>
        <v>3534589.66843693</v>
      </c>
      <c r="Y364" s="13" t="n">
        <f aca="false">X372</f>
        <v>3802423.17293375</v>
      </c>
      <c r="Z364" s="13" t="n">
        <f aca="false">Y372</f>
        <v>4247174.93843058</v>
      </c>
      <c r="AA364" s="13" t="n">
        <f aca="false">Z372</f>
        <v>4532070.66915818</v>
      </c>
      <c r="AB364" s="13" t="n">
        <f aca="false">AA372</f>
        <v>5065318.1243331</v>
      </c>
      <c r="AC364" s="13" t="n">
        <f aca="false">AB372</f>
        <v>5638036.76494212</v>
      </c>
      <c r="AD364" s="13" t="n">
        <f aca="false">AC372</f>
        <v>5966905.77303045</v>
      </c>
      <c r="AE364" s="13" t="n">
        <f aca="false">AD372</f>
        <v>6093501.35999061</v>
      </c>
      <c r="AF364" s="13" t="n">
        <f aca="false">AE372</f>
        <v>6265807.94875846</v>
      </c>
      <c r="AG364" s="13" t="n">
        <f aca="false">AF372</f>
        <v>6547265.06390904</v>
      </c>
      <c r="AH364" s="13" t="n">
        <f aca="false">AG372</f>
        <v>6922363.66438838</v>
      </c>
      <c r="AI364" s="13" t="n">
        <f aca="false">AH372</f>
        <v>7184603.42046313</v>
      </c>
      <c r="AJ364" s="13" t="n">
        <f aca="false">AI372</f>
        <v>7320073.58169136</v>
      </c>
      <c r="AK364" s="13" t="n">
        <f aca="false">AJ372</f>
        <v>7577104.44750896</v>
      </c>
      <c r="AL364" s="13" t="n">
        <f aca="false">AK372</f>
        <v>7724227.004267</v>
      </c>
      <c r="AM364" s="13" t="n">
        <f aca="false">AL372</f>
        <v>7616299.63871615</v>
      </c>
      <c r="AN364" s="13" t="n">
        <f aca="false">AM372</f>
        <v>7522088.25416531</v>
      </c>
      <c r="AO364" s="13" t="n">
        <f aca="false">AN372</f>
        <v>7702554.64811446</v>
      </c>
      <c r="AP364" s="13" t="n">
        <f aca="false">AO372</f>
        <v>7511718.22205552</v>
      </c>
      <c r="AQ364" s="13" t="n">
        <f aca="false">AP372</f>
        <v>7280953.18599657</v>
      </c>
      <c r="AR364" s="13" t="n">
        <f aca="false">AQ372</f>
        <v>7050188.14993762</v>
      </c>
      <c r="AS364" s="13" t="n">
        <f aca="false">AR372</f>
        <v>6819423.11387867</v>
      </c>
      <c r="AT364" s="13" t="n">
        <f aca="false">AS372</f>
        <v>6588658.07781972</v>
      </c>
      <c r="AU364" s="13" t="n">
        <f aca="false">AT372</f>
        <v>6357893.04176077</v>
      </c>
      <c r="AV364" s="13" t="n">
        <f aca="false">AU372</f>
        <v>6127128.00570183</v>
      </c>
      <c r="AW364" s="13" t="n">
        <f aca="false">AV372</f>
        <v>6155224.2757287</v>
      </c>
      <c r="AX364" s="13" t="n">
        <f aca="false">AW372</f>
        <v>6205573.53522612</v>
      </c>
      <c r="AY364" s="13" t="n">
        <f aca="false">AX372</f>
        <v>5810863.00531281</v>
      </c>
      <c r="AZ364" s="13" t="n">
        <f aca="false">AY372</f>
        <v>5416152.47539951</v>
      </c>
      <c r="BA364" s="13" t="n">
        <f aca="false">AZ372</f>
        <v>5021441.9454862</v>
      </c>
      <c r="BB364" s="13" t="n">
        <f aca="false">BA372</f>
        <v>4619137.20497463</v>
      </c>
      <c r="BC364" s="13" t="n">
        <f aca="false">BB372</f>
        <v>4216832.46446306</v>
      </c>
      <c r="BD364" s="13" t="n">
        <f aca="false">BC372</f>
        <v>3814527.72395149</v>
      </c>
      <c r="BE364" s="13" t="n">
        <f aca="false">BD372</f>
        <v>3412222.98343992</v>
      </c>
      <c r="BF364" s="13" t="n">
        <f aca="false">BE372</f>
        <v>3009918.24292835</v>
      </c>
      <c r="BG364" s="13" t="n">
        <f aca="false">BF372</f>
        <v>2607613.50241678</v>
      </c>
      <c r="BH364" s="13" t="n">
        <f aca="false">BG372</f>
        <v>2205308.76190521</v>
      </c>
      <c r="BI364" s="13" t="n">
        <f aca="false">BH372</f>
        <v>1803004.02139364</v>
      </c>
      <c r="BJ364" s="13" t="n">
        <f aca="false">BI372</f>
        <v>1400699.28088207</v>
      </c>
      <c r="BK364" s="13" t="n">
        <f aca="false">BJ372</f>
        <v>998394.540370501</v>
      </c>
      <c r="BL364" s="13" t="n">
        <f aca="false">BK372</f>
        <v>596089.799858931</v>
      </c>
      <c r="BM364" s="13" t="n">
        <f aca="false">BL372</f>
        <v>193785.05934736</v>
      </c>
      <c r="BN364" s="13" t="n">
        <f aca="false">BM372</f>
        <v>-216265.775974441</v>
      </c>
      <c r="BO364" s="13" t="n">
        <f aca="false">BN372</f>
        <v>-626316.611296243</v>
      </c>
      <c r="BP364" s="13" t="n">
        <f aca="false">BO372</f>
        <v>-1036367.44661804</v>
      </c>
      <c r="BQ364" s="13" t="n">
        <f aca="false">BP372</f>
        <v>-1446418.28193985</v>
      </c>
      <c r="BR364" s="13" t="n">
        <f aca="false">BQ372</f>
        <v>-1856469.11726165</v>
      </c>
      <c r="BS364" s="13" t="n">
        <f aca="false">BR372</f>
        <v>-2266519.95258345</v>
      </c>
      <c r="BT364" s="13" t="n">
        <f aca="false">BS372</f>
        <v>-2676570.78790525</v>
      </c>
      <c r="BU364" s="13" t="n">
        <f aca="false">BT372</f>
        <v>-3086621.62322705</v>
      </c>
      <c r="BV364" s="13" t="n">
        <f aca="false">BU372</f>
        <v>-3496672.45854885</v>
      </c>
      <c r="BW364" s="13" t="n">
        <f aca="false">BV372</f>
        <v>-3906723.29387066</v>
      </c>
      <c r="BX364" s="13" t="n">
        <f aca="false">BW372</f>
        <v>-4316774.12919246</v>
      </c>
      <c r="BY364" s="13" t="n">
        <f aca="false">BX372</f>
        <v>-4726824.96451426</v>
      </c>
      <c r="BZ364" s="13" t="n">
        <f aca="false">BY372</f>
        <v>-5144776.8165425</v>
      </c>
      <c r="CA364" s="13" t="n">
        <f aca="false">BZ372</f>
        <v>-5562728.66857073</v>
      </c>
      <c r="CB364" s="13" t="n">
        <f aca="false">CA372</f>
        <v>-5980680.52059897</v>
      </c>
      <c r="CC364" s="13" t="n">
        <f aca="false">CB372</f>
        <v>-6398632.37262721</v>
      </c>
      <c r="CD364" s="13" t="n">
        <f aca="false">CC372</f>
        <v>-6816584.22465545</v>
      </c>
      <c r="CE364" s="13" t="n">
        <f aca="false">CD372</f>
        <v>-7234536.07668368</v>
      </c>
      <c r="CF364" s="13" t="n">
        <f aca="false">CE372</f>
        <v>-7652487.92871192</v>
      </c>
      <c r="CG364" s="13" t="n">
        <f aca="false">CF372</f>
        <v>-8070439.78074016</v>
      </c>
      <c r="CH364" s="13" t="n">
        <f aca="false">CG372</f>
        <v>-8488391.6327684</v>
      </c>
      <c r="CI364" s="13" t="n">
        <f aca="false">CH372</f>
        <v>-8906343.48479663</v>
      </c>
      <c r="CJ364" s="13" t="n">
        <f aca="false">CI372</f>
        <v>-9324295.33682487</v>
      </c>
      <c r="CK364" s="13" t="n">
        <f aca="false">CJ372</f>
        <v>-9742247.18885311</v>
      </c>
      <c r="CL364" s="13" t="n">
        <f aca="false">CK372</f>
        <v>-10168258.0779219</v>
      </c>
      <c r="CM364" s="13" t="n">
        <f aca="false">CL372</f>
        <v>-10594268.9669907</v>
      </c>
      <c r="CN364" s="13" t="n">
        <f aca="false">CM372</f>
        <v>-11020279.8560595</v>
      </c>
      <c r="CO364" s="13" t="n">
        <f aca="false">CN372</f>
        <v>-11446290.7451283</v>
      </c>
      <c r="CP364" s="13" t="n">
        <f aca="false">CO372</f>
        <v>-11872301.6341971</v>
      </c>
      <c r="CQ364" s="13" t="n">
        <f aca="false">CP372</f>
        <v>-12298312.5232659</v>
      </c>
      <c r="CR364" s="13" t="n">
        <f aca="false">CQ372</f>
        <v>-12724323.4123347</v>
      </c>
      <c r="CS364" s="13" t="n">
        <f aca="false">CR372</f>
        <v>-13150334.3014035</v>
      </c>
      <c r="CT364" s="13" t="n">
        <f aca="false">CS372</f>
        <v>-13576345.1904723</v>
      </c>
      <c r="CU364" s="13" t="n">
        <f aca="false">CT372</f>
        <v>-13962003.2654991</v>
      </c>
      <c r="CV364" s="13" t="n">
        <f aca="false">CU372</f>
        <v>-14347661.3405259</v>
      </c>
      <c r="CW364" s="13" t="n">
        <f aca="false">CV372</f>
        <v>-14733319.4155527</v>
      </c>
      <c r="CX364" s="13" t="n">
        <f aca="false">CW372</f>
        <v>-15126390.65208</v>
      </c>
      <c r="CY364" s="13" t="n">
        <f aca="false">CX372</f>
        <v>-15519461.8886073</v>
      </c>
      <c r="CZ364" s="13" t="n">
        <f aca="false">CY372</f>
        <v>-15912533.1251346</v>
      </c>
      <c r="DA364" s="13" t="n">
        <f aca="false">CZ372</f>
        <v>-16305604.3616619</v>
      </c>
      <c r="DB364" s="13" t="n">
        <f aca="false">DA372</f>
        <v>-16698675.5981892</v>
      </c>
      <c r="DC364" s="13" t="n">
        <f aca="false">DB372</f>
        <v>-17091746.8347165</v>
      </c>
      <c r="DD364" s="13" t="n">
        <f aca="false">DC372</f>
        <v>-17484818.0712439</v>
      </c>
      <c r="DE364" s="13" t="n">
        <f aca="false">DD372</f>
        <v>-17877889.3077712</v>
      </c>
    </row>
    <row r="365" customFormat="false" ht="15" hidden="false" customHeight="true" outlineLevel="0" collapsed="false">
      <c r="A365" s="22" t="s">
        <v>189</v>
      </c>
      <c r="B365" s="13"/>
      <c r="C365" s="13"/>
      <c r="D365" s="13"/>
      <c r="E365" s="13"/>
      <c r="F365" s="13"/>
      <c r="G365" s="13"/>
      <c r="H365" s="13"/>
      <c r="I365" s="13"/>
      <c r="J365" s="13" t="n">
        <f aca="false">J237</f>
        <v>306134.398730297</v>
      </c>
      <c r="K365" s="13" t="n">
        <f aca="false">K237</f>
        <v>384022.760052101</v>
      </c>
      <c r="L365" s="13" t="n">
        <f aca="false">L237</f>
        <v>222829.998449374</v>
      </c>
      <c r="M365" s="13" t="n">
        <f aca="false">M237</f>
        <v>-203669.568231118</v>
      </c>
      <c r="N365" s="13" t="n">
        <f aca="false">N237</f>
        <v>473582.130942704</v>
      </c>
      <c r="O365" s="13" t="n">
        <f aca="false">O237</f>
        <v>299693.857423652</v>
      </c>
      <c r="P365" s="13" t="n">
        <f aca="false">P237</f>
        <v>361392.347423654</v>
      </c>
      <c r="Q365" s="13" t="n">
        <f aca="false">Q237</f>
        <v>298408.023163652</v>
      </c>
      <c r="R365" s="13" t="n">
        <f aca="false">R237</f>
        <v>242489.983163653</v>
      </c>
      <c r="S365" s="13" t="n">
        <f aca="false">S237</f>
        <v>-449695.278444154</v>
      </c>
      <c r="T365" s="13" t="n">
        <f aca="false">T237</f>
        <v>450860.982220871</v>
      </c>
      <c r="U365" s="13" t="n">
        <f aca="false">U237</f>
        <v>345131.692220871</v>
      </c>
      <c r="V365" s="13" t="n">
        <f aca="false">V237</f>
        <v>423710.782220868</v>
      </c>
      <c r="W365" s="13" t="n">
        <f aca="false">W237</f>
        <v>312024.48222087</v>
      </c>
      <c r="X365" s="13" t="n">
        <f aca="false">X237</f>
        <v>486640.02222087</v>
      </c>
      <c r="Y365" s="13" t="n">
        <f aca="false">Y237</f>
        <v>324879.202220869</v>
      </c>
      <c r="Z365" s="13" t="n">
        <f aca="false">Z237</f>
        <v>459447.476451638</v>
      </c>
      <c r="AA365" s="13" t="n">
        <f aca="false">AA237</f>
        <v>525869.914428163</v>
      </c>
      <c r="AB365" s="13" t="n">
        <f aca="false">AB237</f>
        <v>348521.146173815</v>
      </c>
      <c r="AC365" s="13" t="n">
        <f aca="false">AC237</f>
        <v>129058.177669675</v>
      </c>
      <c r="AD365" s="13" t="n">
        <f aca="false">AD237</f>
        <v>179607.63128506</v>
      </c>
      <c r="AE365" s="13" t="n">
        <f aca="false">AE237</f>
        <v>192847.333592753</v>
      </c>
      <c r="AF365" s="13" t="n">
        <f aca="false">AF237</f>
        <v>351779.540311402</v>
      </c>
      <c r="AG365" s="13" t="n">
        <f aca="false">AG237</f>
        <v>287289.163355052</v>
      </c>
      <c r="AH365" s="13" t="n">
        <f aca="false">AH237</f>
        <v>153042.593277767</v>
      </c>
      <c r="AI365" s="13" t="n">
        <f aca="false">AI237</f>
        <v>156491.107893153</v>
      </c>
      <c r="AJ365" s="13" t="n">
        <f aca="false">AJ237</f>
        <v>161862.207460902</v>
      </c>
      <c r="AK365" s="13" t="n">
        <f aca="false">AK237</f>
        <v>-92472.2113479833</v>
      </c>
      <c r="AL365" s="13" t="n">
        <f aca="false">AL237</f>
        <v>-78162.1413479835</v>
      </c>
      <c r="AM365" s="13" t="n">
        <f aca="false">AM237</f>
        <v>-66280.3613479832</v>
      </c>
      <c r="AN365" s="13" t="n">
        <f aca="false">AN237</f>
        <v>-174762.411347983</v>
      </c>
      <c r="AO365" s="13" t="n">
        <f aca="false">AO237</f>
        <v>-222136.325856087</v>
      </c>
      <c r="AP365" s="13" t="n">
        <f aca="false">AP237</f>
        <v>-222136.325856087</v>
      </c>
      <c r="AQ365" s="13" t="n">
        <f aca="false">AQ237</f>
        <v>-222136.325856087</v>
      </c>
      <c r="AR365" s="13" t="n">
        <f aca="false">AR237</f>
        <v>-222136.325856087</v>
      </c>
      <c r="AS365" s="13" t="n">
        <f aca="false">AS237</f>
        <v>-222136.325856087</v>
      </c>
      <c r="AT365" s="13" t="n">
        <f aca="false">AT237</f>
        <v>-222136.325856087</v>
      </c>
      <c r="AU365" s="13" t="n">
        <f aca="false">AU237</f>
        <v>-222136.325856087</v>
      </c>
      <c r="AV365" s="13" t="n">
        <f aca="false">AV237</f>
        <v>50349.2594974125</v>
      </c>
      <c r="AW365" s="13" t="n">
        <f aca="false">AW237</f>
        <v>-394710.529913304</v>
      </c>
      <c r="AX365" s="13" t="n">
        <f aca="false">AX237</f>
        <v>-394710.529913304</v>
      </c>
      <c r="AY365" s="13" t="n">
        <f aca="false">AY237</f>
        <v>-394710.529913304</v>
      </c>
      <c r="AZ365" s="13" t="n">
        <f aca="false">AZ237</f>
        <v>-394710.529913304</v>
      </c>
      <c r="BA365" s="13" t="n">
        <f aca="false">BA237</f>
        <v>-402304.74051157</v>
      </c>
      <c r="BB365" s="13" t="n">
        <f aca="false">BB237</f>
        <v>-402304.74051157</v>
      </c>
      <c r="BC365" s="13" t="n">
        <f aca="false">BC237</f>
        <v>-402304.74051157</v>
      </c>
      <c r="BD365" s="13" t="n">
        <f aca="false">BD237</f>
        <v>-402304.74051157</v>
      </c>
      <c r="BE365" s="13" t="n">
        <f aca="false">BE237</f>
        <v>-402304.74051157</v>
      </c>
      <c r="BF365" s="13" t="n">
        <f aca="false">BF237</f>
        <v>-402304.74051157</v>
      </c>
      <c r="BG365" s="13" t="n">
        <f aca="false">BG237</f>
        <v>-402304.74051157</v>
      </c>
      <c r="BH365" s="13" t="n">
        <f aca="false">BH237</f>
        <v>-402304.74051157</v>
      </c>
      <c r="BI365" s="13" t="n">
        <f aca="false">BI237</f>
        <v>-402304.74051157</v>
      </c>
      <c r="BJ365" s="13" t="n">
        <f aca="false">BJ237</f>
        <v>-402304.74051157</v>
      </c>
      <c r="BK365" s="13" t="n">
        <f aca="false">BK237</f>
        <v>-402304.74051157</v>
      </c>
      <c r="BL365" s="13" t="n">
        <f aca="false">BL237</f>
        <v>-402304.74051157</v>
      </c>
      <c r="BM365" s="13" t="n">
        <f aca="false">BM237</f>
        <v>-410050.835321802</v>
      </c>
      <c r="BN365" s="13" t="n">
        <f aca="false">BN237</f>
        <v>-410050.835321802</v>
      </c>
      <c r="BO365" s="13" t="n">
        <f aca="false">BO237</f>
        <v>-410050.835321802</v>
      </c>
      <c r="BP365" s="13" t="n">
        <f aca="false">BP237</f>
        <v>-410050.835321802</v>
      </c>
      <c r="BQ365" s="13" t="n">
        <f aca="false">BQ237</f>
        <v>-410050.835321802</v>
      </c>
      <c r="BR365" s="13" t="n">
        <f aca="false">BR237</f>
        <v>-410050.835321802</v>
      </c>
      <c r="BS365" s="13" t="n">
        <f aca="false">BS237</f>
        <v>-410050.835321802</v>
      </c>
      <c r="BT365" s="13" t="n">
        <f aca="false">BT237</f>
        <v>-410050.835321802</v>
      </c>
      <c r="BU365" s="13" t="n">
        <f aca="false">BU237</f>
        <v>-410050.835321802</v>
      </c>
      <c r="BV365" s="13" t="n">
        <f aca="false">BV237</f>
        <v>-410050.835321802</v>
      </c>
      <c r="BW365" s="13" t="n">
        <f aca="false">BW237</f>
        <v>-410050.835321802</v>
      </c>
      <c r="BX365" s="13" t="n">
        <f aca="false">BX237</f>
        <v>-410050.835321802</v>
      </c>
      <c r="BY365" s="13" t="n">
        <f aca="false">BY237</f>
        <v>-417951.852028238</v>
      </c>
      <c r="BZ365" s="13" t="n">
        <f aca="false">BZ237</f>
        <v>-417951.852028238</v>
      </c>
      <c r="CA365" s="13" t="n">
        <f aca="false">CA237</f>
        <v>-417951.852028238</v>
      </c>
      <c r="CB365" s="13" t="n">
        <f aca="false">CB237</f>
        <v>-417951.852028238</v>
      </c>
      <c r="CC365" s="13" t="n">
        <f aca="false">CC237</f>
        <v>-417951.852028238</v>
      </c>
      <c r="CD365" s="13" t="n">
        <f aca="false">CD237</f>
        <v>-417951.852028238</v>
      </c>
      <c r="CE365" s="13" t="n">
        <f aca="false">CE237</f>
        <v>-417951.852028238</v>
      </c>
      <c r="CF365" s="13" t="n">
        <f aca="false">CF237</f>
        <v>-417951.852028238</v>
      </c>
      <c r="CG365" s="13" t="n">
        <f aca="false">CG237</f>
        <v>-417951.852028238</v>
      </c>
      <c r="CH365" s="13" t="n">
        <f aca="false">CH237</f>
        <v>-417951.852028238</v>
      </c>
      <c r="CI365" s="13" t="n">
        <f aca="false">CI237</f>
        <v>-417951.852028238</v>
      </c>
      <c r="CJ365" s="13" t="n">
        <f aca="false">CJ237</f>
        <v>-417951.852028238</v>
      </c>
      <c r="CK365" s="13" t="n">
        <f aca="false">CK237</f>
        <v>-426010.889068802</v>
      </c>
      <c r="CL365" s="13" t="n">
        <f aca="false">CL237</f>
        <v>-426010.889068802</v>
      </c>
      <c r="CM365" s="13" t="n">
        <f aca="false">CM237</f>
        <v>-426010.889068802</v>
      </c>
      <c r="CN365" s="13" t="n">
        <f aca="false">CN237</f>
        <v>-426010.889068802</v>
      </c>
      <c r="CO365" s="13" t="n">
        <f aca="false">CO237</f>
        <v>-426010.889068802</v>
      </c>
      <c r="CP365" s="13" t="n">
        <f aca="false">CP237</f>
        <v>-426010.889068802</v>
      </c>
      <c r="CQ365" s="13" t="n">
        <f aca="false">CQ237</f>
        <v>-426010.889068802</v>
      </c>
      <c r="CR365" s="13" t="n">
        <f aca="false">CR237</f>
        <v>-426010.889068802</v>
      </c>
      <c r="CS365" s="13" t="n">
        <f aca="false">CS237</f>
        <v>-426010.889068802</v>
      </c>
      <c r="CT365" s="13" t="n">
        <f aca="false">CT237</f>
        <v>-385658.075026777</v>
      </c>
      <c r="CU365" s="13" t="n">
        <f aca="false">CU237</f>
        <v>-385658.075026777</v>
      </c>
      <c r="CV365" s="13" t="n">
        <f aca="false">CV237</f>
        <v>-385658.075026777</v>
      </c>
      <c r="CW365" s="13" t="n">
        <f aca="false">CW237</f>
        <v>-393071.236527312</v>
      </c>
      <c r="CX365" s="13" t="n">
        <f aca="false">CX237</f>
        <v>-393071.236527312</v>
      </c>
      <c r="CY365" s="13" t="n">
        <f aca="false">CY237</f>
        <v>-393071.236527312</v>
      </c>
      <c r="CZ365" s="13" t="n">
        <f aca="false">CZ237</f>
        <v>-393071.236527312</v>
      </c>
      <c r="DA365" s="13" t="n">
        <f aca="false">DA237</f>
        <v>-393071.236527312</v>
      </c>
      <c r="DB365" s="13" t="n">
        <f aca="false">DB237</f>
        <v>-393071.236527312</v>
      </c>
      <c r="DC365" s="13" t="n">
        <f aca="false">DC237</f>
        <v>-393071.236527312</v>
      </c>
      <c r="DD365" s="13" t="n">
        <f aca="false">DD237</f>
        <v>-393071.236527312</v>
      </c>
      <c r="DE365" s="13" t="n">
        <f aca="false">DE237</f>
        <v>-393071.236527312</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61527.830000001</v>
      </c>
      <c r="R368" s="13" t="n">
        <f aca="false">Q199-R199-Q197-IF(Q$3&lt;6,0,-SUMPRODUCT('Deal Terms'!$E$4:$E$47*('Deal Terms'!$G$4:$G$47=0),Q$13:Q$56+Q$60:Q$103))</f>
        <v>69359.7599999998</v>
      </c>
      <c r="S368" s="13" t="n">
        <f aca="false">R199-S199-R197-IF(R$3&lt;6,0,-SUMPRODUCT('Deal Terms'!$E$4:$E$47*('Deal Terms'!$G$4:$G$47=0),R$13:R$56+R$60:R$103))</f>
        <v>627011.326607808</v>
      </c>
      <c r="T368" s="13" t="n">
        <f aca="false">S199-T199-S197-IF(S$3&lt;6,0,-SUMPRODUCT('Deal Terms'!$E$4:$E$47*('Deal Terms'!$G$4:$G$47=0),S$13:S$56+S$60:S$103))</f>
        <v>-940637.070665025</v>
      </c>
      <c r="U368" s="13" t="n">
        <f aca="false">T199-U199-T197-IF(T$3&lt;6,0,-SUMPRODUCT('Deal Terms'!$E$4:$E$47*('Deal Terms'!$G$4:$G$47=0),T$13:T$56+T$60:T$103))</f>
        <v>84856.669999999</v>
      </c>
      <c r="V368" s="13" t="n">
        <f aca="false">U199-V199-U197-IF(U$3&lt;6,0,-SUMPRODUCT('Deal Terms'!$E$4:$E$47*('Deal Terms'!$G$4:$G$47=0),U$13:U$56+U$60:U$103))</f>
        <v>-81881.0599999968</v>
      </c>
      <c r="W368" s="13" t="n">
        <f aca="false">V199-W199-V197-IF(V$3&lt;6,0,-SUMPRODUCT('Deal Terms'!$E$4:$E$47*('Deal Terms'!$G$4:$G$47=0),V$13:V$56+V$60:V$103))</f>
        <v>115119.27</v>
      </c>
      <c r="X368" s="13" t="n">
        <f aca="false">W199-X199-W197-IF(W$3&lt;6,0,-SUMPRODUCT('Deal Terms'!$E$4:$E$47*('Deal Terms'!$G$4:$G$47=0),W$13:W$56+W$60:W$103))</f>
        <v>-168830.22</v>
      </c>
      <c r="Y368" s="13" t="n">
        <f aca="false">X199-Y199-X197-IF(X$3&lt;6,0,-SUMPRODUCT('Deal Terms'!$E$4:$E$47*('Deal Terms'!$G$4:$G$47=0),X$13:X$56+X$60:X$103))</f>
        <v>161760.82</v>
      </c>
      <c r="Z368" s="13" t="n">
        <f aca="false">Y199-Z199-Y197-IF(Y$3&lt;6,0,-SUMPRODUCT('Deal Terms'!$E$4:$E$47*('Deal Terms'!$G$4:$G$47=0),Y$13:Y$56+Y$60:Y$103))</f>
        <v>-126346.18</v>
      </c>
      <c r="AA368" s="13" t="n">
        <f aca="false">Z199-AA199-Z197-IF(Z$3&lt;6,0,-SUMPRODUCT('Deal Terms'!$E$4:$E$47*('Deal Terms'!$G$4:$G$47=0),Z$13:Z$56+Z$60:Z$103))</f>
        <v>-29238.6533611398</v>
      </c>
      <c r="AB368" s="13" t="n">
        <f aca="false">AA199-AB199-AA197-IF(AA$3&lt;6,0,-SUMPRODUCT('Deal Terms'!$E$4:$E$47*('Deal Terms'!$G$4:$G$47=0),AA$13:AA$56+AA$60:AA$103))</f>
        <v>186331.722100502</v>
      </c>
      <c r="AC368" s="13" t="n">
        <f aca="false">AB199-AC199-AB197-IF(AB$3&lt;6,0,-SUMPRODUCT('Deal Terms'!$E$4:$E$47*('Deal Terms'!$G$4:$G$47=0),AB$13:AB$56+AB$60:AB$103))</f>
        <v>228725.469243555</v>
      </c>
      <c r="AD368" s="13" t="n">
        <f aca="false">AC199-AD199-AC197-IF(AC$3&lt;6,0,-SUMPRODUCT('Deal Terms'!$E$4:$E$47*('Deal Terms'!$G$4:$G$47=0),AC$13:AC$56+AC$60:AC$103))</f>
        <v>-22949.9100000002</v>
      </c>
      <c r="AE368" s="13" t="n">
        <f aca="false">AD199-AE199-AD197-IF(AD$3&lt;6,0,-SUMPRODUCT('Deal Terms'!$E$4:$E$47*('Deal Terms'!$G$4:$G$47=0),AD$13:AD$56+AD$60:AD$103))</f>
        <v>9067.98999999929</v>
      </c>
      <c r="AF368" s="13" t="n">
        <f aca="false">AE199-AF199-AE197-IF(AE$3&lt;6,0,-SUMPRODUCT('Deal Terms'!$E$4:$E$47*('Deal Terms'!$G$4:$G$47=0),AE$13:AE$56+AE$60:AE$103))</f>
        <v>-158932.20671865</v>
      </c>
      <c r="AG368" s="13" t="n">
        <f aca="false">AF199-AG199-AF197-IF(AF$3&lt;6,0,-SUMPRODUCT('Deal Terms'!$E$4:$E$47*('Deal Terms'!$G$4:$G$47=0),AF$13:AF$56+AF$60:AF$103))</f>
        <v>64490.3769563502</v>
      </c>
      <c r="AH368" s="13" t="n">
        <f aca="false">AG199-AH199-AG197-IF(AG$3&lt;6,0,-SUMPRODUCT('Deal Terms'!$E$4:$E$47*('Deal Terms'!$G$4:$G$47=0),AG$13:AG$56+AG$60:AG$103))</f>
        <v>136693.3229619</v>
      </c>
      <c r="AI368" s="13" t="n">
        <f aca="false">AH199-AI199-AH197-IF(AH$3&lt;6,0,-SUMPRODUCT('Deal Terms'!$E$4:$E$47*('Deal Terms'!$G$4:$G$47=0),AH$13:AH$56+AH$60:AH$103))</f>
        <v>6166.86999999918</v>
      </c>
      <c r="AJ368" s="13" t="n">
        <f aca="false">AI199-AJ199-AI197-IF(AI$3&lt;6,0,-SUMPRODUCT('Deal Terms'!$E$4:$E$47*('Deal Terms'!$G$4:$G$47=0),AI$13:AI$56+AI$60:AI$103))</f>
        <v>-5371.09956774954</v>
      </c>
      <c r="AK368" s="13" t="n">
        <f aca="false">AJ199-AK199-AJ197-IF(AJ$3&lt;6,0,-SUMPRODUCT('Deal Terms'!$E$4:$E$47*('Deal Terms'!$G$4:$G$47=0),AJ$13:AJ$56+AJ$60:AJ$103))</f>
        <v>254334.418808885</v>
      </c>
      <c r="AL368" s="13" t="n">
        <f aca="false">AK199-AL199-AK197-IF(AK$3&lt;6,0,-SUMPRODUCT('Deal Terms'!$E$4:$E$47*('Deal Terms'!$G$4:$G$47=0),AK$13:AK$56+AK$60:AK$103))</f>
        <v>-14310.0699999998</v>
      </c>
      <c r="AM368" s="13" t="n">
        <f aca="false">AL199-AM199-AL197-IF(AL$3&lt;6,0,-SUMPRODUCT('Deal Terms'!$E$4:$E$47*('Deal Terms'!$G$4:$G$47=0),AL$13:AL$56+AL$60:AL$103))</f>
        <v>-11881.7800000003</v>
      </c>
      <c r="AN368" s="13" t="n">
        <f aca="false">AM199-AN199-AM197-IF(AM$3&lt;6,0,-SUMPRODUCT('Deal Terms'!$E$4:$E$47*('Deal Terms'!$G$4:$G$47=0),AM$13:AM$56+AM$60:AM$103))</f>
        <v>108482.05</v>
      </c>
      <c r="AO368" s="13" t="n">
        <f aca="false">AN199-AO199-AN197-IF(AN$3&lt;6,0,-SUMPRODUCT('Deal Terms'!$E$4:$E$47*('Deal Terms'!$G$4:$G$47=0),AN$13:AN$56+AN$60:AN$103))</f>
        <v>39928.6100000001</v>
      </c>
      <c r="AP368" s="13" t="n">
        <f aca="false">AO199-AP199-AO197-IF(AO$3&lt;6,0,-SUMPRODUCT('Deal Terms'!$E$4:$E$47*('Deal Terms'!$G$4:$G$47=0),AO$13:AO$56+AO$60:AO$103))</f>
        <v>0</v>
      </c>
      <c r="AQ368" s="13" t="n">
        <f aca="false">AP199-AQ199-AP197-IF(AP$3&lt;6,0,-SUMPRODUCT('Deal Terms'!$E$4:$E$47*('Deal Terms'!$G$4:$G$47=0),AP$13:AP$56+AP$60:AP$103))</f>
        <v>0</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0</v>
      </c>
      <c r="AU368" s="13" t="n">
        <f aca="false">AT199-AU199-AT197-IF(AT$3&lt;6,0,-SUMPRODUCT('Deal Terms'!$E$4:$E$47*('Deal Terms'!$G$4:$G$47=0),AT$13:AT$56+AT$60:AT$103))</f>
        <v>0</v>
      </c>
      <c r="AV368" s="13" t="n">
        <f aca="false">AU199-AV199-AU197-IF(AU$3&lt;6,0,-SUMPRODUCT('Deal Terms'!$E$4:$E$47*('Deal Terms'!$G$4:$G$47=0),AU$13:AU$56+AU$60:AU$103))</f>
        <v>-272485.5853535</v>
      </c>
      <c r="AW368" s="13" t="n">
        <f aca="false">AV199-AW199-AV197-IF(AV$3&lt;6,0,-SUMPRODUCT('Deal Terms'!$E$4:$E$47*('Deal Terms'!$G$4:$G$47=0),AV$13:AV$56+AV$60:AV$103))</f>
        <v>445059.789410717</v>
      </c>
      <c r="AX368" s="13" t="n">
        <f aca="false">AW199-AX199-AW197-IF(AW$3&lt;6,0,-SUMPRODUCT('Deal Terms'!$E$4:$E$47*('Deal Terms'!$G$4:$G$47=0),AW$13:AW$56+AW$60:AW$103))</f>
        <v>0</v>
      </c>
      <c r="AY368" s="13" t="n">
        <f aca="false">AX199-AY199-AX197-IF(AX$3&lt;6,0,-SUMPRODUCT('Deal Terms'!$E$4:$E$47*('Deal Terms'!$G$4:$G$47=0),AX$13:AX$56+AX$60:AX$103))</f>
        <v>0</v>
      </c>
      <c r="AZ368" s="13" t="n">
        <f aca="false">AY199-AZ199-AY197-IF(AY$3&lt;6,0,-SUMPRODUCT('Deal Terms'!$E$4:$E$47*('Deal Terms'!$G$4:$G$47=0),AY$13:AY$56+AY$60:AY$103))</f>
        <v>0</v>
      </c>
      <c r="BA368" s="13" t="n">
        <f aca="false">AZ199-BA199-AZ197-IF(AZ$3&lt;6,0,-SUMPRODUCT('Deal Terms'!$E$4:$E$47*('Deal Terms'!$G$4:$G$47=0),AZ$13:AZ$56+AZ$60:AZ$103))</f>
        <v>0</v>
      </c>
      <c r="BB368" s="13" t="n">
        <f aca="false">BA199-BB199-BA197-IF(BA$3&lt;6,0,-SUMPRODUCT('Deal Terms'!$E$4:$E$47*('Deal Terms'!$G$4:$G$47=0),BA$13:BA$56+BA$60:BA$103))</f>
        <v>0</v>
      </c>
      <c r="BC368" s="13" t="n">
        <f aca="false">BB199-BC199-BB197-IF(BB$3&lt;6,0,-SUMPRODUCT('Deal Terms'!$E$4:$E$47*('Deal Terms'!$G$4:$G$47=0),BB$13:BB$56+BB$60:BB$103))</f>
        <v>0</v>
      </c>
      <c r="BD368" s="13" t="n">
        <f aca="false">BC199-BD199-BC197-IF(BC$3&lt;6,0,-SUMPRODUCT('Deal Terms'!$E$4:$E$47*('Deal Terms'!$G$4:$G$47=0),BC$13:BC$56+BC$60:BC$103))</f>
        <v>0</v>
      </c>
      <c r="BE368" s="13" t="n">
        <f aca="false">BD199-BE199-BD197-IF(BD$3&lt;6,0,-SUMPRODUCT('Deal Terms'!$E$4:$E$47*('Deal Terms'!$G$4:$G$47=0),BD$13:BD$56+BD$60:BD$103))</f>
        <v>0</v>
      </c>
      <c r="BF368" s="13" t="n">
        <f aca="false">BE199-BF199-BE197-IF(BE$3&lt;6,0,-SUMPRODUCT('Deal Terms'!$E$4:$E$47*('Deal Terms'!$G$4:$G$47=0),BE$13:BE$56+BE$60:BE$103))</f>
        <v>0</v>
      </c>
      <c r="BG368" s="13" t="n">
        <f aca="false">BF199-BG199-BF197-IF(BF$3&lt;6,0,-SUMPRODUCT('Deal Terms'!$E$4:$E$47*('Deal Terms'!$G$4:$G$47=0),BF$13:BF$56+BF$60:BF$103))</f>
        <v>0</v>
      </c>
      <c r="BH368" s="13" t="n">
        <f aca="false">BG199-BH199-BG197-IF(BG$3&lt;6,0,-SUMPRODUCT('Deal Terms'!$E$4:$E$47*('Deal Terms'!$G$4:$G$47=0),BG$13:BG$56+BG$60:BG$103))</f>
        <v>0</v>
      </c>
      <c r="BI368" s="13" t="n">
        <f aca="false">BH199-BI199-BH197-IF(BH$3&lt;6,0,-SUMPRODUCT('Deal Terms'!$E$4:$E$47*('Deal Terms'!$G$4:$G$47=0),BH$13:BH$56+BH$60:BH$103))</f>
        <v>0</v>
      </c>
      <c r="BJ368" s="13" t="n">
        <f aca="false">BI199-BJ199-BI197-IF(BI$3&lt;6,0,-SUMPRODUCT('Deal Terms'!$E$4:$E$47*('Deal Terms'!$G$4:$G$47=0),BI$13:BI$56+BI$60:BI$103))</f>
        <v>0</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0</v>
      </c>
      <c r="BN368" s="13" t="n">
        <f aca="false">BM199-BN199-BM197-IF(BM$3&lt;6,0,-SUMPRODUCT('Deal Terms'!$E$4:$E$47*('Deal Terms'!$G$4:$G$47=0),BM$13:BM$56+BM$60:BM$103))</f>
        <v>0</v>
      </c>
      <c r="BO368" s="13" t="n">
        <f aca="false">BN199-BO199-BN197-IF(BN$3&lt;6,0,-SUMPRODUCT('Deal Terms'!$E$4:$E$47*('Deal Terms'!$G$4:$G$47=0),BN$13:BN$56+BN$60:BN$103))</f>
        <v>0</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0</v>
      </c>
      <c r="BS368" s="13" t="n">
        <f aca="false">BR199-BS199-BR197-IF(BR$3&lt;6,0,-SUMPRODUCT('Deal Terms'!$E$4:$E$47*('Deal Terms'!$G$4:$G$47=0),BR$13:BR$56+BR$60:BR$103))</f>
        <v>0</v>
      </c>
      <c r="BT368" s="13" t="n">
        <f aca="false">BS199-BT199-BS197-IF(BS$3&lt;6,0,-SUMPRODUCT('Deal Terms'!$E$4:$E$47*('Deal Terms'!$G$4:$G$47=0),BS$13:BS$56+BS$60:BS$103))</f>
        <v>0</v>
      </c>
      <c r="BU368" s="13" t="n">
        <f aca="false">BT199-BU199-BT197-IF(BT$3&lt;6,0,-SUMPRODUCT('Deal Terms'!$E$4:$E$47*('Deal Terms'!$G$4:$G$47=0),BT$13:BT$56+BT$60:BT$103))</f>
        <v>0</v>
      </c>
      <c r="BV368" s="13" t="n">
        <f aca="false">BU199-BV199-BU197-IF(BU$3&lt;6,0,-SUMPRODUCT('Deal Terms'!$E$4:$E$47*('Deal Terms'!$G$4:$G$47=0),BU$13:BU$56+BU$60:BU$103))</f>
        <v>0</v>
      </c>
      <c r="BW368" s="13" t="n">
        <f aca="false">BV199-BW199-BV197-IF(BV$3&lt;6,0,-SUMPRODUCT('Deal Terms'!$E$4:$E$47*('Deal Terms'!$G$4:$G$47=0),BV$13:BV$56+BV$60:BV$103))</f>
        <v>0</v>
      </c>
      <c r="BX368" s="13" t="n">
        <f aca="false">BW199-BX199-BW197-IF(BW$3&lt;6,0,-SUMPRODUCT('Deal Terms'!$E$4:$E$47*('Deal Terms'!$G$4:$G$47=0),BW$13:BW$56+BW$60:BW$103))</f>
        <v>0</v>
      </c>
      <c r="BY368" s="13" t="n">
        <f aca="false">BX199-BY199-BX197-IF(BX$3&lt;6,0,-SUMPRODUCT('Deal Terms'!$E$4:$E$47*('Deal Terms'!$G$4:$G$47=0),BX$13:BX$56+BX$60:BX$103))</f>
        <v>0</v>
      </c>
      <c r="BZ368" s="13" t="n">
        <f aca="false">BY199-BZ199-BY197-IF(BY$3&lt;6,0,-SUMPRODUCT('Deal Terms'!$E$4:$E$47*('Deal Terms'!$G$4:$G$47=0),BY$13:BY$56+BY$60:BY$103))</f>
        <v>0</v>
      </c>
      <c r="CA368" s="13" t="n">
        <f aca="false">BZ199-CA199-BZ197-IF(BZ$3&lt;6,0,-SUMPRODUCT('Deal Terms'!$E$4:$E$47*('Deal Terms'!$G$4:$G$47=0),BZ$13:BZ$56+BZ$60:BZ$103))</f>
        <v>0</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-40120.4630211826</v>
      </c>
      <c r="R370" s="13" t="n">
        <f aca="false">-0.05*(R10+R11)</f>
        <v>-37954.4995211826</v>
      </c>
      <c r="S370" s="13" t="n">
        <f aca="false">-0.05*(S10+S11)</f>
        <v>-47202.3392240435</v>
      </c>
      <c r="T370" s="13" t="n">
        <f aca="false">-0.05*(T10+T11)</f>
        <v>-51906.0792240435</v>
      </c>
      <c r="U370" s="13" t="n">
        <f aca="false">-0.05*(U10+U11)</f>
        <v>-46484.0307240435</v>
      </c>
      <c r="V370" s="13" t="n">
        <f aca="false">-0.05*(V10+V11)</f>
        <v>-50198.3992240435</v>
      </c>
      <c r="W370" s="13" t="n">
        <f aca="false">-0.05*(W10+W11)</f>
        <v>-41245.5207240435</v>
      </c>
      <c r="X370" s="13" t="n">
        <f aca="false">-0.05*(X10+X11)</f>
        <v>-49976.2977240435</v>
      </c>
      <c r="Y370" s="13" t="n">
        <f aca="false">-0.05*(Y10+Y11)</f>
        <v>-41888.2567240435</v>
      </c>
      <c r="Z370" s="13" t="n">
        <f aca="false">-0.05*(Z10+Z11)</f>
        <v>-48205.5657240435</v>
      </c>
      <c r="AA370" s="13" t="n">
        <f aca="false">-0.05*(AA10+AA11)</f>
        <v>-49667.4983921005</v>
      </c>
      <c r="AB370" s="13" t="n">
        <f aca="false">-0.05*(AB10+AB11)</f>
        <v>-40350.9122870754</v>
      </c>
      <c r="AC370" s="13" t="n">
        <f aca="false">-0.05*(AC10+AC11)</f>
        <v>-28914.6388248976</v>
      </c>
      <c r="AD370" s="13" t="n">
        <f aca="false">-0.05*(AD10+AD11)</f>
        <v>-30062.1343248976</v>
      </c>
      <c r="AE370" s="13" t="n">
        <f aca="false">-0.05*(AE10+AE11)</f>
        <v>-29608.7348248976</v>
      </c>
      <c r="AF370" s="13" t="n">
        <f aca="false">-0.05*(AF10+AF11)</f>
        <v>-37555.3451608301</v>
      </c>
      <c r="AG370" s="13" t="n">
        <f aca="false">-0.05*(AG10+AG11)</f>
        <v>-34330.8263130126</v>
      </c>
      <c r="AH370" s="13" t="n">
        <f aca="false">-0.05*(AH10+AH11)</f>
        <v>-27496.1601649176</v>
      </c>
      <c r="AI370" s="13" t="n">
        <f aca="false">-0.05*(AI10+AI11)</f>
        <v>-27187.8166649176</v>
      </c>
      <c r="AJ370" s="13" t="n">
        <f aca="false">-0.05*(AJ10+AJ11)</f>
        <v>-27456.3716433051</v>
      </c>
      <c r="AK370" s="13" t="n">
        <f aca="false">-0.05*(AK10+AK11)</f>
        <v>-14739.6507028608</v>
      </c>
      <c r="AL370" s="13" t="n">
        <f aca="false">-0.05*(AL10+AL11)</f>
        <v>-15455.1542028608</v>
      </c>
      <c r="AM370" s="13" t="n">
        <f aca="false">-0.05*(AM10+AM11)</f>
        <v>-16049.2432028608</v>
      </c>
      <c r="AN370" s="13" t="n">
        <f aca="false">-0.05*(AN10+AN11)</f>
        <v>-10625.1407028608</v>
      </c>
      <c r="AO370" s="13" t="n">
        <f aca="false">-0.05*(AO10+AO11)</f>
        <v>-8628.71020286083</v>
      </c>
      <c r="AP370" s="13" t="n">
        <f aca="false">-0.05*(AP10+AP11)</f>
        <v>-8628.71020286083</v>
      </c>
      <c r="AQ370" s="13" t="n">
        <f aca="false">-0.05*(AQ10+AQ11)</f>
        <v>-8628.71020286083</v>
      </c>
      <c r="AR370" s="13" t="n">
        <f aca="false">-0.05*(AR10+AR11)</f>
        <v>-8628.71020286083</v>
      </c>
      <c r="AS370" s="13" t="n">
        <f aca="false">-0.05*(AS10+AS11)</f>
        <v>-8628.71020286083</v>
      </c>
      <c r="AT370" s="13" t="n">
        <f aca="false">-0.05*(AT10+AT11)</f>
        <v>-8628.71020286083</v>
      </c>
      <c r="AU370" s="13" t="n">
        <f aca="false">-0.05*(AU10+AU11)</f>
        <v>-8628.71020286083</v>
      </c>
      <c r="AV370" s="13" t="n">
        <f aca="false">-0.05*(AV10+AV11)</f>
        <v>-22252.9894705358</v>
      </c>
      <c r="AW370" s="13" t="n">
        <f aca="false">-0.05*(AW10+AW11)</f>
        <v>-0</v>
      </c>
      <c r="AX370" s="13" t="n">
        <f aca="false">-0.05*(AX10+AX11)</f>
        <v>-0</v>
      </c>
      <c r="AY370" s="13" t="n">
        <f aca="false">-0.05*(AY10+AY11)</f>
        <v>-0</v>
      </c>
      <c r="AZ370" s="13" t="n">
        <f aca="false">-0.05*(AZ10+AZ11)</f>
        <v>-0</v>
      </c>
      <c r="BA370" s="13" t="n">
        <f aca="false">-0.05*(BA10+BA11)</f>
        <v>-0</v>
      </c>
      <c r="BB370" s="13" t="n">
        <f aca="false">-0.05*(BB10+BB11)</f>
        <v>-0</v>
      </c>
      <c r="BC370" s="13" t="n">
        <f aca="false">-0.05*(BC10+BC11)</f>
        <v>-0</v>
      </c>
      <c r="BD370" s="13" t="n">
        <f aca="false">-0.05*(BD10+BD11)</f>
        <v>-0</v>
      </c>
      <c r="BE370" s="13" t="n">
        <f aca="false">-0.05*(BE10+BE11)</f>
        <v>-0</v>
      </c>
      <c r="BF370" s="13" t="n">
        <f aca="false">-0.05*(BF10+BF11)</f>
        <v>-0</v>
      </c>
      <c r="BG370" s="13" t="n">
        <f aca="false">-0.05*(BG10+BG11)</f>
        <v>-0</v>
      </c>
      <c r="BH370" s="13" t="n">
        <f aca="false">-0.05*(BH10+BH11)</f>
        <v>-0</v>
      </c>
      <c r="BI370" s="13" t="n">
        <f aca="false">-0.05*(BI10+BI11)</f>
        <v>-0</v>
      </c>
      <c r="BJ370" s="13" t="n">
        <f aca="false">-0.05*(BJ10+BJ11)</f>
        <v>-0</v>
      </c>
      <c r="BK370" s="13" t="n">
        <f aca="false">-0.05*(BK10+BK11)</f>
        <v>-0</v>
      </c>
      <c r="BL370" s="13" t="n">
        <f aca="false">-0.05*(BL10+BL11)</f>
        <v>-0</v>
      </c>
      <c r="BM370" s="13" t="n">
        <f aca="false">-0.05*(BM10+BM11)</f>
        <v>-0</v>
      </c>
      <c r="BN370" s="13" t="n">
        <f aca="false">-0.05*(BN10+BN11)</f>
        <v>-0</v>
      </c>
      <c r="BO370" s="13" t="n">
        <f aca="false">-0.05*(BO10+BO11)</f>
        <v>-0</v>
      </c>
      <c r="BP370" s="13" t="n">
        <f aca="false">-0.05*(BP10+BP11)</f>
        <v>-0</v>
      </c>
      <c r="BQ370" s="13" t="n">
        <f aca="false">-0.05*(BQ10+BQ11)</f>
        <v>-0</v>
      </c>
      <c r="BR370" s="13" t="n">
        <f aca="false">-0.05*(BR10+BR11)</f>
        <v>-0</v>
      </c>
      <c r="BS370" s="13" t="n">
        <f aca="false">-0.05*(BS10+BS11)</f>
        <v>-0</v>
      </c>
      <c r="BT370" s="13" t="n">
        <f aca="false">-0.05*(BT10+BT11)</f>
        <v>-0</v>
      </c>
      <c r="BU370" s="13" t="n">
        <f aca="false">-0.05*(BU10+BU11)</f>
        <v>-0</v>
      </c>
      <c r="BV370" s="13" t="n">
        <f aca="false">-0.05*(BV10+BV11)</f>
        <v>-0</v>
      </c>
      <c r="BW370" s="13" t="n">
        <f aca="false">-0.05*(BW10+BW11)</f>
        <v>-0</v>
      </c>
      <c r="BX370" s="13" t="n">
        <f aca="false">-0.05*(BX10+BX11)</f>
        <v>-0</v>
      </c>
      <c r="BY370" s="13" t="n">
        <f aca="false">-0.05*(BY10+BY11)</f>
        <v>-0</v>
      </c>
      <c r="BZ370" s="13" t="n">
        <f aca="false">-0.05*(BZ10+BZ11)</f>
        <v>-0</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0</v>
      </c>
      <c r="AI371" s="13" t="n">
        <f aca="false">SUMIFS(Retention!$E$2:$E$44,Retention!$F$2:$F$44,AI$3)</f>
        <v>0</v>
      </c>
      <c r="AJ371" s="13" t="n">
        <f aca="false">SUMIFS(Retention!$E$2:$E$44,Retention!$F$2:$F$44,AJ$3)</f>
        <v>127996.12956775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257371.896</v>
      </c>
      <c r="AO371" s="13" t="n">
        <f aca="false">SUMIFS(Retention!$E$2:$E$44,Retention!$F$2:$F$44,AO$3)</f>
        <v>0</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0</v>
      </c>
      <c r="AU371" s="13" t="n">
        <f aca="false">SUMIFS(Retention!$E$2:$E$44,Retention!$F$2:$F$44,AU$3)</f>
        <v>0</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0</v>
      </c>
      <c r="AZ371" s="13" t="n">
        <f aca="false">SUMIFS(Retention!$E$2:$E$44,Retention!$F$2:$F$44,AZ$3)</f>
        <v>0</v>
      </c>
      <c r="BA371" s="13" t="n">
        <f aca="false">SUMIFS(Retention!$E$2:$E$44,Retention!$F$2:$F$44,BA$3)</f>
        <v>0</v>
      </c>
      <c r="BB371" s="13" t="n">
        <f aca="false">SUMIFS(Retention!$E$2:$E$44,Retention!$F$2:$F$44,BB$3)</f>
        <v>0</v>
      </c>
      <c r="BC371" s="13" t="n">
        <f aca="false">SUMIFS(Retention!$E$2:$E$44,Retention!$F$2:$F$44,BC$3)</f>
        <v>0</v>
      </c>
      <c r="BD371" s="13" t="n">
        <f aca="false">SUMIFS(Retention!$E$2:$E$44,Retention!$F$2:$F$44,BD$3)</f>
        <v>0</v>
      </c>
      <c r="BE371" s="13" t="n">
        <f aca="false">SUMIFS(Retention!$E$2:$E$44,Retention!$F$2:$F$44,BE$3)</f>
        <v>0</v>
      </c>
      <c r="BF371" s="13" t="n">
        <f aca="false">SUMIFS(Retention!$E$2:$E$44,Retention!$F$2:$F$44,BF$3)</f>
        <v>0</v>
      </c>
      <c r="BG371" s="13" t="n">
        <f aca="false">SUMIFS(Retention!$E$2:$E$44,Retention!$F$2:$F$44,BG$3)</f>
        <v>0</v>
      </c>
      <c r="BH371" s="13" t="n">
        <f aca="false">SUMIFS(Retention!$E$2:$E$44,Retention!$F$2:$F$44,BH$3)</f>
        <v>0</v>
      </c>
      <c r="BI371" s="13" t="n">
        <f aca="false">SUMIFS(Retention!$E$2:$E$44,Retention!$F$2:$F$44,BI$3)</f>
        <v>0</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0</v>
      </c>
      <c r="BN371" s="13" t="n">
        <f aca="false">SUMIFS(Retention!$E$2:$E$44,Retention!$F$2:$F$44,BN$3)</f>
        <v>0</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0</v>
      </c>
      <c r="BS371" s="13" t="n">
        <f aca="false">SUMIFS(Retention!$E$2:$E$44,Retention!$F$2:$F$44,BS$3)</f>
        <v>0</v>
      </c>
      <c r="BT371" s="13" t="n">
        <f aca="false">SUMIFS(Retention!$E$2:$E$44,Retention!$F$2:$F$44,BT$3)</f>
        <v>0</v>
      </c>
      <c r="BU371" s="13" t="n">
        <f aca="false">SUMIFS(Retention!$E$2:$E$44,Retention!$F$2:$F$44,BU$3)</f>
        <v>0</v>
      </c>
      <c r="BV371" s="13" t="n">
        <f aca="false">SUMIFS(Retention!$E$2:$E$44,Retention!$F$2:$F$44,BV$3)</f>
        <v>0</v>
      </c>
      <c r="BW371" s="13" t="n">
        <f aca="false">SUMIFS(Retention!$E$2:$E$44,Retention!$F$2:$F$44,BW$3)</f>
        <v>0</v>
      </c>
      <c r="BX371" s="13" t="n">
        <f aca="false">SUMIFS(Retention!$E$2:$E$44,Retention!$F$2:$F$44,BX$3)</f>
        <v>0</v>
      </c>
      <c r="BY371" s="13" t="n">
        <f aca="false">SUMIFS(Retention!$E$2:$E$44,Retention!$F$2:$F$44,BY$3)</f>
        <v>0</v>
      </c>
      <c r="BZ371" s="13" t="n">
        <f aca="false">SUMIFS(Retention!$E$2:$E$44,Retention!$F$2:$F$44,BZ$3)</f>
        <v>0</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1121321.7942407</v>
      </c>
      <c r="K372" s="68" t="n">
        <f aca="false">SUM(K364:K371)</f>
        <v>1624723.12483538</v>
      </c>
      <c r="L372" s="68" t="n">
        <f aca="false">SUM(L364:L371)</f>
        <v>2077341.84486452</v>
      </c>
      <c r="M372" s="68" t="n">
        <f aca="false">SUM(M364:M371)</f>
        <v>2169280.11445269</v>
      </c>
      <c r="N372" s="68" t="n">
        <f aca="false">SUM(N364:N371)</f>
        <v>1282071.57256611</v>
      </c>
      <c r="O372" s="68" t="n">
        <f aca="false">SUM(O364:O371)</f>
        <v>1638278.79098763</v>
      </c>
      <c r="P372" s="68" t="n">
        <f aca="false">SUM(P364:P371)</f>
        <v>1950479.9368901</v>
      </c>
      <c r="Q372" s="68" t="n">
        <f aca="false">SUM(Q364:Q371)</f>
        <v>2270295.32703257</v>
      </c>
      <c r="R372" s="68" t="n">
        <f aca="false">SUM(R364:R371)</f>
        <v>2544190.57067504</v>
      </c>
      <c r="S372" s="68" t="n">
        <f aca="false">SUM(S364:S371)</f>
        <v>2704731.76311465</v>
      </c>
      <c r="T372" s="68" t="n">
        <f aca="false">SUM(T364:T371)</f>
        <v>2163049.59544645</v>
      </c>
      <c r="U372" s="68" t="n">
        <f aca="false">SUM(U364:U371)</f>
        <v>2627369.45494328</v>
      </c>
      <c r="V372" s="68" t="n">
        <f aca="false">SUM(V364:V371)</f>
        <v>3056453.5699401</v>
      </c>
      <c r="W372" s="68" t="n">
        <f aca="false">SUM(W364:W371)</f>
        <v>3534589.66843693</v>
      </c>
      <c r="X372" s="68" t="n">
        <f aca="false">SUM(X364:X371)</f>
        <v>3802423.17293375</v>
      </c>
      <c r="Y372" s="68" t="n">
        <f aca="false">SUM(Y364:Y371)</f>
        <v>4247174.93843058</v>
      </c>
      <c r="Z372" s="68" t="n">
        <f aca="false">SUM(Z364:Z371)</f>
        <v>4532070.66915818</v>
      </c>
      <c r="AA372" s="68" t="n">
        <f aca="false">SUM(AA364:AA371)</f>
        <v>5065318.1243331</v>
      </c>
      <c r="AB372" s="68" t="n">
        <f aca="false">SUM(AB364:AB371)</f>
        <v>5638036.76494212</v>
      </c>
      <c r="AC372" s="68" t="n">
        <f aca="false">SUM(AC364:AC371)</f>
        <v>5966905.77303045</v>
      </c>
      <c r="AD372" s="68" t="n">
        <f aca="false">SUM(AD364:AD371)</f>
        <v>6093501.35999061</v>
      </c>
      <c r="AE372" s="68" t="n">
        <f aca="false">SUM(AE364:AE371)</f>
        <v>6265807.94875846</v>
      </c>
      <c r="AF372" s="68" t="n">
        <f aca="false">SUM(AF364:AF371)</f>
        <v>6547265.06390904</v>
      </c>
      <c r="AG372" s="68" t="n">
        <f aca="false">SUM(AG364:AG371)</f>
        <v>6922363.66438838</v>
      </c>
      <c r="AH372" s="68" t="n">
        <f aca="false">SUM(AH364:AH371)</f>
        <v>7184603.42046313</v>
      </c>
      <c r="AI372" s="68" t="n">
        <f aca="false">SUM(AI364:AI371)</f>
        <v>7320073.58169136</v>
      </c>
      <c r="AJ372" s="68" t="n">
        <f aca="false">SUM(AJ364:AJ371)</f>
        <v>7577104.44750896</v>
      </c>
      <c r="AK372" s="68" t="n">
        <f aca="false">SUM(AK364:AK371)</f>
        <v>7724227.004267</v>
      </c>
      <c r="AL372" s="68" t="n">
        <f aca="false">SUM(AL364:AL371)</f>
        <v>7616299.63871615</v>
      </c>
      <c r="AM372" s="68" t="n">
        <f aca="false">SUM(AM364:AM371)</f>
        <v>7522088.25416531</v>
      </c>
      <c r="AN372" s="68" t="n">
        <f aca="false">SUM(AN364:AN371)</f>
        <v>7702554.64811446</v>
      </c>
      <c r="AO372" s="68" t="n">
        <f aca="false">SUM(AO364:AO371)</f>
        <v>7511718.22205552</v>
      </c>
      <c r="AP372" s="68" t="n">
        <f aca="false">SUM(AP364:AP371)</f>
        <v>7280953.18599657</v>
      </c>
      <c r="AQ372" s="68" t="n">
        <f aca="false">SUM(AQ364:AQ371)</f>
        <v>7050188.14993762</v>
      </c>
      <c r="AR372" s="68" t="n">
        <f aca="false">SUM(AR364:AR371)</f>
        <v>6819423.11387867</v>
      </c>
      <c r="AS372" s="68" t="n">
        <f aca="false">SUM(AS364:AS371)</f>
        <v>6588658.07781972</v>
      </c>
      <c r="AT372" s="68" t="n">
        <f aca="false">SUM(AT364:AT371)</f>
        <v>6357893.04176077</v>
      </c>
      <c r="AU372" s="68" t="n">
        <f aca="false">SUM(AU364:AU371)</f>
        <v>6127128.00570183</v>
      </c>
      <c r="AV372" s="68" t="n">
        <f aca="false">SUM(AV364:AV371)</f>
        <v>6155224.2757287</v>
      </c>
      <c r="AW372" s="68" t="n">
        <f aca="false">SUM(AW364:AW371)</f>
        <v>6205573.53522612</v>
      </c>
      <c r="AX372" s="68" t="n">
        <f aca="false">SUM(AX364:AX371)</f>
        <v>5810863.00531281</v>
      </c>
      <c r="AY372" s="68" t="n">
        <f aca="false">SUM(AY364:AY371)</f>
        <v>5416152.47539951</v>
      </c>
      <c r="AZ372" s="68" t="n">
        <f aca="false">SUM(AZ364:AZ371)</f>
        <v>5021441.9454862</v>
      </c>
      <c r="BA372" s="68" t="n">
        <f aca="false">SUM(BA364:BA371)</f>
        <v>4619137.20497463</v>
      </c>
      <c r="BB372" s="68" t="n">
        <f aca="false">SUM(BB364:BB371)</f>
        <v>4216832.46446306</v>
      </c>
      <c r="BC372" s="68" t="n">
        <f aca="false">SUM(BC364:BC371)</f>
        <v>3814527.72395149</v>
      </c>
      <c r="BD372" s="68" t="n">
        <f aca="false">SUM(BD364:BD371)</f>
        <v>3412222.98343992</v>
      </c>
      <c r="BE372" s="68" t="n">
        <f aca="false">SUM(BE364:BE371)</f>
        <v>3009918.24292835</v>
      </c>
      <c r="BF372" s="68" t="n">
        <f aca="false">SUM(BF364:BF371)</f>
        <v>2607613.50241678</v>
      </c>
      <c r="BG372" s="68" t="n">
        <f aca="false">SUM(BG364:BG371)</f>
        <v>2205308.76190521</v>
      </c>
      <c r="BH372" s="68" t="n">
        <f aca="false">SUM(BH364:BH371)</f>
        <v>1803004.02139364</v>
      </c>
      <c r="BI372" s="68" t="n">
        <f aca="false">SUM(BI364:BI371)</f>
        <v>1400699.28088207</v>
      </c>
      <c r="BJ372" s="68" t="n">
        <f aca="false">SUM(BJ364:BJ371)</f>
        <v>998394.540370501</v>
      </c>
      <c r="BK372" s="68" t="n">
        <f aca="false">SUM(BK364:BK371)</f>
        <v>596089.799858931</v>
      </c>
      <c r="BL372" s="68" t="n">
        <f aca="false">SUM(BL364:BL371)</f>
        <v>193785.05934736</v>
      </c>
      <c r="BM372" s="68" t="n">
        <f aca="false">SUM(BM364:BM371)</f>
        <v>-216265.775974441</v>
      </c>
      <c r="BN372" s="68" t="n">
        <f aca="false">SUM(BN364:BN371)</f>
        <v>-626316.611296243</v>
      </c>
      <c r="BO372" s="68" t="n">
        <f aca="false">SUM(BO364:BO371)</f>
        <v>-1036367.44661804</v>
      </c>
      <c r="BP372" s="68" t="n">
        <f aca="false">SUM(BP364:BP371)</f>
        <v>-1446418.28193985</v>
      </c>
      <c r="BQ372" s="68" t="n">
        <f aca="false">SUM(BQ364:BQ371)</f>
        <v>-1856469.11726165</v>
      </c>
      <c r="BR372" s="68" t="n">
        <f aca="false">SUM(BR364:BR371)</f>
        <v>-2266519.95258345</v>
      </c>
      <c r="BS372" s="68" t="n">
        <f aca="false">SUM(BS364:BS371)</f>
        <v>-2676570.78790525</v>
      </c>
      <c r="BT372" s="68" t="n">
        <f aca="false">SUM(BT364:BT371)</f>
        <v>-3086621.62322705</v>
      </c>
      <c r="BU372" s="68" t="n">
        <f aca="false">SUM(BU364:BU371)</f>
        <v>-3496672.45854885</v>
      </c>
      <c r="BV372" s="68" t="n">
        <f aca="false">SUM(BV364:BV371)</f>
        <v>-3906723.29387066</v>
      </c>
      <c r="BW372" s="68" t="n">
        <f aca="false">SUM(BW364:BW371)</f>
        <v>-4316774.12919246</v>
      </c>
      <c r="BX372" s="68" t="n">
        <f aca="false">SUM(BX364:BX371)</f>
        <v>-4726824.96451426</v>
      </c>
      <c r="BY372" s="68" t="n">
        <f aca="false">SUM(BY364:BY371)</f>
        <v>-5144776.8165425</v>
      </c>
      <c r="BZ372" s="68" t="n">
        <f aca="false">SUM(BZ364:BZ371)</f>
        <v>-5562728.66857073</v>
      </c>
      <c r="CA372" s="68" t="n">
        <f aca="false">SUM(CA364:CA371)</f>
        <v>-5980680.52059897</v>
      </c>
      <c r="CB372" s="68" t="n">
        <f aca="false">SUM(CB364:CB371)</f>
        <v>-6398632.37262721</v>
      </c>
      <c r="CC372" s="68" t="n">
        <f aca="false">SUM(CC364:CC371)</f>
        <v>-6816584.22465545</v>
      </c>
      <c r="CD372" s="68" t="n">
        <f aca="false">SUM(CD364:CD371)</f>
        <v>-7234536.07668368</v>
      </c>
      <c r="CE372" s="68" t="n">
        <f aca="false">SUM(CE364:CE371)</f>
        <v>-7652487.92871192</v>
      </c>
      <c r="CF372" s="68" t="n">
        <f aca="false">SUM(CF364:CF371)</f>
        <v>-8070439.78074016</v>
      </c>
      <c r="CG372" s="68" t="n">
        <f aca="false">SUM(CG364:CG371)</f>
        <v>-8488391.6327684</v>
      </c>
      <c r="CH372" s="68" t="n">
        <f aca="false">SUM(CH364:CH371)</f>
        <v>-8906343.48479663</v>
      </c>
      <c r="CI372" s="68" t="n">
        <f aca="false">SUM(CI364:CI371)</f>
        <v>-9324295.33682487</v>
      </c>
      <c r="CJ372" s="68" t="n">
        <f aca="false">SUM(CJ364:CJ371)</f>
        <v>-9742247.18885311</v>
      </c>
      <c r="CK372" s="68" t="n">
        <f aca="false">SUM(CK364:CK371)</f>
        <v>-10168258.0779219</v>
      </c>
      <c r="CL372" s="68" t="n">
        <f aca="false">SUM(CL364:CL371)</f>
        <v>-10594268.9669907</v>
      </c>
      <c r="CM372" s="68" t="n">
        <f aca="false">SUM(CM364:CM371)</f>
        <v>-11020279.8560595</v>
      </c>
      <c r="CN372" s="68" t="n">
        <f aca="false">SUM(CN364:CN371)</f>
        <v>-11446290.7451283</v>
      </c>
      <c r="CO372" s="68" t="n">
        <f aca="false">SUM(CO364:CO371)</f>
        <v>-11872301.6341971</v>
      </c>
      <c r="CP372" s="68" t="n">
        <f aca="false">SUM(CP364:CP371)</f>
        <v>-12298312.5232659</v>
      </c>
      <c r="CQ372" s="68" t="n">
        <f aca="false">SUM(CQ364:CQ371)</f>
        <v>-12724323.4123347</v>
      </c>
      <c r="CR372" s="68" t="n">
        <f aca="false">SUM(CR364:CR371)</f>
        <v>-13150334.3014035</v>
      </c>
      <c r="CS372" s="68" t="n">
        <f aca="false">SUM(CS364:CS371)</f>
        <v>-13576345.1904723</v>
      </c>
      <c r="CT372" s="68" t="n">
        <f aca="false">SUM(CT364:CT371)</f>
        <v>-13962003.2654991</v>
      </c>
      <c r="CU372" s="68" t="n">
        <f aca="false">SUM(CU364:CU371)</f>
        <v>-14347661.3405259</v>
      </c>
      <c r="CV372" s="68" t="n">
        <f aca="false">SUM(CV364:CV371)</f>
        <v>-14733319.4155527</v>
      </c>
      <c r="CW372" s="68" t="n">
        <f aca="false">SUM(CW364:CW371)</f>
        <v>-15126390.65208</v>
      </c>
      <c r="CX372" s="68" t="n">
        <f aca="false">SUM(CX364:CX371)</f>
        <v>-15519461.8886073</v>
      </c>
      <c r="CY372" s="68" t="n">
        <f aca="false">SUM(CY364:CY371)</f>
        <v>-15912533.1251346</v>
      </c>
      <c r="CZ372" s="68" t="n">
        <f aca="false">SUM(CZ364:CZ371)</f>
        <v>-16305604.3616619</v>
      </c>
      <c r="DA372" s="68" t="n">
        <f aca="false">SUM(DA364:DA371)</f>
        <v>-16698675.5981892</v>
      </c>
      <c r="DB372" s="68" t="n">
        <f aca="false">SUM(DB364:DB371)</f>
        <v>-17091746.8347165</v>
      </c>
      <c r="DC372" s="68" t="n">
        <f aca="false">SUM(DC364:DC371)</f>
        <v>-17484818.0712439</v>
      </c>
      <c r="DD372" s="68" t="n">
        <f aca="false">SUM(DD364:DD371)</f>
        <v>-17877889.3077712</v>
      </c>
      <c r="DE372" s="68" t="n">
        <f aca="false">SUM(DE364:DE371)</f>
        <v>-18270960.5442985</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503745.387883333</v>
      </c>
      <c r="L375" s="13" t="n">
        <f aca="false">K381</f>
        <v>349300.775766667</v>
      </c>
      <c r="M375" s="13" t="n">
        <f aca="false">L381</f>
        <v>185481.16365</v>
      </c>
      <c r="N375" s="13" t="n">
        <f aca="false">M381</f>
        <v>25161.5515333333</v>
      </c>
      <c r="O375" s="13" t="n">
        <f aca="false">N381</f>
        <v>-234838.063931676</v>
      </c>
      <c r="P375" s="13" t="n">
        <f aca="false">O381</f>
        <v>-491679.784659844</v>
      </c>
      <c r="Q375" s="13" t="n">
        <f aca="false">P381</f>
        <v>-747721.659855012</v>
      </c>
      <c r="R375" s="13" t="n">
        <f aca="false">Q381</f>
        <v>-1008129.41298318</v>
      </c>
      <c r="S375" s="13" t="n">
        <f aca="false">R381</f>
        <v>-1268537.16611135</v>
      </c>
      <c r="T375" s="13" t="n">
        <f aca="false">S381</f>
        <v>-1528944.91923951</v>
      </c>
      <c r="U375" s="13" t="n">
        <f aca="false">T381</f>
        <v>-1813258.92236768</v>
      </c>
      <c r="V375" s="13" t="n">
        <f aca="false">U381</f>
        <v>-2097572.92549585</v>
      </c>
      <c r="W375" s="13" t="n">
        <f aca="false">V381</f>
        <v>-2381886.92862402</v>
      </c>
      <c r="X375" s="13" t="n">
        <f aca="false">W381</f>
        <v>-2666200.93175219</v>
      </c>
      <c r="Y375" s="13" t="n">
        <f aca="false">X381</f>
        <v>-2950514.93488035</v>
      </c>
      <c r="Z375" s="13" t="n">
        <f aca="false">Y381</f>
        <v>-3177453.93800852</v>
      </c>
      <c r="AA375" s="13" t="n">
        <f aca="false">Z381</f>
        <v>-3462198.54819132</v>
      </c>
      <c r="AB375" s="13" t="n">
        <f aca="false">AA381</f>
        <v>-3996943.15837412</v>
      </c>
      <c r="AC375" s="13" t="n">
        <f aca="false">AB381</f>
        <v>-4218969.77567501</v>
      </c>
      <c r="AD375" s="13" t="n">
        <f aca="false">AC381</f>
        <v>-4507351.73890581</v>
      </c>
      <c r="AE375" s="13" t="n">
        <f aca="false">AD381</f>
        <v>-4795733.70213661</v>
      </c>
      <c r="AF375" s="13" t="n">
        <f aca="false">AE381</f>
        <v>-5006722.095646</v>
      </c>
      <c r="AG375" s="13" t="n">
        <f aca="false">AF381</f>
        <v>-5183104.0588768</v>
      </c>
      <c r="AH375" s="13" t="n">
        <f aca="false">AG381</f>
        <v>-5362643.91684444</v>
      </c>
      <c r="AI375" s="13" t="n">
        <f aca="false">AH381</f>
        <v>-5545341.66954892</v>
      </c>
      <c r="AJ375" s="13" t="n">
        <f aca="false">AI381</f>
        <v>-5737539.4222534</v>
      </c>
      <c r="AK375" s="13" t="n">
        <f aca="false">AJ381</f>
        <v>-5929737.17495788</v>
      </c>
      <c r="AL375" s="13" t="n">
        <f aca="false">AK381</f>
        <v>-6121934.92766236</v>
      </c>
      <c r="AM375" s="13" t="n">
        <f aca="false">AL381</f>
        <v>-6324577.93311036</v>
      </c>
      <c r="AN375" s="13" t="n">
        <f aca="false">AM381</f>
        <v>-6527220.93855836</v>
      </c>
      <c r="AO375" s="13" t="n">
        <f aca="false">AN381</f>
        <v>-6724279.67282714</v>
      </c>
      <c r="AP375" s="13" t="n">
        <f aca="false">AO381</f>
        <v>-6930632.7783841</v>
      </c>
      <c r="AQ375" s="13" t="n">
        <f aca="false">AP381</f>
        <v>-7136985.88394106</v>
      </c>
      <c r="AR375" s="13" t="n">
        <f aca="false">AQ381</f>
        <v>-7343338.98949802</v>
      </c>
      <c r="AS375" s="13" t="n">
        <f aca="false">AR381</f>
        <v>-7549692.09505498</v>
      </c>
      <c r="AT375" s="13" t="n">
        <f aca="false">AS381</f>
        <v>-7756045.20061194</v>
      </c>
      <c r="AU375" s="13" t="n">
        <f aca="false">AT381</f>
        <v>-7962398.3061689</v>
      </c>
      <c r="AV375" s="13" t="n">
        <f aca="false">AU381</f>
        <v>-8168751.41172586</v>
      </c>
      <c r="AW375" s="13" t="n">
        <f aca="false">AV381</f>
        <v>-8375104.51728282</v>
      </c>
      <c r="AX375" s="13" t="n">
        <f aca="false">AW381</f>
        <v>-8581457.62283978</v>
      </c>
      <c r="AY375" s="13" t="n">
        <f aca="false">AX381</f>
        <v>-8787810.72839674</v>
      </c>
      <c r="AZ375" s="13" t="n">
        <f aca="false">AY381</f>
        <v>-8994163.8339537</v>
      </c>
      <c r="BA375" s="13" t="n">
        <f aca="false">AZ381</f>
        <v>-9200516.93951066</v>
      </c>
      <c r="BB375" s="13" t="n">
        <f aca="false">BA381</f>
        <v>-9410654.34717876</v>
      </c>
      <c r="BC375" s="13" t="n">
        <f aca="false">BB381</f>
        <v>-9620791.75484686</v>
      </c>
      <c r="BD375" s="13" t="n">
        <f aca="false">BC381</f>
        <v>-9830929.16251496</v>
      </c>
      <c r="BE375" s="13" t="n">
        <f aca="false">BD381</f>
        <v>-10041066.5701831</v>
      </c>
      <c r="BF375" s="13" t="n">
        <f aca="false">BE381</f>
        <v>-10251203.9778512</v>
      </c>
      <c r="BG375" s="13" t="n">
        <f aca="false">BF381</f>
        <v>-10461341.3855193</v>
      </c>
      <c r="BH375" s="13" t="n">
        <f aca="false">BG381</f>
        <v>-10671478.7931874</v>
      </c>
      <c r="BI375" s="13" t="n">
        <f aca="false">BH381</f>
        <v>-10881616.2008555</v>
      </c>
      <c r="BJ375" s="13" t="n">
        <f aca="false">BI381</f>
        <v>-11091753.6085236</v>
      </c>
      <c r="BK375" s="13" t="n">
        <f aca="false">BJ381</f>
        <v>-11301891.0161916</v>
      </c>
      <c r="BL375" s="13" t="n">
        <f aca="false">BK381</f>
        <v>-11512028.4238597</v>
      </c>
      <c r="BM375" s="13" t="n">
        <f aca="false">BL381</f>
        <v>-11722165.8315278</v>
      </c>
      <c r="BN375" s="13" t="n">
        <f aca="false">BM381</f>
        <v>-11936163.2273493</v>
      </c>
      <c r="BO375" s="13" t="n">
        <f aca="false">BN381</f>
        <v>-12150160.6231708</v>
      </c>
      <c r="BP375" s="13" t="n">
        <f aca="false">BO381</f>
        <v>-12364158.0189922</v>
      </c>
      <c r="BQ375" s="13" t="n">
        <f aca="false">BP381</f>
        <v>-12578155.4148137</v>
      </c>
      <c r="BR375" s="13" t="n">
        <f aca="false">BQ381</f>
        <v>-12792152.8106352</v>
      </c>
      <c r="BS375" s="13" t="n">
        <f aca="false">BR381</f>
        <v>-12952899.8564566</v>
      </c>
      <c r="BT375" s="13" t="n">
        <f aca="false">BS381</f>
        <v>-13166897.2522781</v>
      </c>
      <c r="BU375" s="13" t="n">
        <f aca="false">BT381</f>
        <v>-13380894.6480995</v>
      </c>
      <c r="BV375" s="13" t="n">
        <f aca="false">BU381</f>
        <v>-13527130.043921</v>
      </c>
      <c r="BW375" s="13" t="n">
        <f aca="false">BV381</f>
        <v>-13741127.4397425</v>
      </c>
      <c r="BX375" s="13" t="n">
        <f aca="false">BW381</f>
        <v>-13955124.8355639</v>
      </c>
      <c r="BY375" s="13" t="n">
        <f aca="false">BX381</f>
        <v>-14101360.2313854</v>
      </c>
      <c r="BZ375" s="13" t="n">
        <f aca="false">BY381</f>
        <v>-14319294.8151233</v>
      </c>
      <c r="CA375" s="13" t="n">
        <f aca="false">BZ381</f>
        <v>-14537229.3988612</v>
      </c>
      <c r="CB375" s="13" t="n">
        <f aca="false">CA381</f>
        <v>-14687401.9825991</v>
      </c>
      <c r="CC375" s="13" t="n">
        <f aca="false">CB381</f>
        <v>-14905336.5663369</v>
      </c>
      <c r="CD375" s="13" t="n">
        <f aca="false">CC381</f>
        <v>-15123271.1500748</v>
      </c>
      <c r="CE375" s="13" t="n">
        <f aca="false">CD381</f>
        <v>-15264706.7338127</v>
      </c>
      <c r="CF375" s="13" t="n">
        <f aca="false">CE381</f>
        <v>-15482641.3175506</v>
      </c>
      <c r="CG375" s="13" t="n">
        <f aca="false">CF381</f>
        <v>-15700575.9012885</v>
      </c>
      <c r="CH375" s="13" t="n">
        <f aca="false">CG381</f>
        <v>-15842011.4850264</v>
      </c>
      <c r="CI375" s="13" t="n">
        <f aca="false">CH381</f>
        <v>-16059946.0687643</v>
      </c>
      <c r="CJ375" s="13" t="n">
        <f aca="false">CI381</f>
        <v>-16277880.6525022</v>
      </c>
      <c r="CK375" s="13" t="n">
        <f aca="false">CJ381</f>
        <v>-16412708.2096336</v>
      </c>
      <c r="CL375" s="13" t="n">
        <f aca="false">CK381</f>
        <v>-16476797.7250462</v>
      </c>
      <c r="CM375" s="13" t="n">
        <f aca="false">CL381</f>
        <v>-16540887.2404589</v>
      </c>
      <c r="CN375" s="13" t="n">
        <f aca="false">CM381</f>
        <v>-16604976.7558715</v>
      </c>
      <c r="CO375" s="13" t="n">
        <f aca="false">CN381</f>
        <v>-16669066.2712842</v>
      </c>
      <c r="CP375" s="13" t="n">
        <f aca="false">CO381</f>
        <v>-16733155.7866968</v>
      </c>
      <c r="CQ375" s="13" t="n">
        <f aca="false">CP381</f>
        <v>-16797245.3021095</v>
      </c>
      <c r="CR375" s="13" t="n">
        <f aca="false">CQ381</f>
        <v>-16861334.8175221</v>
      </c>
      <c r="CS375" s="13" t="n">
        <f aca="false">CR381</f>
        <v>-16925424.3329348</v>
      </c>
      <c r="CT375" s="13" t="n">
        <f aca="false">CS381</f>
        <v>-16989513.8483474</v>
      </c>
      <c r="CU375" s="13" t="n">
        <f aca="false">CT381</f>
        <v>-17047692.418762</v>
      </c>
      <c r="CV375" s="13" t="n">
        <f aca="false">CU381</f>
        <v>-17105870.9891765</v>
      </c>
      <c r="CW375" s="13" t="n">
        <f aca="false">CV381</f>
        <v>-17164049.559591</v>
      </c>
      <c r="CX375" s="13" t="n">
        <f aca="false">CW381</f>
        <v>-17226206.1614139</v>
      </c>
      <c r="CY375" s="13" t="n">
        <f aca="false">CX381</f>
        <v>-17288362.7632367</v>
      </c>
      <c r="CZ375" s="13" t="n">
        <f aca="false">CY381</f>
        <v>-17350519.3650595</v>
      </c>
      <c r="DA375" s="13" t="n">
        <f aca="false">CZ381</f>
        <v>-17412675.9668823</v>
      </c>
      <c r="DB375" s="13" t="n">
        <f aca="false">DA381</f>
        <v>-17474832.5687052</v>
      </c>
      <c r="DC375" s="13" t="n">
        <f aca="false">DB381</f>
        <v>-17536989.170528</v>
      </c>
      <c r="DD375" s="13" t="n">
        <f aca="false">DC381</f>
        <v>-17599145.7723508</v>
      </c>
      <c r="DE375" s="13" t="n">
        <f aca="false">DD381</f>
        <v>-17661302.3741737</v>
      </c>
    </row>
    <row r="376" customFormat="false" ht="15" hidden="false" customHeight="true" outlineLevel="0" collapsed="false">
      <c r="A376" s="22" t="s">
        <v>199</v>
      </c>
      <c r="B376" s="13"/>
      <c r="C376" s="13"/>
      <c r="D376" s="13"/>
      <c r="E376" s="13"/>
      <c r="F376" s="13"/>
      <c r="G376" s="13"/>
      <c r="H376" s="13"/>
      <c r="I376" s="13"/>
      <c r="J376" s="13" t="n">
        <f aca="false">J293</f>
        <v>-154764.55</v>
      </c>
      <c r="K376" s="13" t="n">
        <f aca="false">K293</f>
        <v>-154764.55</v>
      </c>
      <c r="L376" s="13" t="n">
        <f aca="false">L293</f>
        <v>-164139.55</v>
      </c>
      <c r="M376" s="13" t="n">
        <f aca="false">M293</f>
        <v>-160639.55</v>
      </c>
      <c r="N376" s="13" t="n">
        <f aca="false">N293</f>
        <v>-158875.475263158</v>
      </c>
      <c r="O376" s="13" t="n">
        <f aca="false">O293</f>
        <v>-155717.580526316</v>
      </c>
      <c r="P376" s="13" t="n">
        <f aca="false">P293</f>
        <v>-155717.580526316</v>
      </c>
      <c r="Q376" s="13" t="n">
        <f aca="false">Q293</f>
        <v>-159283.612926316</v>
      </c>
      <c r="R376" s="13" t="n">
        <f aca="false">R293</f>
        <v>-159283.612926316</v>
      </c>
      <c r="S376" s="13" t="n">
        <f aca="false">S293</f>
        <v>-159283.612926316</v>
      </c>
      <c r="T376" s="13" t="n">
        <f aca="false">T293</f>
        <v>-183189.862926316</v>
      </c>
      <c r="U376" s="13" t="n">
        <f aca="false">U293</f>
        <v>-183189.862926316</v>
      </c>
      <c r="V376" s="13" t="n">
        <f aca="false">V293</f>
        <v>-183189.862926316</v>
      </c>
      <c r="W376" s="13" t="n">
        <f aca="false">W293</f>
        <v>-183189.862926316</v>
      </c>
      <c r="X376" s="13" t="n">
        <f aca="false">X293</f>
        <v>-183189.862926316</v>
      </c>
      <c r="Y376" s="13" t="n">
        <f aca="false">Y293</f>
        <v>-125814.862926316</v>
      </c>
      <c r="Z376" s="13" t="n">
        <f aca="false">Z293</f>
        <v>-183189.862926316</v>
      </c>
      <c r="AA376" s="13" t="n">
        <f aca="false">AA293</f>
        <v>-183189.862926316</v>
      </c>
      <c r="AB376" s="13" t="n">
        <f aca="false">AB293</f>
        <v>-125814.862926316</v>
      </c>
      <c r="AC376" s="13" t="n">
        <f aca="false">AC293</f>
        <v>-186827.215974316</v>
      </c>
      <c r="AD376" s="13" t="n">
        <f aca="false">AD293</f>
        <v>-186827.215974316</v>
      </c>
      <c r="AE376" s="13" t="n">
        <f aca="false">AE293</f>
        <v>-129452.215974316</v>
      </c>
      <c r="AF376" s="13" t="n">
        <f aca="false">AF293</f>
        <v>-186827.215974316</v>
      </c>
      <c r="AG376" s="13" t="n">
        <f aca="false">AG293</f>
        <v>-189985.110711158</v>
      </c>
      <c r="AH376" s="13" t="n">
        <f aca="false">AH293</f>
        <v>-193143.005448</v>
      </c>
      <c r="AI376" s="13" t="n">
        <f aca="false">AI293</f>
        <v>-202643.005448</v>
      </c>
      <c r="AJ376" s="13" t="n">
        <f aca="false">AJ293</f>
        <v>-202643.005448</v>
      </c>
      <c r="AK376" s="13" t="n">
        <f aca="false">AK293</f>
        <v>-202643.005448</v>
      </c>
      <c r="AL376" s="13" t="n">
        <f aca="false">AL293</f>
        <v>-202643.005448</v>
      </c>
      <c r="AM376" s="13" t="n">
        <f aca="false">AM293</f>
        <v>-202643.005448</v>
      </c>
      <c r="AN376" s="13" t="n">
        <f aca="false">AN293</f>
        <v>-202643.005448</v>
      </c>
      <c r="AO376" s="13" t="n">
        <f aca="false">AO293</f>
        <v>-206353.10555696</v>
      </c>
      <c r="AP376" s="13" t="n">
        <f aca="false">AP293</f>
        <v>-206353.10555696</v>
      </c>
      <c r="AQ376" s="13" t="n">
        <f aca="false">AQ293</f>
        <v>-206353.10555696</v>
      </c>
      <c r="AR376" s="13" t="n">
        <f aca="false">AR293</f>
        <v>-206353.10555696</v>
      </c>
      <c r="AS376" s="13" t="n">
        <f aca="false">AS293</f>
        <v>-206353.10555696</v>
      </c>
      <c r="AT376" s="13" t="n">
        <f aca="false">AT293</f>
        <v>-206353.10555696</v>
      </c>
      <c r="AU376" s="13" t="n">
        <f aca="false">AU293</f>
        <v>-206353.10555696</v>
      </c>
      <c r="AV376" s="13" t="n">
        <f aca="false">AV293</f>
        <v>-206353.10555696</v>
      </c>
      <c r="AW376" s="13" t="n">
        <f aca="false">AW293</f>
        <v>-206353.10555696</v>
      </c>
      <c r="AX376" s="13" t="n">
        <f aca="false">AX293</f>
        <v>-206353.10555696</v>
      </c>
      <c r="AY376" s="13" t="n">
        <f aca="false">AY293</f>
        <v>-206353.10555696</v>
      </c>
      <c r="AZ376" s="13" t="n">
        <f aca="false">AZ293</f>
        <v>-206353.10555696</v>
      </c>
      <c r="BA376" s="13" t="n">
        <f aca="false">BA293</f>
        <v>-210137.407668099</v>
      </c>
      <c r="BB376" s="13" t="n">
        <f aca="false">BB293</f>
        <v>-210137.407668099</v>
      </c>
      <c r="BC376" s="13" t="n">
        <f aca="false">BC293</f>
        <v>-210137.407668099</v>
      </c>
      <c r="BD376" s="13" t="n">
        <f aca="false">BD293</f>
        <v>-210137.407668099</v>
      </c>
      <c r="BE376" s="13" t="n">
        <f aca="false">BE293</f>
        <v>-210137.407668099</v>
      </c>
      <c r="BF376" s="13" t="n">
        <f aca="false">BF293</f>
        <v>-210137.407668099</v>
      </c>
      <c r="BG376" s="13" t="n">
        <f aca="false">BG293</f>
        <v>-210137.407668099</v>
      </c>
      <c r="BH376" s="13" t="n">
        <f aca="false">BH293</f>
        <v>-210137.407668099</v>
      </c>
      <c r="BI376" s="13" t="n">
        <f aca="false">BI293</f>
        <v>-210137.407668099</v>
      </c>
      <c r="BJ376" s="13" t="n">
        <f aca="false">BJ293</f>
        <v>-210137.407668099</v>
      </c>
      <c r="BK376" s="13" t="n">
        <f aca="false">BK293</f>
        <v>-210137.407668099</v>
      </c>
      <c r="BL376" s="13" t="n">
        <f aca="false">BL293</f>
        <v>-210137.407668099</v>
      </c>
      <c r="BM376" s="13" t="n">
        <f aca="false">BM293</f>
        <v>-213997.395821461</v>
      </c>
      <c r="BN376" s="13" t="n">
        <f aca="false">BN293</f>
        <v>-213997.395821461</v>
      </c>
      <c r="BO376" s="13" t="n">
        <f aca="false">BO293</f>
        <v>-213997.395821461</v>
      </c>
      <c r="BP376" s="13" t="n">
        <f aca="false">BP293</f>
        <v>-213997.395821461</v>
      </c>
      <c r="BQ376" s="13" t="n">
        <f aca="false">BQ293</f>
        <v>-213997.395821461</v>
      </c>
      <c r="BR376" s="13" t="n">
        <f aca="false">BR293</f>
        <v>-160747.045821461</v>
      </c>
      <c r="BS376" s="13" t="n">
        <f aca="false">BS293</f>
        <v>-213997.395821461</v>
      </c>
      <c r="BT376" s="13" t="n">
        <f aca="false">BT293</f>
        <v>-213997.395821461</v>
      </c>
      <c r="BU376" s="13" t="n">
        <f aca="false">BU293</f>
        <v>-146235.395821461</v>
      </c>
      <c r="BV376" s="13" t="n">
        <f aca="false">BV293</f>
        <v>-213997.395821461</v>
      </c>
      <c r="BW376" s="13" t="n">
        <f aca="false">BW293</f>
        <v>-213997.395821461</v>
      </c>
      <c r="BX376" s="13" t="n">
        <f aca="false">BX293</f>
        <v>-146235.395821461</v>
      </c>
      <c r="BY376" s="13" t="n">
        <f aca="false">BY293</f>
        <v>-217934.58373789</v>
      </c>
      <c r="BZ376" s="13" t="n">
        <f aca="false">BZ293</f>
        <v>-217934.58373789</v>
      </c>
      <c r="CA376" s="13" t="n">
        <f aca="false">CA293</f>
        <v>-150172.58373789</v>
      </c>
      <c r="CB376" s="13" t="n">
        <f aca="false">CB293</f>
        <v>-217934.58373789</v>
      </c>
      <c r="CC376" s="13" t="n">
        <f aca="false">CC293</f>
        <v>-217934.58373789</v>
      </c>
      <c r="CD376" s="13" t="n">
        <f aca="false">CD293</f>
        <v>-141435.58373789</v>
      </c>
      <c r="CE376" s="13" t="n">
        <f aca="false">CE293</f>
        <v>-217934.58373789</v>
      </c>
      <c r="CF376" s="13" t="n">
        <f aca="false">CF293</f>
        <v>-217934.58373789</v>
      </c>
      <c r="CG376" s="13" t="n">
        <f aca="false">CG293</f>
        <v>-141435.58373789</v>
      </c>
      <c r="CH376" s="13" t="n">
        <f aca="false">CH293</f>
        <v>-217934.58373789</v>
      </c>
      <c r="CI376" s="13" t="n">
        <f aca="false">CI293</f>
        <v>-217934.58373789</v>
      </c>
      <c r="CJ376" s="13" t="n">
        <f aca="false">CJ293</f>
        <v>-134827.557131411</v>
      </c>
      <c r="CK376" s="13" t="n">
        <f aca="false">CK293</f>
        <v>-64089.5154126482</v>
      </c>
      <c r="CL376" s="13" t="n">
        <f aca="false">CL293</f>
        <v>-64089.5154126482</v>
      </c>
      <c r="CM376" s="13" t="n">
        <f aca="false">CM293</f>
        <v>-64089.5154126482</v>
      </c>
      <c r="CN376" s="13" t="n">
        <f aca="false">CN293</f>
        <v>-64089.5154126482</v>
      </c>
      <c r="CO376" s="13" t="n">
        <f aca="false">CO293</f>
        <v>-64089.5154126482</v>
      </c>
      <c r="CP376" s="13" t="n">
        <f aca="false">CP293</f>
        <v>-64089.5154126482</v>
      </c>
      <c r="CQ376" s="13" t="n">
        <f aca="false">CQ293</f>
        <v>-64089.5154126482</v>
      </c>
      <c r="CR376" s="13" t="n">
        <f aca="false">CR293</f>
        <v>-64089.5154126482</v>
      </c>
      <c r="CS376" s="13" t="n">
        <f aca="false">CS293</f>
        <v>-64089.5154126482</v>
      </c>
      <c r="CT376" s="13" t="n">
        <f aca="false">CT293</f>
        <v>-58178.5704145363</v>
      </c>
      <c r="CU376" s="13" t="n">
        <f aca="false">CU293</f>
        <v>-58178.5704145363</v>
      </c>
      <c r="CV376" s="13" t="n">
        <f aca="false">CV293</f>
        <v>-58178.5704145363</v>
      </c>
      <c r="CW376" s="13" t="n">
        <f aca="false">CW293</f>
        <v>-62156.601822827</v>
      </c>
      <c r="CX376" s="13" t="n">
        <f aca="false">CX293</f>
        <v>-62156.601822827</v>
      </c>
      <c r="CY376" s="13" t="n">
        <f aca="false">CY293</f>
        <v>-62156.601822827</v>
      </c>
      <c r="CZ376" s="13" t="n">
        <f aca="false">CZ293</f>
        <v>-62156.601822827</v>
      </c>
      <c r="DA376" s="13" t="n">
        <f aca="false">DA293</f>
        <v>-62156.601822827</v>
      </c>
      <c r="DB376" s="13" t="n">
        <f aca="false">DB293</f>
        <v>-62156.601822827</v>
      </c>
      <c r="DC376" s="13" t="n">
        <f aca="false">DC293</f>
        <v>-62156.601822827</v>
      </c>
      <c r="DD376" s="13" t="n">
        <f aca="false">DD293</f>
        <v>-62156.601822827</v>
      </c>
      <c r="DE376" s="13" t="n">
        <f aca="false">DE293</f>
        <v>-62156.601822827</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319.937883333334</v>
      </c>
      <c r="L377" s="13" t="n">
        <f aca="false">L301</f>
        <v>319.937883333334</v>
      </c>
      <c r="M377" s="13" t="n">
        <f aca="false">M301</f>
        <v>319.937883333334</v>
      </c>
      <c r="N377" s="13" t="n">
        <f aca="false">N301</f>
        <v>10875.8597981481</v>
      </c>
      <c r="O377" s="13" t="n">
        <f aca="false">O301</f>
        <v>10875.8597981481</v>
      </c>
      <c r="P377" s="13" t="n">
        <f aca="false">P301</f>
        <v>11675.7053311481</v>
      </c>
      <c r="Q377" s="13" t="n">
        <f aca="false">Q301</f>
        <v>10875.8597981481</v>
      </c>
      <c r="R377" s="13" t="n">
        <f aca="false">R301</f>
        <v>10875.8597981481</v>
      </c>
      <c r="S377" s="13" t="n">
        <f aca="false">S301</f>
        <v>10875.8597981481</v>
      </c>
      <c r="T377" s="13" t="n">
        <f aca="false">T301</f>
        <v>10875.8597981481</v>
      </c>
      <c r="U377" s="13" t="n">
        <f aca="false">U301</f>
        <v>10875.8597981481</v>
      </c>
      <c r="V377" s="13" t="n">
        <f aca="false">V301</f>
        <v>10875.8597981481</v>
      </c>
      <c r="W377" s="13" t="n">
        <f aca="false">W301</f>
        <v>10875.8597981481</v>
      </c>
      <c r="X377" s="13" t="n">
        <f aca="false">X301</f>
        <v>10875.8597981481</v>
      </c>
      <c r="Y377" s="13" t="n">
        <f aca="false">Y301</f>
        <v>10875.8597981481</v>
      </c>
      <c r="Z377" s="13" t="n">
        <f aca="false">Z301</f>
        <v>10445.2527435185</v>
      </c>
      <c r="AA377" s="13" t="n">
        <f aca="false">AA301</f>
        <v>10445.2527435185</v>
      </c>
      <c r="AB377" s="13" t="n">
        <f aca="false">AB301</f>
        <v>15788.245625418</v>
      </c>
      <c r="AC377" s="13" t="n">
        <f aca="false">AC301</f>
        <v>10445.2527435185</v>
      </c>
      <c r="AD377" s="13" t="n">
        <f aca="false">AD301</f>
        <v>10445.2527435185</v>
      </c>
      <c r="AE377" s="13" t="n">
        <f aca="false">AE301</f>
        <v>10445.2527435185</v>
      </c>
      <c r="AF377" s="13" t="n">
        <f aca="false">AF301</f>
        <v>10445.2527435185</v>
      </c>
      <c r="AG377" s="13" t="n">
        <f aca="false">AG301</f>
        <v>10445.2527435185</v>
      </c>
      <c r="AH377" s="13" t="n">
        <f aca="false">AH301</f>
        <v>10445.2527435185</v>
      </c>
      <c r="AI377" s="13" t="n">
        <f aca="false">AI301</f>
        <v>10445.2527435185</v>
      </c>
      <c r="AJ377" s="13" t="n">
        <f aca="false">AJ301</f>
        <v>10445.2527435185</v>
      </c>
      <c r="AK377" s="13" t="n">
        <f aca="false">AK301</f>
        <v>10445.2527435185</v>
      </c>
      <c r="AL377" s="13" t="n">
        <f aca="false">AL301</f>
        <v>0</v>
      </c>
      <c r="AM377" s="13" t="n">
        <f aca="false">AM301</f>
        <v>0</v>
      </c>
      <c r="AN377" s="13" t="n">
        <f aca="false">AN301</f>
        <v>5584.27117921855</v>
      </c>
      <c r="AO377" s="13" t="n">
        <f aca="false">AO301</f>
        <v>0</v>
      </c>
      <c r="AP377" s="13" t="n">
        <f aca="false">AP301</f>
        <v>0</v>
      </c>
      <c r="AQ377" s="13" t="n">
        <f aca="false">AQ301</f>
        <v>0</v>
      </c>
      <c r="AR377" s="13" t="n">
        <f aca="false">AR301</f>
        <v>0</v>
      </c>
      <c r="AS377" s="13" t="n">
        <f aca="false">AS301</f>
        <v>0</v>
      </c>
      <c r="AT377" s="13" t="n">
        <f aca="false">AT301</f>
        <v>0</v>
      </c>
      <c r="AU377" s="13" t="n">
        <f aca="false">AU301</f>
        <v>0</v>
      </c>
      <c r="AV377" s="13" t="n">
        <f aca="false">AV301</f>
        <v>0</v>
      </c>
      <c r="AW377" s="13" t="n">
        <f aca="false">AW301</f>
        <v>0</v>
      </c>
      <c r="AX377" s="13" t="n">
        <f aca="false">AX301</f>
        <v>0</v>
      </c>
      <c r="AY377" s="13" t="n">
        <f aca="false">AY301</f>
        <v>0</v>
      </c>
      <c r="AZ377" s="13" t="n">
        <f aca="false">AZ301</f>
        <v>0</v>
      </c>
      <c r="BA377" s="13" t="n">
        <f aca="false">BA301</f>
        <v>0</v>
      </c>
      <c r="BB377" s="13" t="n">
        <f aca="false">BB301</f>
        <v>0</v>
      </c>
      <c r="BC377" s="13" t="n">
        <f aca="false">BC301</f>
        <v>0</v>
      </c>
      <c r="BD377" s="13" t="n">
        <f aca="false">BD301</f>
        <v>0</v>
      </c>
      <c r="BE377" s="13" t="n">
        <f aca="false">BE301</f>
        <v>0</v>
      </c>
      <c r="BF377" s="13" t="n">
        <f aca="false">BF301</f>
        <v>0</v>
      </c>
      <c r="BG377" s="13" t="n">
        <f aca="false">BG301</f>
        <v>0</v>
      </c>
      <c r="BH377" s="13" t="n">
        <f aca="false">BH301</f>
        <v>0</v>
      </c>
      <c r="BI377" s="13" t="n">
        <f aca="false">BI301</f>
        <v>0</v>
      </c>
      <c r="BJ377" s="13" t="n">
        <f aca="false">BJ301</f>
        <v>0</v>
      </c>
      <c r="BK377" s="13" t="n">
        <f aca="false">BK301</f>
        <v>0</v>
      </c>
      <c r="BL377" s="13" t="n">
        <f aca="false">BL301</f>
        <v>0</v>
      </c>
      <c r="BM377" s="13" t="n">
        <f aca="false">BM301</f>
        <v>0</v>
      </c>
      <c r="BN377" s="13" t="n">
        <f aca="false">BN301</f>
        <v>0</v>
      </c>
      <c r="BO377" s="13" t="n">
        <f aca="false">BO301</f>
        <v>0</v>
      </c>
      <c r="BP377" s="13" t="n">
        <f aca="false">BP301</f>
        <v>0</v>
      </c>
      <c r="BQ377" s="13" t="n">
        <f aca="false">BQ301</f>
        <v>0</v>
      </c>
      <c r="BR377" s="13" t="n">
        <f aca="false">BR301</f>
        <v>0</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503745.387883333</v>
      </c>
      <c r="K381" s="68" t="n">
        <f aca="false">K375+K376+K378+K379+K380+K377</f>
        <v>349300.775766667</v>
      </c>
      <c r="L381" s="68" t="n">
        <f aca="false">L375+L376+L378+L379+L380+L377</f>
        <v>185481.16365</v>
      </c>
      <c r="M381" s="68" t="n">
        <f aca="false">M375+M376+M378+M379+M380+M377</f>
        <v>25161.5515333333</v>
      </c>
      <c r="N381" s="68" t="n">
        <f aca="false">N375+N376+N378+N379+N380+N377</f>
        <v>-234838.063931676</v>
      </c>
      <c r="O381" s="68" t="n">
        <f aca="false">O375+O376+O378+O379+O380+O377</f>
        <v>-491679.784659844</v>
      </c>
      <c r="P381" s="68" t="n">
        <f aca="false">P375+P376+P378+P379+P380+P377</f>
        <v>-747721.659855012</v>
      </c>
      <c r="Q381" s="68" t="n">
        <f aca="false">Q375+Q376+Q378+Q379+Q380+Q377</f>
        <v>-1008129.41298318</v>
      </c>
      <c r="R381" s="68" t="n">
        <f aca="false">R375+R376+R378+R379+R380+R377</f>
        <v>-1268537.16611135</v>
      </c>
      <c r="S381" s="68" t="n">
        <f aca="false">S375+S376+S378+S379+S380+S377</f>
        <v>-1528944.91923951</v>
      </c>
      <c r="T381" s="68" t="n">
        <f aca="false">T375+T376+T378+T379+T380+T377</f>
        <v>-1813258.92236768</v>
      </c>
      <c r="U381" s="68" t="n">
        <f aca="false">U375+U376+U378+U379+U380+U377</f>
        <v>-2097572.92549585</v>
      </c>
      <c r="V381" s="68" t="n">
        <f aca="false">V375+V376+V378+V379+V380+V377</f>
        <v>-2381886.92862402</v>
      </c>
      <c r="W381" s="68" t="n">
        <f aca="false">W375+W376+W378+W379+W380+W377</f>
        <v>-2666200.93175219</v>
      </c>
      <c r="X381" s="68" t="n">
        <f aca="false">X375+X376+X378+X379+X380+X377</f>
        <v>-2950514.93488035</v>
      </c>
      <c r="Y381" s="68" t="n">
        <f aca="false">Y375+Y376+Y378+Y379+Y380+Y377</f>
        <v>-3177453.93800852</v>
      </c>
      <c r="Z381" s="68" t="n">
        <f aca="false">Z375+Z376+Z378+Z379+Z380+Z377</f>
        <v>-3462198.54819132</v>
      </c>
      <c r="AA381" s="68" t="n">
        <f aca="false">AA375+AA376+AA378+AA379+AA380+AA377</f>
        <v>-3996943.15837412</v>
      </c>
      <c r="AB381" s="68" t="n">
        <f aca="false">AB375+AB376+AB378+AB379+AB380+AB377</f>
        <v>-4218969.77567501</v>
      </c>
      <c r="AC381" s="68" t="n">
        <f aca="false">AC375+AC376+AC378+AC379+AC380+AC377</f>
        <v>-4507351.73890581</v>
      </c>
      <c r="AD381" s="68" t="n">
        <f aca="false">AD375+AD376+AD378+AD379+AD380+AD377</f>
        <v>-4795733.70213661</v>
      </c>
      <c r="AE381" s="68" t="n">
        <f aca="false">AE375+AE376+AE378+AE379+AE380+AE377</f>
        <v>-5006722.095646</v>
      </c>
      <c r="AF381" s="68" t="n">
        <f aca="false">AF375+AF376+AF378+AF379+AF380+AF377</f>
        <v>-5183104.0588768</v>
      </c>
      <c r="AG381" s="68" t="n">
        <f aca="false">AG375+AG376+AG378+AG379+AG380+AG377</f>
        <v>-5362643.91684444</v>
      </c>
      <c r="AH381" s="68" t="n">
        <f aca="false">AH375+AH376+AH378+AH379+AH380+AH377</f>
        <v>-5545341.66954892</v>
      </c>
      <c r="AI381" s="68" t="n">
        <f aca="false">AI375+AI376+AI378+AI379+AI380+AI377</f>
        <v>-5737539.4222534</v>
      </c>
      <c r="AJ381" s="68" t="n">
        <f aca="false">AJ375+AJ376+AJ378+AJ379+AJ380+AJ377</f>
        <v>-5929737.17495788</v>
      </c>
      <c r="AK381" s="68" t="n">
        <f aca="false">AK375+AK376+AK378+AK379+AK380+AK377</f>
        <v>-6121934.92766236</v>
      </c>
      <c r="AL381" s="68" t="n">
        <f aca="false">AL375+AL376+AL378+AL379+AL380+AL377</f>
        <v>-6324577.93311036</v>
      </c>
      <c r="AM381" s="68" t="n">
        <f aca="false">AM375+AM376+AM378+AM379+AM380+AM377</f>
        <v>-6527220.93855836</v>
      </c>
      <c r="AN381" s="68" t="n">
        <f aca="false">AN375+AN376+AN378+AN379+AN380+AN377</f>
        <v>-6724279.67282714</v>
      </c>
      <c r="AO381" s="68" t="n">
        <f aca="false">AO375+AO376+AO378+AO379+AO380+AO377</f>
        <v>-6930632.7783841</v>
      </c>
      <c r="AP381" s="68" t="n">
        <f aca="false">AP375+AP376+AP378+AP379+AP380+AP377</f>
        <v>-7136985.88394106</v>
      </c>
      <c r="AQ381" s="68" t="n">
        <f aca="false">AQ375+AQ376+AQ378+AQ379+AQ380+AQ377</f>
        <v>-7343338.98949802</v>
      </c>
      <c r="AR381" s="68" t="n">
        <f aca="false">AR375+AR376+AR378+AR379+AR380+AR377</f>
        <v>-7549692.09505498</v>
      </c>
      <c r="AS381" s="68" t="n">
        <f aca="false">AS375+AS376+AS378+AS379+AS380+AS377</f>
        <v>-7756045.20061194</v>
      </c>
      <c r="AT381" s="68" t="n">
        <f aca="false">AT375+AT376+AT378+AT379+AT380+AT377</f>
        <v>-7962398.3061689</v>
      </c>
      <c r="AU381" s="68" t="n">
        <f aca="false">AU375+AU376+AU378+AU379+AU380+AU377</f>
        <v>-8168751.41172586</v>
      </c>
      <c r="AV381" s="68" t="n">
        <f aca="false">AV375+AV376+AV378+AV379+AV380+AV377</f>
        <v>-8375104.51728282</v>
      </c>
      <c r="AW381" s="68" t="n">
        <f aca="false">AW375+AW376+AW378+AW379+AW380+AW377</f>
        <v>-8581457.62283978</v>
      </c>
      <c r="AX381" s="68" t="n">
        <f aca="false">AX375+AX376+AX378+AX379+AX380+AX377</f>
        <v>-8787810.72839674</v>
      </c>
      <c r="AY381" s="68" t="n">
        <f aca="false">AY375+AY376+AY378+AY379+AY380+AY377</f>
        <v>-8994163.8339537</v>
      </c>
      <c r="AZ381" s="68" t="n">
        <f aca="false">AZ375+AZ376+AZ378+AZ379+AZ380+AZ377</f>
        <v>-9200516.93951066</v>
      </c>
      <c r="BA381" s="68" t="n">
        <f aca="false">BA375+BA376+BA378+BA379+BA380+BA377</f>
        <v>-9410654.34717876</v>
      </c>
      <c r="BB381" s="68" t="n">
        <f aca="false">BB375+BB376+BB378+BB379+BB380+BB377</f>
        <v>-9620791.75484686</v>
      </c>
      <c r="BC381" s="68" t="n">
        <f aca="false">BC375+BC376+BC378+BC379+BC380+BC377</f>
        <v>-9830929.16251496</v>
      </c>
      <c r="BD381" s="68" t="n">
        <f aca="false">BD375+BD376+BD378+BD379+BD380+BD377</f>
        <v>-10041066.5701831</v>
      </c>
      <c r="BE381" s="68" t="n">
        <f aca="false">BE375+BE376+BE378+BE379+BE380+BE377</f>
        <v>-10251203.9778512</v>
      </c>
      <c r="BF381" s="68" t="n">
        <f aca="false">BF375+BF376+BF378+BF379+BF380+BF377</f>
        <v>-10461341.3855193</v>
      </c>
      <c r="BG381" s="68" t="n">
        <f aca="false">BG375+BG376+BG378+BG379+BG380+BG377</f>
        <v>-10671478.7931874</v>
      </c>
      <c r="BH381" s="68" t="n">
        <f aca="false">BH375+BH376+BH378+BH379+BH380+BH377</f>
        <v>-10881616.2008555</v>
      </c>
      <c r="BI381" s="68" t="n">
        <f aca="false">BI375+BI376+BI378+BI379+BI380+BI377</f>
        <v>-11091753.6085236</v>
      </c>
      <c r="BJ381" s="68" t="n">
        <f aca="false">BJ375+BJ376+BJ378+BJ379+BJ380+BJ377</f>
        <v>-11301891.0161916</v>
      </c>
      <c r="BK381" s="68" t="n">
        <f aca="false">BK375+BK376+BK378+BK379+BK380+BK377</f>
        <v>-11512028.4238597</v>
      </c>
      <c r="BL381" s="68" t="n">
        <f aca="false">BL375+BL376+BL378+BL379+BL380+BL377</f>
        <v>-11722165.8315278</v>
      </c>
      <c r="BM381" s="68" t="n">
        <f aca="false">BM375+BM376+BM378+BM379+BM380+BM377</f>
        <v>-11936163.2273493</v>
      </c>
      <c r="BN381" s="68" t="n">
        <f aca="false">BN375+BN376+BN378+BN379+BN380+BN377</f>
        <v>-12150160.6231708</v>
      </c>
      <c r="BO381" s="68" t="n">
        <f aca="false">BO375+BO376+BO378+BO379+BO380+BO377</f>
        <v>-12364158.0189922</v>
      </c>
      <c r="BP381" s="68" t="n">
        <f aca="false">BP375+BP376+BP378+BP379+BP380+BP377</f>
        <v>-12578155.4148137</v>
      </c>
      <c r="BQ381" s="68" t="n">
        <f aca="false">BQ375+BQ376+BQ378+BQ379+BQ380+BQ377</f>
        <v>-12792152.8106352</v>
      </c>
      <c r="BR381" s="68" t="n">
        <f aca="false">BR375+BR376+BR378+BR379+BR380+BR377</f>
        <v>-12952899.8564566</v>
      </c>
      <c r="BS381" s="68" t="n">
        <f aca="false">BS375+BS376+BS378+BS379+BS380+BS377</f>
        <v>-13166897.2522781</v>
      </c>
      <c r="BT381" s="68" t="n">
        <f aca="false">BT375+BT376+BT378+BT379+BT380+BT377</f>
        <v>-13380894.6480995</v>
      </c>
      <c r="BU381" s="68" t="n">
        <f aca="false">BU375+BU376+BU378+BU379+BU380+BU377</f>
        <v>-13527130.043921</v>
      </c>
      <c r="BV381" s="68" t="n">
        <f aca="false">BV375+BV376+BV378+BV379+BV380+BV377</f>
        <v>-13741127.4397425</v>
      </c>
      <c r="BW381" s="68" t="n">
        <f aca="false">BW375+BW376+BW378+BW379+BW380+BW377</f>
        <v>-13955124.8355639</v>
      </c>
      <c r="BX381" s="68" t="n">
        <f aca="false">BX375+BX376+BX378+BX379+BX380+BX377</f>
        <v>-14101360.2313854</v>
      </c>
      <c r="BY381" s="68" t="n">
        <f aca="false">BY375+BY376+BY378+BY379+BY380+BY377</f>
        <v>-14319294.8151233</v>
      </c>
      <c r="BZ381" s="68" t="n">
        <f aca="false">BZ375+BZ376+BZ378+BZ379+BZ380+BZ377</f>
        <v>-14537229.3988612</v>
      </c>
      <c r="CA381" s="68" t="n">
        <f aca="false">CA375+CA376+CA378+CA379+CA380+CA377</f>
        <v>-14687401.9825991</v>
      </c>
      <c r="CB381" s="68" t="n">
        <f aca="false">CB375+CB376+CB378+CB379+CB380+CB377</f>
        <v>-14905336.5663369</v>
      </c>
      <c r="CC381" s="68" t="n">
        <f aca="false">CC375+CC376+CC378+CC379+CC380+CC377</f>
        <v>-15123271.1500748</v>
      </c>
      <c r="CD381" s="68" t="n">
        <f aca="false">CD375+CD376+CD378+CD379+CD380+CD377</f>
        <v>-15264706.7338127</v>
      </c>
      <c r="CE381" s="68" t="n">
        <f aca="false">CE375+CE376+CE378+CE379+CE380+CE377</f>
        <v>-15482641.3175506</v>
      </c>
      <c r="CF381" s="68" t="n">
        <f aca="false">CF375+CF376+CF378+CF379+CF380+CF377</f>
        <v>-15700575.9012885</v>
      </c>
      <c r="CG381" s="68" t="n">
        <f aca="false">CG375+CG376+CG378+CG379+CG380+CG377</f>
        <v>-15842011.4850264</v>
      </c>
      <c r="CH381" s="68" t="n">
        <f aca="false">CH375+CH376+CH378+CH379+CH380+CH377</f>
        <v>-16059946.0687643</v>
      </c>
      <c r="CI381" s="68" t="n">
        <f aca="false">CI375+CI376+CI378+CI379+CI380+CI377</f>
        <v>-16277880.6525022</v>
      </c>
      <c r="CJ381" s="68" t="n">
        <f aca="false">CJ375+CJ376+CJ378+CJ379+CJ380+CJ377</f>
        <v>-16412708.2096336</v>
      </c>
      <c r="CK381" s="68" t="n">
        <f aca="false">CK375+CK376+CK378+CK379+CK380+CK377</f>
        <v>-16476797.7250462</v>
      </c>
      <c r="CL381" s="68" t="n">
        <f aca="false">CL375+CL376+CL378+CL379+CL380+CL377</f>
        <v>-16540887.2404589</v>
      </c>
      <c r="CM381" s="68" t="n">
        <f aca="false">CM375+CM376+CM378+CM379+CM380+CM377</f>
        <v>-16604976.7558715</v>
      </c>
      <c r="CN381" s="68" t="n">
        <f aca="false">CN375+CN376+CN378+CN379+CN380+CN377</f>
        <v>-16669066.2712842</v>
      </c>
      <c r="CO381" s="68" t="n">
        <f aca="false">CO375+CO376+CO378+CO379+CO380+CO377</f>
        <v>-16733155.7866968</v>
      </c>
      <c r="CP381" s="68" t="n">
        <f aca="false">CP375+CP376+CP378+CP379+CP380+CP377</f>
        <v>-16797245.3021095</v>
      </c>
      <c r="CQ381" s="68" t="n">
        <f aca="false">CQ375+CQ376+CQ378+CQ379+CQ380+CQ377</f>
        <v>-16861334.8175221</v>
      </c>
      <c r="CR381" s="68" t="n">
        <f aca="false">CR375+CR376+CR378+CR379+CR380+CR377</f>
        <v>-16925424.3329348</v>
      </c>
      <c r="CS381" s="68" t="n">
        <f aca="false">CS375+CS376+CS378+CS379+CS380+CS377</f>
        <v>-16989513.8483474</v>
      </c>
      <c r="CT381" s="68" t="n">
        <f aca="false">CT375+CT376+CT378+CT379+CT380+CT377</f>
        <v>-17047692.418762</v>
      </c>
      <c r="CU381" s="68" t="n">
        <f aca="false">CU375+CU376+CU378+CU379+CU380+CU377</f>
        <v>-17105870.9891765</v>
      </c>
      <c r="CV381" s="68" t="n">
        <f aca="false">CV375+CV376+CV378+CV379+CV380+CV377</f>
        <v>-17164049.559591</v>
      </c>
      <c r="CW381" s="68" t="n">
        <f aca="false">CW375+CW376+CW378+CW379+CW380+CW377</f>
        <v>-17226206.1614139</v>
      </c>
      <c r="CX381" s="68" t="n">
        <f aca="false">CX375+CX376+CX378+CX379+CX380+CX377</f>
        <v>-17288362.7632367</v>
      </c>
      <c r="CY381" s="68" t="n">
        <f aca="false">CY375+CY376+CY378+CY379+CY380+CY377</f>
        <v>-17350519.3650595</v>
      </c>
      <c r="CZ381" s="68" t="n">
        <f aca="false">CZ375+CZ376+CZ378+CZ379+CZ380+CZ377</f>
        <v>-17412675.9668823</v>
      </c>
      <c r="DA381" s="68" t="n">
        <f aca="false">DA375+DA376+DA378+DA379+DA380+DA377</f>
        <v>-17474832.5687052</v>
      </c>
      <c r="DB381" s="68" t="n">
        <f aca="false">DB375+DB376+DB378+DB379+DB380+DB377</f>
        <v>-17536989.170528</v>
      </c>
      <c r="DC381" s="68" t="n">
        <f aca="false">DC375+DC376+DC378+DC379+DC380+DC377</f>
        <v>-17599145.7723508</v>
      </c>
      <c r="DD381" s="68" t="n">
        <f aca="false">DD375+DD376+DD378+DD379+DD380+DD377</f>
        <v>-17661302.3741737</v>
      </c>
      <c r="DE381" s="68" t="n">
        <f aca="false">DE375+DE376+DE378+DE379+DE380+DE377</f>
        <v>-17723458.9759965</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1625067.18212404</v>
      </c>
      <c r="L384" s="13" t="n">
        <f aca="false">L364+L375</f>
        <v>1974023.90060204</v>
      </c>
      <c r="M384" s="13" t="n">
        <f aca="false">M364+M375</f>
        <v>2262823.00851452</v>
      </c>
      <c r="N384" s="13" t="n">
        <f aca="false">N364+N375</f>
        <v>2194441.66598602</v>
      </c>
      <c r="O384" s="13" t="n">
        <f aca="false">O364+O375</f>
        <v>1047233.50863443</v>
      </c>
      <c r="P384" s="13" t="n">
        <f aca="false">P364+P375</f>
        <v>1146599.00632778</v>
      </c>
      <c r="Q384" s="13" t="n">
        <f aca="false">Q364+Q375</f>
        <v>1202758.27703508</v>
      </c>
      <c r="R384" s="13" t="n">
        <f aca="false">R364+R375</f>
        <v>1262165.91404939</v>
      </c>
      <c r="S384" s="13" t="n">
        <f aca="false">S364+S375</f>
        <v>1275653.40456369</v>
      </c>
      <c r="T384" s="13" t="n">
        <f aca="false">T364+T375</f>
        <v>1175786.84387513</v>
      </c>
      <c r="U384" s="13" t="n">
        <f aca="false">U364+U375</f>
        <v>349790.673078766</v>
      </c>
      <c r="V384" s="13" t="n">
        <f aca="false">V364+V375</f>
        <v>529796.529447425</v>
      </c>
      <c r="W384" s="13" t="n">
        <f aca="false">W364+W375</f>
        <v>674566.641316085</v>
      </c>
      <c r="X384" s="13" t="n">
        <f aca="false">X364+X375</f>
        <v>868388.736684743</v>
      </c>
      <c r="Y384" s="13" t="n">
        <f aca="false">Y364+Y375</f>
        <v>851908.238053402</v>
      </c>
      <c r="Z384" s="13" t="n">
        <f aca="false">Z364+Z375</f>
        <v>1069721.00042206</v>
      </c>
      <c r="AA384" s="13" t="n">
        <f aca="false">AA364+AA375</f>
        <v>1069872.12096686</v>
      </c>
      <c r="AB384" s="13" t="n">
        <f aca="false">AB364+AB375</f>
        <v>1068374.96595898</v>
      </c>
      <c r="AC384" s="13" t="n">
        <f aca="false">AC364+AC375</f>
        <v>1419066.9892671</v>
      </c>
      <c r="AD384" s="13" t="n">
        <f aca="false">AD364+AD375</f>
        <v>1459554.03412464</v>
      </c>
      <c r="AE384" s="13" t="n">
        <f aca="false">AE364+AE375</f>
        <v>1297767.657854</v>
      </c>
      <c r="AF384" s="13" t="n">
        <f aca="false">AF364+AF375</f>
        <v>1259085.85311246</v>
      </c>
      <c r="AG384" s="13" t="n">
        <f aca="false">AG364+AG375</f>
        <v>1364161.00503224</v>
      </c>
      <c r="AH384" s="13" t="n">
        <f aca="false">AH364+AH375</f>
        <v>1559719.74754394</v>
      </c>
      <c r="AI384" s="13" t="n">
        <f aca="false">AI364+AI375</f>
        <v>1639261.75091421</v>
      </c>
      <c r="AJ384" s="13" t="n">
        <f aca="false">AJ364+AJ375</f>
        <v>1582534.15943796</v>
      </c>
      <c r="AK384" s="13" t="n">
        <f aca="false">AK364+AK375</f>
        <v>1647367.27255108</v>
      </c>
      <c r="AL384" s="13" t="n">
        <f aca="false">AL364+AL375</f>
        <v>1602292.07660464</v>
      </c>
      <c r="AM384" s="13" t="n">
        <f aca="false">AM364+AM375</f>
        <v>1291721.70560579</v>
      </c>
      <c r="AN384" s="13" t="n">
        <f aca="false">AN364+AN375</f>
        <v>994867.315606948</v>
      </c>
      <c r="AO384" s="13" t="n">
        <f aca="false">AO364+AO375</f>
        <v>978274.975287323</v>
      </c>
      <c r="AP384" s="13" t="n">
        <f aca="false">AP364+AP375</f>
        <v>581085.443671415</v>
      </c>
      <c r="AQ384" s="13" t="n">
        <f aca="false">AQ364+AQ375</f>
        <v>143967.302055506</v>
      </c>
      <c r="AR384" s="13" t="n">
        <f aca="false">AR364+AR375</f>
        <v>-293150.839560403</v>
      </c>
      <c r="AS384" s="13" t="n">
        <f aca="false">AS364+AS375</f>
        <v>-730268.981176311</v>
      </c>
      <c r="AT384" s="13" t="n">
        <f aca="false">AT364+AT375</f>
        <v>-1167387.12279222</v>
      </c>
      <c r="AU384" s="13" t="n">
        <f aca="false">AU364+AU375</f>
        <v>-1604505.26440813</v>
      </c>
      <c r="AV384" s="13" t="n">
        <f aca="false">AV364+AV375</f>
        <v>-2041623.40602404</v>
      </c>
      <c r="AW384" s="13" t="n">
        <f aca="false">AW364+AW375</f>
        <v>-2219880.24155412</v>
      </c>
      <c r="AX384" s="13" t="n">
        <f aca="false">AX364+AX375</f>
        <v>-2375884.08761367</v>
      </c>
      <c r="AY384" s="13" t="n">
        <f aca="false">AY364+AY375</f>
        <v>-2976947.72308393</v>
      </c>
      <c r="AZ384" s="13" t="n">
        <f aca="false">AZ364+AZ375</f>
        <v>-3578011.35855419</v>
      </c>
      <c r="BA384" s="13" t="n">
        <f aca="false">BA364+BA375</f>
        <v>-4179074.99402446</v>
      </c>
      <c r="BB384" s="13" t="n">
        <f aca="false">BB364+BB375</f>
        <v>-4791517.14220413</v>
      </c>
      <c r="BC384" s="13" t="n">
        <f aca="false">BC364+BC375</f>
        <v>-5403959.2903838</v>
      </c>
      <c r="BD384" s="13" t="n">
        <f aca="false">BD364+BD375</f>
        <v>-6016401.43856347</v>
      </c>
      <c r="BE384" s="13" t="n">
        <f aca="false">BE364+BE375</f>
        <v>-6628843.58674313</v>
      </c>
      <c r="BF384" s="13" t="n">
        <f aca="false">BF364+BF375</f>
        <v>-7241285.7349228</v>
      </c>
      <c r="BG384" s="13" t="n">
        <f aca="false">BG364+BG375</f>
        <v>-7853727.88310247</v>
      </c>
      <c r="BH384" s="13" t="n">
        <f aca="false">BH364+BH375</f>
        <v>-8466170.03128214</v>
      </c>
      <c r="BI384" s="13" t="n">
        <f aca="false">BI364+BI375</f>
        <v>-9078612.17946181</v>
      </c>
      <c r="BJ384" s="13" t="n">
        <f aca="false">BJ364+BJ375</f>
        <v>-9691054.32764148</v>
      </c>
      <c r="BK384" s="13" t="n">
        <f aca="false">BK364+BK375</f>
        <v>-10303496.4758211</v>
      </c>
      <c r="BL384" s="13" t="n">
        <f aca="false">BL364+BL375</f>
        <v>-10915938.6240008</v>
      </c>
      <c r="BM384" s="13" t="n">
        <f aca="false">BM364+BM375</f>
        <v>-11528380.7721805</v>
      </c>
      <c r="BN384" s="13" t="n">
        <f aca="false">BN364+BN375</f>
        <v>-12152429.0033237</v>
      </c>
      <c r="BO384" s="13" t="n">
        <f aca="false">BO364+BO375</f>
        <v>-12776477.234467</v>
      </c>
      <c r="BP384" s="13" t="n">
        <f aca="false">BP364+BP375</f>
        <v>-13400525.4656103</v>
      </c>
      <c r="BQ384" s="13" t="n">
        <f aca="false">BQ364+BQ375</f>
        <v>-14024573.6967535</v>
      </c>
      <c r="BR384" s="13" t="n">
        <f aca="false">BR364+BR375</f>
        <v>-14648621.9278968</v>
      </c>
      <c r="BS384" s="13" t="n">
        <f aca="false">BS364+BS375</f>
        <v>-15219419.8090401</v>
      </c>
      <c r="BT384" s="13" t="n">
        <f aca="false">BT364+BT375</f>
        <v>-15843468.0401833</v>
      </c>
      <c r="BU384" s="13" t="n">
        <f aca="false">BU364+BU375</f>
        <v>-16467516.2713266</v>
      </c>
      <c r="BV384" s="13" t="n">
        <f aca="false">BV364+BV375</f>
        <v>-17023802.5024699</v>
      </c>
      <c r="BW384" s="13" t="n">
        <f aca="false">BW364+BW375</f>
        <v>-17647850.7336131</v>
      </c>
      <c r="BX384" s="13" t="n">
        <f aca="false">BX364+BX375</f>
        <v>-18271898.9647564</v>
      </c>
      <c r="BY384" s="13" t="n">
        <f aca="false">BY364+BY375</f>
        <v>-18828185.1958996</v>
      </c>
      <c r="BZ384" s="13" t="n">
        <f aca="false">BZ364+BZ375</f>
        <v>-19464071.6316658</v>
      </c>
      <c r="CA384" s="13" t="n">
        <f aca="false">CA364+CA375</f>
        <v>-20099958.0674319</v>
      </c>
      <c r="CB384" s="13" t="n">
        <f aca="false">CB364+CB375</f>
        <v>-20668082.503198</v>
      </c>
      <c r="CC384" s="13" t="n">
        <f aca="false">CC364+CC375</f>
        <v>-21303968.9389642</v>
      </c>
      <c r="CD384" s="13" t="n">
        <f aca="false">CD364+CD375</f>
        <v>-21939855.3747303</v>
      </c>
      <c r="CE384" s="13" t="n">
        <f aca="false">CE364+CE375</f>
        <v>-22499242.8104964</v>
      </c>
      <c r="CF384" s="13" t="n">
        <f aca="false">CF364+CF375</f>
        <v>-23135129.2462625</v>
      </c>
      <c r="CG384" s="13" t="n">
        <f aca="false">CG364+CG375</f>
        <v>-23771015.6820287</v>
      </c>
      <c r="CH384" s="13" t="n">
        <f aca="false">CH364+CH375</f>
        <v>-24330403.1177948</v>
      </c>
      <c r="CI384" s="13" t="n">
        <f aca="false">CI364+CI375</f>
        <v>-24966289.5535609</v>
      </c>
      <c r="CJ384" s="13" t="n">
        <f aca="false">CJ364+CJ375</f>
        <v>-25602175.9893271</v>
      </c>
      <c r="CK384" s="13" t="n">
        <f aca="false">CK364+CK375</f>
        <v>-26154955.3984867</v>
      </c>
      <c r="CL384" s="13" t="n">
        <f aca="false">CL364+CL375</f>
        <v>-26645055.8029682</v>
      </c>
      <c r="CM384" s="13" t="n">
        <f aca="false">CM364+CM375</f>
        <v>-27135156.2074496</v>
      </c>
      <c r="CN384" s="13" t="n">
        <f aca="false">CN364+CN375</f>
        <v>-27625256.6119311</v>
      </c>
      <c r="CO384" s="13" t="n">
        <f aca="false">CO364+CO375</f>
        <v>-28115357.0164125</v>
      </c>
      <c r="CP384" s="13" t="n">
        <f aca="false">CP364+CP375</f>
        <v>-28605457.420894</v>
      </c>
      <c r="CQ384" s="13" t="n">
        <f aca="false">CQ364+CQ375</f>
        <v>-29095557.8253754</v>
      </c>
      <c r="CR384" s="13" t="n">
        <f aca="false">CR364+CR375</f>
        <v>-29585658.2298569</v>
      </c>
      <c r="CS384" s="13" t="n">
        <f aca="false">CS364+CS375</f>
        <v>-30075758.6343383</v>
      </c>
      <c r="CT384" s="13" t="n">
        <f aca="false">CT364+CT375</f>
        <v>-30565859.0388198</v>
      </c>
      <c r="CU384" s="13" t="n">
        <f aca="false">CU364+CU375</f>
        <v>-31009695.6842611</v>
      </c>
      <c r="CV384" s="13" t="n">
        <f aca="false">CV364+CV375</f>
        <v>-31453532.3297024</v>
      </c>
      <c r="CW384" s="13" t="n">
        <f aca="false">CW364+CW375</f>
        <v>-31897368.9751437</v>
      </c>
      <c r="CX384" s="13" t="n">
        <f aca="false">CX364+CX375</f>
        <v>-32352596.8134938</v>
      </c>
      <c r="CY384" s="13" t="n">
        <f aca="false">CY364+CY375</f>
        <v>-32807824.651844</v>
      </c>
      <c r="CZ384" s="13" t="n">
        <f aca="false">CZ364+CZ375</f>
        <v>-33263052.4901941</v>
      </c>
      <c r="DA384" s="13" t="n">
        <f aca="false">DA364+DA375</f>
        <v>-33718280.3285443</v>
      </c>
      <c r="DB384" s="13" t="n">
        <f aca="false">DB364+DB375</f>
        <v>-34173508.1668944</v>
      </c>
      <c r="DC384" s="13" t="n">
        <f aca="false">DC364+DC375</f>
        <v>-34628736.0052445</v>
      </c>
      <c r="DD384" s="13" t="n">
        <f aca="false">DD364+DD375</f>
        <v>-35083963.8435947</v>
      </c>
      <c r="DE384" s="13" t="n">
        <f aca="false">DE364+DE375</f>
        <v>-35539191.6819448</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-228839.646490721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-860382.876940632</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-407854.794151603</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0</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0</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0</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1625067.18212404</v>
      </c>
      <c r="K386" s="68" t="n">
        <f aca="false">K372+K381+K385</f>
        <v>1974023.90060204</v>
      </c>
      <c r="L386" s="68" t="n">
        <f aca="false">L372+L381+L385</f>
        <v>2262823.00851452</v>
      </c>
      <c r="M386" s="68" t="n">
        <f aca="false">M372+M381+M385</f>
        <v>2194441.66598602</v>
      </c>
      <c r="N386" s="68" t="n">
        <f aca="false">N372+N381+N385</f>
        <v>1047233.50863443</v>
      </c>
      <c r="O386" s="68" t="n">
        <f aca="false">O372+O381+O385</f>
        <v>1146599.00632778</v>
      </c>
      <c r="P386" s="68" t="n">
        <f aca="false">P372+P381+P385</f>
        <v>973918.630544363</v>
      </c>
      <c r="Q386" s="68" t="n">
        <f aca="false">Q372+Q381+Q385</f>
        <v>1262165.91404939</v>
      </c>
      <c r="R386" s="68" t="n">
        <f aca="false">R372+R381+R385</f>
        <v>1275653.40456369</v>
      </c>
      <c r="S386" s="68" t="n">
        <f aca="false">S372+S381+S385</f>
        <v>1175786.84387513</v>
      </c>
      <c r="T386" s="68" t="n">
        <f aca="false">T372+T381+T385</f>
        <v>349790.673078766</v>
      </c>
      <c r="U386" s="68" t="n">
        <f aca="false">U372+U381+U385</f>
        <v>529796.529447425</v>
      </c>
      <c r="V386" s="68" t="n">
        <f aca="false">V372+V381+V385</f>
        <v>674566.641316085</v>
      </c>
      <c r="W386" s="68" t="n">
        <f aca="false">W372+W381+W385</f>
        <v>868388.736684743</v>
      </c>
      <c r="X386" s="68" t="n">
        <f aca="false">X372+X381+X385</f>
        <v>851908.238053402</v>
      </c>
      <c r="Y386" s="68" t="n">
        <f aca="false">Y372+Y381+Y385</f>
        <v>1069721.00042206</v>
      </c>
      <c r="Z386" s="68" t="n">
        <f aca="false">Z372+Z381+Z385</f>
        <v>1069872.12096686</v>
      </c>
      <c r="AA386" s="68" t="n">
        <f aca="false">AA372+AA381+AA385</f>
        <v>1068374.96595898</v>
      </c>
      <c r="AB386" s="68" t="n">
        <f aca="false">AB372+AB381+AB385</f>
        <v>558684.11232647</v>
      </c>
      <c r="AC386" s="68" t="n">
        <f aca="false">AC372+AC381+AC385</f>
        <v>1459554.03412464</v>
      </c>
      <c r="AD386" s="68" t="n">
        <f aca="false">AD372+AD381+AD385</f>
        <v>1297767.657854</v>
      </c>
      <c r="AE386" s="68" t="n">
        <f aca="false">AE372+AE381+AE385</f>
        <v>1259085.85311246</v>
      </c>
      <c r="AF386" s="68" t="n">
        <f aca="false">AF372+AF381+AF385</f>
        <v>1364161.00503224</v>
      </c>
      <c r="AG386" s="68" t="n">
        <f aca="false">AG372+AG381+AG385</f>
        <v>1559719.74754394</v>
      </c>
      <c r="AH386" s="68" t="n">
        <f aca="false">AH372+AH381+AH385</f>
        <v>1639261.75091421</v>
      </c>
      <c r="AI386" s="68" t="n">
        <f aca="false">AI372+AI381+AI385</f>
        <v>1582534.15943796</v>
      </c>
      <c r="AJ386" s="68" t="n">
        <f aca="false">AJ372+AJ381+AJ385</f>
        <v>1647367.27255108</v>
      </c>
      <c r="AK386" s="68" t="n">
        <f aca="false">AK372+AK381+AK385</f>
        <v>1602292.07660464</v>
      </c>
      <c r="AL386" s="68" t="n">
        <f aca="false">AL372+AL381+AL385</f>
        <v>1291721.70560579</v>
      </c>
      <c r="AM386" s="68" t="n">
        <f aca="false">AM372+AM381+AM385</f>
        <v>994867.315606948</v>
      </c>
      <c r="AN386" s="68" t="n">
        <f aca="false">AN372+AN381+AN385</f>
        <v>570420.18113572</v>
      </c>
      <c r="AO386" s="68" t="n">
        <f aca="false">AO372+AO381+AO385</f>
        <v>581085.443671415</v>
      </c>
      <c r="AP386" s="68" t="n">
        <f aca="false">AP372+AP381+AP385</f>
        <v>143967.302055506</v>
      </c>
      <c r="AQ386" s="68" t="n">
        <f aca="false">AQ372+AQ381+AQ385</f>
        <v>-293150.839560403</v>
      </c>
      <c r="AR386" s="68" t="n">
        <f aca="false">AR372+AR381+AR385</f>
        <v>-730268.981176311</v>
      </c>
      <c r="AS386" s="68" t="n">
        <f aca="false">AS372+AS381+AS385</f>
        <v>-1167387.12279222</v>
      </c>
      <c r="AT386" s="68" t="n">
        <f aca="false">AT372+AT381+AT385</f>
        <v>-1604505.26440813</v>
      </c>
      <c r="AU386" s="68" t="n">
        <f aca="false">AU372+AU381+AU385</f>
        <v>-2041623.40602404</v>
      </c>
      <c r="AV386" s="68" t="n">
        <f aca="false">AV372+AV381+AV385</f>
        <v>-2219880.24155412</v>
      </c>
      <c r="AW386" s="68" t="n">
        <f aca="false">AW372+AW381+AW385</f>
        <v>-2375884.08761367</v>
      </c>
      <c r="AX386" s="68" t="n">
        <f aca="false">AX372+AX381+AX385</f>
        <v>-2976947.72308393</v>
      </c>
      <c r="AY386" s="68" t="n">
        <f aca="false">AY372+AY381+AY385</f>
        <v>-3578011.35855419</v>
      </c>
      <c r="AZ386" s="68" t="n">
        <f aca="false">AZ372+AZ381+AZ385</f>
        <v>-4179074.99402446</v>
      </c>
      <c r="BA386" s="68" t="n">
        <f aca="false">BA372+BA381+BA385</f>
        <v>-4791517.14220413</v>
      </c>
      <c r="BB386" s="68" t="n">
        <f aca="false">BB372+BB381+BB385</f>
        <v>-5403959.2903838</v>
      </c>
      <c r="BC386" s="68" t="n">
        <f aca="false">BC372+BC381+BC385</f>
        <v>-6016401.43856347</v>
      </c>
      <c r="BD386" s="68" t="n">
        <f aca="false">BD372+BD381+BD385</f>
        <v>-6628843.58674313</v>
      </c>
      <c r="BE386" s="68" t="n">
        <f aca="false">BE372+BE381+BE385</f>
        <v>-7241285.7349228</v>
      </c>
      <c r="BF386" s="68" t="n">
        <f aca="false">BF372+BF381+BF385</f>
        <v>-7853727.88310247</v>
      </c>
      <c r="BG386" s="68" t="n">
        <f aca="false">BG372+BG381+BG385</f>
        <v>-8466170.03128214</v>
      </c>
      <c r="BH386" s="68" t="n">
        <f aca="false">BH372+BH381+BH385</f>
        <v>-9078612.17946181</v>
      </c>
      <c r="BI386" s="68" t="n">
        <f aca="false">BI372+BI381+BI385</f>
        <v>-9691054.32764148</v>
      </c>
      <c r="BJ386" s="68" t="n">
        <f aca="false">BJ372+BJ381+BJ385</f>
        <v>-10303496.4758211</v>
      </c>
      <c r="BK386" s="68" t="n">
        <f aca="false">BK372+BK381+BK385</f>
        <v>-10915938.6240008</v>
      </c>
      <c r="BL386" s="68" t="n">
        <f aca="false">BL372+BL381+BL385</f>
        <v>-11528380.7721805</v>
      </c>
      <c r="BM386" s="68" t="n">
        <f aca="false">BM372+BM381+BM385</f>
        <v>-12152429.0033237</v>
      </c>
      <c r="BN386" s="68" t="n">
        <f aca="false">BN372+BN381+BN385</f>
        <v>-12776477.234467</v>
      </c>
      <c r="BO386" s="68" t="n">
        <f aca="false">BO372+BO381+BO385</f>
        <v>-13400525.4656103</v>
      </c>
      <c r="BP386" s="68" t="n">
        <f aca="false">BP372+BP381+BP385</f>
        <v>-14024573.6967535</v>
      </c>
      <c r="BQ386" s="68" t="n">
        <f aca="false">BQ372+BQ381+BQ385</f>
        <v>-14648621.9278968</v>
      </c>
      <c r="BR386" s="68" t="n">
        <f aca="false">BR372+BR381+BR385</f>
        <v>-15219419.8090401</v>
      </c>
      <c r="BS386" s="68" t="n">
        <f aca="false">BS372+BS381+BS385</f>
        <v>-15843468.0401833</v>
      </c>
      <c r="BT386" s="68" t="n">
        <f aca="false">BT372+BT381+BT385</f>
        <v>-16467516.2713266</v>
      </c>
      <c r="BU386" s="68" t="n">
        <f aca="false">BU372+BU381+BU385</f>
        <v>-17023802.5024699</v>
      </c>
      <c r="BV386" s="68" t="n">
        <f aca="false">BV372+BV381+BV385</f>
        <v>-17647850.7336131</v>
      </c>
      <c r="BW386" s="68" t="n">
        <f aca="false">BW372+BW381+BW385</f>
        <v>-18271898.9647564</v>
      </c>
      <c r="BX386" s="68" t="n">
        <f aca="false">BX372+BX381+BX385</f>
        <v>-18828185.1958996</v>
      </c>
      <c r="BY386" s="68" t="n">
        <f aca="false">BY372+BY381+BY385</f>
        <v>-19464071.6316658</v>
      </c>
      <c r="BZ386" s="68" t="n">
        <f aca="false">BZ372+BZ381+BZ385</f>
        <v>-20099958.0674319</v>
      </c>
      <c r="CA386" s="68" t="n">
        <f aca="false">CA372+CA381+CA385</f>
        <v>-20668082.503198</v>
      </c>
      <c r="CB386" s="68" t="n">
        <f aca="false">CB372+CB381+CB385</f>
        <v>-21303968.9389642</v>
      </c>
      <c r="CC386" s="68" t="n">
        <f aca="false">CC372+CC381+CC385</f>
        <v>-21939855.3747303</v>
      </c>
      <c r="CD386" s="68" t="n">
        <f aca="false">CD372+CD381+CD385</f>
        <v>-22499242.8104964</v>
      </c>
      <c r="CE386" s="68" t="n">
        <f aca="false">CE372+CE381+CE385</f>
        <v>-23135129.2462625</v>
      </c>
      <c r="CF386" s="68" t="n">
        <f aca="false">CF372+CF381+CF385</f>
        <v>-23771015.6820287</v>
      </c>
      <c r="CG386" s="68" t="n">
        <f aca="false">CG372+CG381+CG385</f>
        <v>-24330403.1177948</v>
      </c>
      <c r="CH386" s="68" t="n">
        <f aca="false">CH372+CH381+CH385</f>
        <v>-24966289.5535609</v>
      </c>
      <c r="CI386" s="68" t="n">
        <f aca="false">CI372+CI381+CI385</f>
        <v>-25602175.9893271</v>
      </c>
      <c r="CJ386" s="68" t="n">
        <f aca="false">CJ372+CJ381+CJ385</f>
        <v>-26154955.3984867</v>
      </c>
      <c r="CK386" s="68" t="n">
        <f aca="false">CK372+CK381+CK385</f>
        <v>-26645055.8029682</v>
      </c>
      <c r="CL386" s="68" t="n">
        <f aca="false">CL372+CL381+CL385</f>
        <v>-27135156.2074496</v>
      </c>
      <c r="CM386" s="68" t="n">
        <f aca="false">CM372+CM381+CM385</f>
        <v>-27625256.6119311</v>
      </c>
      <c r="CN386" s="68" t="n">
        <f aca="false">CN372+CN381+CN385</f>
        <v>-28115357.0164125</v>
      </c>
      <c r="CO386" s="68" t="n">
        <f aca="false">CO372+CO381+CO385</f>
        <v>-28605457.420894</v>
      </c>
      <c r="CP386" s="68" t="n">
        <f aca="false">CP372+CP381+CP385</f>
        <v>-29095557.8253754</v>
      </c>
      <c r="CQ386" s="68" t="n">
        <f aca="false">CQ372+CQ381+CQ385</f>
        <v>-29585658.2298569</v>
      </c>
      <c r="CR386" s="68" t="n">
        <f aca="false">CR372+CR381+CR385</f>
        <v>-30075758.6343383</v>
      </c>
      <c r="CS386" s="68" t="n">
        <f aca="false">CS372+CS381+CS385</f>
        <v>-30565859.0388198</v>
      </c>
      <c r="CT386" s="68" t="n">
        <f aca="false">CT372+CT381+CT385</f>
        <v>-31009695.6842611</v>
      </c>
      <c r="CU386" s="68" t="n">
        <f aca="false">CU372+CU381+CU385</f>
        <v>-31453532.3297024</v>
      </c>
      <c r="CV386" s="68" t="n">
        <f aca="false">CV372+CV381+CV385</f>
        <v>-31897368.9751437</v>
      </c>
      <c r="CW386" s="68" t="n">
        <f aca="false">CW372+CW381+CW385</f>
        <v>-32352596.8134938</v>
      </c>
      <c r="CX386" s="68" t="n">
        <f aca="false">CX372+CX381+CX385</f>
        <v>-32807824.651844</v>
      </c>
      <c r="CY386" s="68" t="n">
        <f aca="false">CY372+CY381+CY385</f>
        <v>-33263052.4901941</v>
      </c>
      <c r="CZ386" s="68" t="n">
        <f aca="false">CZ372+CZ381+CZ385</f>
        <v>-33718280.3285443</v>
      </c>
      <c r="DA386" s="68" t="n">
        <f aca="false">DA372+DA381+DA385</f>
        <v>-34173508.1668944</v>
      </c>
      <c r="DB386" s="68" t="n">
        <f aca="false">DB372+DB381+DB385</f>
        <v>-34628736.0052445</v>
      </c>
      <c r="DC386" s="68" t="n">
        <f aca="false">DC372+DC381+DC385</f>
        <v>-35083963.8435947</v>
      </c>
      <c r="DD386" s="68" t="n">
        <f aca="false">DD372+DD381+DD385</f>
        <v>-35539191.6819448</v>
      </c>
      <c r="DE386" s="68" t="n">
        <f aca="false">DE372+DE381+DE385</f>
        <v>-35994419.520295</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7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7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7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7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7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7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7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7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7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3.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1121321.7942407</v>
      </c>
      <c r="K415" s="13" t="n">
        <f aca="false">IF(K$4="Actuals",IF(L$4="Actuals","",L364),K372)</f>
        <v>1624723.12483538</v>
      </c>
      <c r="L415" s="13" t="n">
        <f aca="false">IF(L$4="Actuals",IF(M$4="Actuals","",M364),L372)</f>
        <v>2077341.84486452</v>
      </c>
      <c r="M415" s="13" t="n">
        <f aca="false">IF(M$4="Actuals",IF(N$4="Actuals","",N364),M372)</f>
        <v>2169280.11445269</v>
      </c>
      <c r="N415" s="13" t="n">
        <f aca="false">IF(N$4="Actuals",IF(O$4="Actuals","",O364),N372)</f>
        <v>1282071.57256611</v>
      </c>
      <c r="O415" s="13" t="n">
        <f aca="false">IF(O$4="Actuals",IF(P$4="Actuals","",P364),O372)</f>
        <v>1638278.79098763</v>
      </c>
      <c r="P415" s="13" t="n">
        <f aca="false">IF(P$4="Actuals",IF(Q$4="Actuals","",Q364),P372)</f>
        <v>1950479.9368901</v>
      </c>
      <c r="Q415" s="13" t="n">
        <f aca="false">IF(Q$4="Actuals",IF(R$4="Actuals","",R364),Q372)</f>
        <v>2270295.32703257</v>
      </c>
      <c r="R415" s="13" t="n">
        <f aca="false">IF(R$4="Actuals",IF(S$4="Actuals","",S364),R372)</f>
        <v>2544190.57067504</v>
      </c>
      <c r="S415" s="13" t="n">
        <f aca="false">IF(S$4="Actuals",IF(T$4="Actuals","",T364),S372)</f>
        <v>2704731.76311465</v>
      </c>
      <c r="T415" s="13" t="n">
        <f aca="false">IF(T$4="Actuals",IF(U$4="Actuals","",U364),T372)</f>
        <v>2163049.59544645</v>
      </c>
      <c r="U415" s="13" t="n">
        <f aca="false">IF(U$4="Actuals",IF(V$4="Actuals","",V364),U372)</f>
        <v>2627369.45494328</v>
      </c>
      <c r="V415" s="13" t="n">
        <f aca="false">IF(V$4="Actuals",IF(W$4="Actuals","",W364),V372)</f>
        <v>3056453.5699401</v>
      </c>
      <c r="W415" s="13" t="n">
        <f aca="false">IF(W$4="Actuals",IF(X$4="Actuals","",X364),W372)</f>
        <v>3534589.66843693</v>
      </c>
      <c r="X415" s="13" t="n">
        <f aca="false">IF(X$4="Actuals",IF(Y$4="Actuals","",Y364),X372)</f>
        <v>3802423.17293375</v>
      </c>
      <c r="Y415" s="13" t="n">
        <f aca="false">IF(Y$4="Actuals",IF(Z$4="Actuals","",Z364),Y372)</f>
        <v>4247174.93843058</v>
      </c>
      <c r="Z415" s="13" t="n">
        <f aca="false">IF(Z$4="Actuals",IF(AA$4="Actuals","",AA364),Z372)</f>
        <v>4532070.66915818</v>
      </c>
      <c r="AA415" s="13" t="n">
        <f aca="false">IF(AA$4="Actuals",IF(AB$4="Actuals","",AB364),AA372)</f>
        <v>5065318.1243331</v>
      </c>
      <c r="AB415" s="13" t="n">
        <f aca="false">IF(AB$4="Actuals",IF(AC$4="Actuals","",AC364),AB372)</f>
        <v>5638036.76494212</v>
      </c>
      <c r="AC415" s="13" t="n">
        <f aca="false">IF(AC$4="Actuals",IF(AD$4="Actuals","",AD364),AC372)</f>
        <v>5966905.77303045</v>
      </c>
      <c r="AD415" s="13" t="n">
        <f aca="false">IF(AD$4="Actuals",IF(AE$4="Actuals","",AE364),AD372)</f>
        <v>6093501.35999061</v>
      </c>
      <c r="AE415" s="13" t="n">
        <f aca="false">IF(AE$4="Actuals",IF(AF$4="Actuals","",AF364),AE372)</f>
        <v>6265807.94875846</v>
      </c>
      <c r="AF415" s="13" t="n">
        <f aca="false">IF(AF$4="Actuals",IF(AG$4="Actuals","",AG364),AF372)</f>
        <v>6547265.06390904</v>
      </c>
      <c r="AG415" s="13" t="n">
        <f aca="false">IF(AG$4="Actuals",IF(AH$4="Actuals","",AH364),AG372)</f>
        <v>6922363.66438838</v>
      </c>
      <c r="AH415" s="13" t="n">
        <f aca="false">IF(AH$4="Actuals",IF(AI$4="Actuals","",AI364),AH372)</f>
        <v>7184603.42046313</v>
      </c>
      <c r="AI415" s="13" t="n">
        <f aca="false">IF(AI$4="Actuals",IF(AJ$4="Actuals","",AJ364),AI372)</f>
        <v>7320073.58169136</v>
      </c>
      <c r="AJ415" s="13" t="n">
        <f aca="false">IF(AJ$4="Actuals",IF(AK$4="Actuals","",AK364),AJ372)</f>
        <v>7577104.44750896</v>
      </c>
      <c r="AK415" s="13" t="n">
        <f aca="false">IF(AK$4="Actuals",IF(AL$4="Actuals","",AL364),AK372)</f>
        <v>7724227.004267</v>
      </c>
      <c r="AL415" s="13" t="n">
        <f aca="false">IF(AL$4="Actuals",IF(AM$4="Actuals","",AM364),AL372)</f>
        <v>7616299.63871615</v>
      </c>
      <c r="AM415" s="13" t="n">
        <f aca="false">IF(AM$4="Actuals",IF(AN$4="Actuals","",AN364),AM372)</f>
        <v>7522088.25416531</v>
      </c>
      <c r="AN415" s="13" t="n">
        <f aca="false">IF(AN$4="Actuals",IF(AO$4="Actuals","",AO364),AN372)</f>
        <v>7702554.64811446</v>
      </c>
      <c r="AO415" s="13" t="n">
        <f aca="false">IF(AO$4="Actuals",IF(AP$4="Actuals","",AP364),AO372)</f>
        <v>7511718.22205552</v>
      </c>
      <c r="AP415" s="13" t="n">
        <f aca="false">IF(AP$4="Actuals",IF(AQ$4="Actuals","",AQ364),AP372)</f>
        <v>7280953.18599657</v>
      </c>
      <c r="AQ415" s="13" t="n">
        <f aca="false">IF(AQ$4="Actuals",IF(AR$4="Actuals","",AR364),AQ372)</f>
        <v>7050188.14993762</v>
      </c>
      <c r="AR415" s="13" t="n">
        <f aca="false">IF(AR$4="Actuals",IF(AS$4="Actuals","",AS364),AR372)</f>
        <v>6819423.11387867</v>
      </c>
      <c r="AS415" s="13" t="n">
        <f aca="false">IF(AS$4="Actuals",IF(AT$4="Actuals","",AT364),AS372)</f>
        <v>6588658.07781972</v>
      </c>
      <c r="AT415" s="13" t="n">
        <f aca="false">IF(AT$4="Actuals",IF(AU$4="Actuals","",AU364),AT372)</f>
        <v>6357893.04176077</v>
      </c>
      <c r="AU415" s="13" t="n">
        <f aca="false">IF(AU$4="Actuals",IF(AV$4="Actuals","",AV364),AU372)</f>
        <v>6127128.00570183</v>
      </c>
      <c r="AV415" s="13" t="n">
        <f aca="false">IF(AV$4="Actuals",IF(AW$4="Actuals","",AW364),AV372)</f>
        <v>6155224.2757287</v>
      </c>
      <c r="AW415" s="13" t="n">
        <f aca="false">IF(AW$4="Actuals",IF(AX$4="Actuals","",AX364),AW372)</f>
        <v>6205573.53522612</v>
      </c>
      <c r="AX415" s="13" t="n">
        <f aca="false">IF(AX$4="Actuals",IF(AY$4="Actuals","",AY364),AX372)</f>
        <v>5810863.00531281</v>
      </c>
      <c r="AY415" s="13" t="n">
        <f aca="false">IF(AY$4="Actuals",IF(AZ$4="Actuals","",AZ364),AY372)</f>
        <v>5416152.47539951</v>
      </c>
      <c r="AZ415" s="13" t="n">
        <f aca="false">IF(AZ$4="Actuals",IF(BA$4="Actuals","",BA364),AZ372)</f>
        <v>5021441.9454862</v>
      </c>
      <c r="BA415" s="13" t="n">
        <f aca="false">IF(BA$4="Actuals",IF(BB$4="Actuals","",BB364),BA372)</f>
        <v>4619137.20497463</v>
      </c>
      <c r="BB415" s="13" t="n">
        <f aca="false">IF(BB$4="Actuals",IF(BC$4="Actuals","",BC364),BB372)</f>
        <v>4216832.46446306</v>
      </c>
      <c r="BC415" s="13" t="n">
        <f aca="false">IF(BC$4="Actuals",IF(BD$4="Actuals","",BD364),BC372)</f>
        <v>3814527.72395149</v>
      </c>
      <c r="BD415" s="13" t="n">
        <f aca="false">IF(BD$4="Actuals",IF(BE$4="Actuals","",BE364),BD372)</f>
        <v>3412222.98343992</v>
      </c>
      <c r="BE415" s="13" t="n">
        <f aca="false">IF(BE$4="Actuals",IF(BF$4="Actuals","",BF364),BE372)</f>
        <v>3009918.24292835</v>
      </c>
      <c r="BF415" s="13" t="n">
        <f aca="false">IF(BF$4="Actuals",IF(BG$4="Actuals","",BG364),BF372)</f>
        <v>2607613.50241678</v>
      </c>
      <c r="BG415" s="13" t="n">
        <f aca="false">IF(BG$4="Actuals",IF(BH$4="Actuals","",BH364),BG372)</f>
        <v>2205308.76190521</v>
      </c>
      <c r="BH415" s="13" t="n">
        <f aca="false">IF(BH$4="Actuals",IF(BI$4="Actuals","",BI364),BH372)</f>
        <v>1803004.02139364</v>
      </c>
      <c r="BI415" s="13" t="n">
        <f aca="false">IF(BI$4="Actuals",IF(BJ$4="Actuals","",BJ364),BI372)</f>
        <v>1400699.28088207</v>
      </c>
      <c r="BJ415" s="13" t="n">
        <f aca="false">IF(BJ$4="Actuals",IF(BK$4="Actuals","",BK364),BJ372)</f>
        <v>998394.540370501</v>
      </c>
      <c r="BK415" s="13" t="n">
        <f aca="false">IF(BK$4="Actuals",IF(BL$4="Actuals","",BL364),BK372)</f>
        <v>596089.799858931</v>
      </c>
      <c r="BL415" s="13" t="n">
        <f aca="false">IF(BL$4="Actuals",IF(BM$4="Actuals","",BM364),BL372)</f>
        <v>193785.05934736</v>
      </c>
      <c r="BM415" s="13" t="n">
        <f aca="false">IF(BM$4="Actuals",IF(BN$4="Actuals","",BN364),BM372)</f>
        <v>-216265.775974441</v>
      </c>
      <c r="BN415" s="13" t="n">
        <f aca="false">IF(BN$4="Actuals",IF(BO$4="Actuals","",BO364),BN372)</f>
        <v>-626316.611296243</v>
      </c>
      <c r="BO415" s="13" t="n">
        <f aca="false">IF(BO$4="Actuals",IF(BP$4="Actuals","",BP364),BO372)</f>
        <v>-1036367.44661804</v>
      </c>
      <c r="BP415" s="13" t="n">
        <f aca="false">IF(BP$4="Actuals",IF(BQ$4="Actuals","",BQ364),BP372)</f>
        <v>-1446418.28193985</v>
      </c>
      <c r="BQ415" s="13" t="n">
        <f aca="false">IF(BQ$4="Actuals",IF(BR$4="Actuals","",BR364),BQ372)</f>
        <v>-1856469.11726165</v>
      </c>
      <c r="BR415" s="13" t="n">
        <f aca="false">IF(BR$4="Actuals",IF(BS$4="Actuals","",BS364),BR372)</f>
        <v>-2266519.95258345</v>
      </c>
      <c r="BS415" s="13" t="n">
        <f aca="false">IF(BS$4="Actuals",IF(BT$4="Actuals","",BT364),BS372)</f>
        <v>-2676570.78790525</v>
      </c>
      <c r="BT415" s="13" t="n">
        <f aca="false">IF(BT$4="Actuals",IF(BU$4="Actuals","",BU364),BT372)</f>
        <v>-3086621.62322705</v>
      </c>
      <c r="BU415" s="13" t="n">
        <f aca="false">IF(BU$4="Actuals",IF(BV$4="Actuals","",BV364),BU372)</f>
        <v>-3496672.45854885</v>
      </c>
      <c r="BV415" s="13" t="n">
        <f aca="false">IF(BV$4="Actuals",IF(BW$4="Actuals","",BW364),BV372)</f>
        <v>-3906723.29387066</v>
      </c>
      <c r="BW415" s="13" t="n">
        <f aca="false">IF(BW$4="Actuals",IF(BX$4="Actuals","",BX364),BW372)</f>
        <v>-4316774.12919246</v>
      </c>
      <c r="BX415" s="13" t="n">
        <f aca="false">IF(BX$4="Actuals",IF(BY$4="Actuals","",BY364),BX372)</f>
        <v>-4726824.96451426</v>
      </c>
      <c r="BY415" s="13" t="n">
        <f aca="false">IF(BY$4="Actuals",IF(BZ$4="Actuals","",BZ364),BY372)</f>
        <v>-5144776.8165425</v>
      </c>
      <c r="BZ415" s="13" t="n">
        <f aca="false">IF(BZ$4="Actuals",IF(CA$4="Actuals","",CA364),BZ372)</f>
        <v>-5562728.66857073</v>
      </c>
      <c r="CA415" s="13" t="n">
        <f aca="false">IF(CA$4="Actuals",IF(CB$4="Actuals","",CB364),CA372)</f>
        <v>-5980680.52059897</v>
      </c>
      <c r="CB415" s="13" t="n">
        <f aca="false">IF(CB$4="Actuals",IF(CC$4="Actuals","",CC364),CB372)</f>
        <v>-6398632.37262721</v>
      </c>
      <c r="CC415" s="13" t="n">
        <f aca="false">IF(CC$4="Actuals",IF(CD$4="Actuals","",CD364),CC372)</f>
        <v>-6816584.22465545</v>
      </c>
      <c r="CD415" s="13" t="n">
        <f aca="false">IF(CD$4="Actuals",IF(CE$4="Actuals","",CE364),CD372)</f>
        <v>-7234536.07668368</v>
      </c>
      <c r="CE415" s="13" t="n">
        <f aca="false">IF(CE$4="Actuals",IF(CF$4="Actuals","",CF364),CE372)</f>
        <v>-7652487.92871192</v>
      </c>
      <c r="CF415" s="13" t="n">
        <f aca="false">IF(CF$4="Actuals",IF(CG$4="Actuals","",CG364),CF372)</f>
        <v>-8070439.78074016</v>
      </c>
      <c r="CG415" s="13" t="n">
        <f aca="false">IF(CG$4="Actuals",IF(CH$4="Actuals","",CH364),CG372)</f>
        <v>-8488391.6327684</v>
      </c>
      <c r="CH415" s="13" t="n">
        <f aca="false">IF(CH$4="Actuals",IF(CI$4="Actuals","",CI364),CH372)</f>
        <v>-8906343.48479663</v>
      </c>
      <c r="CI415" s="13" t="n">
        <f aca="false">IF(CI$4="Actuals",IF(CJ$4="Actuals","",CJ364),CI372)</f>
        <v>-9324295.33682487</v>
      </c>
      <c r="CJ415" s="13" t="n">
        <f aca="false">IF(CJ$4="Actuals",IF(CK$4="Actuals","",CK364),CJ372)</f>
        <v>-9742247.18885311</v>
      </c>
      <c r="CK415" s="13" t="n">
        <f aca="false">IF(CK$4="Actuals",IF(CL$4="Actuals","",CL364),CK372)</f>
        <v>-10168258.0779219</v>
      </c>
      <c r="CL415" s="13" t="n">
        <f aca="false">IF(CL$4="Actuals",IF(CM$4="Actuals","",CM364),CL372)</f>
        <v>-10594268.9669907</v>
      </c>
      <c r="CM415" s="13" t="n">
        <f aca="false">IF(CM$4="Actuals",IF(CN$4="Actuals","",CN364),CM372)</f>
        <v>-11020279.8560595</v>
      </c>
      <c r="CN415" s="13" t="n">
        <f aca="false">IF(CN$4="Actuals",IF(CO$4="Actuals","",CO364),CN372)</f>
        <v>-11446290.7451283</v>
      </c>
      <c r="CO415" s="13" t="n">
        <f aca="false">IF(CO$4="Actuals",IF(CP$4="Actuals","",CP364),CO372)</f>
        <v>-11872301.6341971</v>
      </c>
      <c r="CP415" s="13" t="n">
        <f aca="false">IF(CP$4="Actuals",IF(CQ$4="Actuals","",CQ364),CP372)</f>
        <v>-12298312.5232659</v>
      </c>
      <c r="CQ415" s="13" t="n">
        <f aca="false">IF(CQ$4="Actuals",IF(CR$4="Actuals","",CR364),CQ372)</f>
        <v>-12724323.4123347</v>
      </c>
      <c r="CR415" s="13" t="n">
        <f aca="false">IF(CR$4="Actuals",IF(CS$4="Actuals","",CS364),CR372)</f>
        <v>-13150334.3014035</v>
      </c>
      <c r="CS415" s="13" t="n">
        <f aca="false">IF(CS$4="Actuals",IF(CT$4="Actuals","",CT364),CS372)</f>
        <v>-13576345.1904723</v>
      </c>
      <c r="CT415" s="13" t="n">
        <f aca="false">IF(CT$4="Actuals",IF(CU$4="Actuals","",CU364),CT372)</f>
        <v>-13962003.2654991</v>
      </c>
      <c r="CU415" s="13" t="n">
        <f aca="false">IF(CU$4="Actuals",IF(CV$4="Actuals","",CV364),CU372)</f>
        <v>-14347661.3405259</v>
      </c>
      <c r="CV415" s="13" t="n">
        <f aca="false">IF(CV$4="Actuals",IF(CW$4="Actuals","",CW364),CV372)</f>
        <v>-14733319.4155527</v>
      </c>
      <c r="CW415" s="13" t="n">
        <f aca="false">IF(CW$4="Actuals",IF(CX$4="Actuals","",CX364),CW372)</f>
        <v>-15126390.65208</v>
      </c>
      <c r="CX415" s="13" t="n">
        <f aca="false">IF(CX$4="Actuals",IF(CY$4="Actuals","",CY364),CX372)</f>
        <v>-15519461.8886073</v>
      </c>
      <c r="CY415" s="13" t="n">
        <f aca="false">IF(CY$4="Actuals",IF(CZ$4="Actuals","",CZ364),CY372)</f>
        <v>-15912533.1251346</v>
      </c>
      <c r="CZ415" s="13" t="n">
        <f aca="false">IF(CZ$4="Actuals",IF(DA$4="Actuals","",DA364),CZ372)</f>
        <v>-16305604.3616619</v>
      </c>
      <c r="DA415" s="13" t="n">
        <f aca="false">IF(DA$4="Actuals",IF(DB$4="Actuals","",DB364),DA372)</f>
        <v>-16698675.5981892</v>
      </c>
      <c r="DB415" s="13" t="n">
        <f aca="false">IF(DB$4="Actuals",IF(DC$4="Actuals","",DC364),DB372)</f>
        <v>-17091746.8347165</v>
      </c>
      <c r="DC415" s="13" t="n">
        <f aca="false">IF(DC$4="Actuals",IF(DD$4="Actuals","",DD364),DC372)</f>
        <v>-17484818.0712439</v>
      </c>
      <c r="DD415" s="13" t="n">
        <f aca="false">IF(DD$4="Actuals",IF(DE$4="Actuals","",DE364),DD372)</f>
        <v>-17877889.3077712</v>
      </c>
      <c r="DE415" s="13" t="n">
        <f aca="false">IF(DE$4="Actuals",IF(DF$4="Actuals","",DF364),DE372)</f>
        <v>-18270960.5442985</v>
      </c>
    </row>
    <row r="416" customFormat="false" ht="13.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3.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3.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3.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3.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3.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3.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503745.387883333</v>
      </c>
      <c r="K423" s="13" t="n">
        <f aca="false">IF(K$4="Actuals",IF(L$4="Actuals","",L375),K381)</f>
        <v>349300.775766667</v>
      </c>
      <c r="L423" s="13" t="n">
        <f aca="false">IF(L$4="Actuals",IF(M$4="Actuals","",M375),L381)</f>
        <v>185481.16365</v>
      </c>
      <c r="M423" s="13" t="n">
        <f aca="false">IF(M$4="Actuals",IF(N$4="Actuals","",N375),M381)</f>
        <v>25161.5515333333</v>
      </c>
      <c r="N423" s="13" t="n">
        <f aca="false">IF(N$4="Actuals",IF(O$4="Actuals","",O375),N381)</f>
        <v>-234838.063931676</v>
      </c>
      <c r="O423" s="13" t="n">
        <f aca="false">IF(O$4="Actuals",IF(P$4="Actuals","",P375),O381)</f>
        <v>-491679.784659844</v>
      </c>
      <c r="P423" s="13" t="n">
        <f aca="false">IF(P$4="Actuals",IF(Q$4="Actuals","",Q375),P381)</f>
        <v>-747721.659855012</v>
      </c>
      <c r="Q423" s="13" t="n">
        <f aca="false">IF(Q$4="Actuals",IF(R$4="Actuals","",R375),Q381)</f>
        <v>-1008129.41298318</v>
      </c>
      <c r="R423" s="13" t="n">
        <f aca="false">IF(R$4="Actuals",IF(S$4="Actuals","",S375),R381)</f>
        <v>-1268537.16611135</v>
      </c>
      <c r="S423" s="13" t="n">
        <f aca="false">IF(S$4="Actuals",IF(T$4="Actuals","",T375),S381)</f>
        <v>-1528944.91923951</v>
      </c>
      <c r="T423" s="13" t="n">
        <f aca="false">IF(T$4="Actuals",IF(U$4="Actuals","",U375),T381)</f>
        <v>-1813258.92236768</v>
      </c>
      <c r="U423" s="13" t="n">
        <f aca="false">IF(U$4="Actuals",IF(V$4="Actuals","",V375),U381)</f>
        <v>-2097572.92549585</v>
      </c>
      <c r="V423" s="13" t="n">
        <f aca="false">IF(V$4="Actuals",IF(W$4="Actuals","",W375),V381)</f>
        <v>-2381886.92862402</v>
      </c>
      <c r="W423" s="13" t="n">
        <f aca="false">IF(W$4="Actuals",IF(X$4="Actuals","",X375),W381)</f>
        <v>-2666200.93175219</v>
      </c>
      <c r="X423" s="13" t="n">
        <f aca="false">IF(X$4="Actuals",IF(Y$4="Actuals","",Y375),X381)</f>
        <v>-2950514.93488035</v>
      </c>
      <c r="Y423" s="13" t="n">
        <f aca="false">IF(Y$4="Actuals",IF(Z$4="Actuals","",Z375),Y381)</f>
        <v>-3177453.93800852</v>
      </c>
      <c r="Z423" s="13" t="n">
        <f aca="false">IF(Z$4="Actuals",IF(AA$4="Actuals","",AA375),Z381)</f>
        <v>-3462198.54819132</v>
      </c>
      <c r="AA423" s="13" t="n">
        <f aca="false">IF(AA$4="Actuals",IF(AB$4="Actuals","",AB375),AA381)</f>
        <v>-3996943.15837412</v>
      </c>
      <c r="AB423" s="13" t="n">
        <f aca="false">IF(AB$4="Actuals",IF(AC$4="Actuals","",AC375),AB381)</f>
        <v>-4218969.77567501</v>
      </c>
      <c r="AC423" s="13" t="n">
        <f aca="false">IF(AC$4="Actuals",IF(AD$4="Actuals","",AD375),AC381)</f>
        <v>-4507351.73890581</v>
      </c>
      <c r="AD423" s="13" t="n">
        <f aca="false">IF(AD$4="Actuals",IF(AE$4="Actuals","",AE375),AD381)</f>
        <v>-4795733.70213661</v>
      </c>
      <c r="AE423" s="13" t="n">
        <f aca="false">IF(AE$4="Actuals",IF(AF$4="Actuals","",AF375),AE381)</f>
        <v>-5006722.095646</v>
      </c>
      <c r="AF423" s="13" t="n">
        <f aca="false">IF(AF$4="Actuals",IF(AG$4="Actuals","",AG375),AF381)</f>
        <v>-5183104.0588768</v>
      </c>
      <c r="AG423" s="13" t="n">
        <f aca="false">IF(AG$4="Actuals",IF(AH$4="Actuals","",AH375),AG381)</f>
        <v>-5362643.91684444</v>
      </c>
      <c r="AH423" s="13" t="n">
        <f aca="false">IF(AH$4="Actuals",IF(AI$4="Actuals","",AI375),AH381)</f>
        <v>-5545341.66954892</v>
      </c>
      <c r="AI423" s="13" t="n">
        <f aca="false">IF(AI$4="Actuals",IF(AJ$4="Actuals","",AJ375),AI381)</f>
        <v>-5737539.4222534</v>
      </c>
      <c r="AJ423" s="13" t="n">
        <f aca="false">IF(AJ$4="Actuals",IF(AK$4="Actuals","",AK375),AJ381)</f>
        <v>-5929737.17495788</v>
      </c>
      <c r="AK423" s="13" t="n">
        <f aca="false">IF(AK$4="Actuals",IF(AL$4="Actuals","",AL375),AK381)</f>
        <v>-6121934.92766236</v>
      </c>
      <c r="AL423" s="13" t="n">
        <f aca="false">IF(AL$4="Actuals",IF(AM$4="Actuals","",AM375),AL381)</f>
        <v>-6324577.93311036</v>
      </c>
      <c r="AM423" s="13" t="n">
        <f aca="false">IF(AM$4="Actuals",IF(AN$4="Actuals","",AN375),AM381)</f>
        <v>-6527220.93855836</v>
      </c>
      <c r="AN423" s="13" t="n">
        <f aca="false">IF(AN$4="Actuals",IF(AO$4="Actuals","",AO375),AN381)</f>
        <v>-6724279.67282714</v>
      </c>
      <c r="AO423" s="13" t="n">
        <f aca="false">IF(AO$4="Actuals",IF(AP$4="Actuals","",AP375),AO381)</f>
        <v>-6930632.7783841</v>
      </c>
      <c r="AP423" s="13" t="n">
        <f aca="false">IF(AP$4="Actuals",IF(AQ$4="Actuals","",AQ375),AP381)</f>
        <v>-7136985.88394106</v>
      </c>
      <c r="AQ423" s="13" t="n">
        <f aca="false">IF(AQ$4="Actuals",IF(AR$4="Actuals","",AR375),AQ381)</f>
        <v>-7343338.98949802</v>
      </c>
      <c r="AR423" s="13" t="n">
        <f aca="false">IF(AR$4="Actuals",IF(AS$4="Actuals","",AS375),AR381)</f>
        <v>-7549692.09505498</v>
      </c>
      <c r="AS423" s="13" t="n">
        <f aca="false">IF(AS$4="Actuals",IF(AT$4="Actuals","",AT375),AS381)</f>
        <v>-7756045.20061194</v>
      </c>
      <c r="AT423" s="13" t="n">
        <f aca="false">IF(AT$4="Actuals",IF(AU$4="Actuals","",AU375),AT381)</f>
        <v>-7962398.3061689</v>
      </c>
      <c r="AU423" s="13" t="n">
        <f aca="false">IF(AU$4="Actuals",IF(AV$4="Actuals","",AV375),AU381)</f>
        <v>-8168751.41172586</v>
      </c>
      <c r="AV423" s="13" t="n">
        <f aca="false">IF(AV$4="Actuals",IF(AW$4="Actuals","",AW375),AV381)</f>
        <v>-8375104.51728282</v>
      </c>
      <c r="AW423" s="13" t="n">
        <f aca="false">IF(AW$4="Actuals",IF(AX$4="Actuals","",AX375),AW381)</f>
        <v>-8581457.62283978</v>
      </c>
      <c r="AX423" s="13" t="n">
        <f aca="false">IF(AX$4="Actuals",IF(AY$4="Actuals","",AY375),AX381)</f>
        <v>-8787810.72839674</v>
      </c>
      <c r="AY423" s="13" t="n">
        <f aca="false">IF(AY$4="Actuals",IF(AZ$4="Actuals","",AZ375),AY381)</f>
        <v>-8994163.8339537</v>
      </c>
      <c r="AZ423" s="13" t="n">
        <f aca="false">IF(AZ$4="Actuals",IF(BA$4="Actuals","",BA375),AZ381)</f>
        <v>-9200516.93951066</v>
      </c>
      <c r="BA423" s="13" t="n">
        <f aca="false">IF(BA$4="Actuals",IF(BB$4="Actuals","",BB375),BA381)</f>
        <v>-9410654.34717876</v>
      </c>
      <c r="BB423" s="13" t="n">
        <f aca="false">IF(BB$4="Actuals",IF(BC$4="Actuals","",BC375),BB381)</f>
        <v>-9620791.75484686</v>
      </c>
      <c r="BC423" s="13" t="n">
        <f aca="false">IF(BC$4="Actuals",IF(BD$4="Actuals","",BD375),BC381)</f>
        <v>-9830929.16251496</v>
      </c>
      <c r="BD423" s="13" t="n">
        <f aca="false">IF(BD$4="Actuals",IF(BE$4="Actuals","",BE375),BD381)</f>
        <v>-10041066.5701831</v>
      </c>
      <c r="BE423" s="13" t="n">
        <f aca="false">IF(BE$4="Actuals",IF(BF$4="Actuals","",BF375),BE381)</f>
        <v>-10251203.9778512</v>
      </c>
      <c r="BF423" s="13" t="n">
        <f aca="false">IF(BF$4="Actuals",IF(BG$4="Actuals","",BG375),BF381)</f>
        <v>-10461341.3855193</v>
      </c>
      <c r="BG423" s="13" t="n">
        <f aca="false">IF(BG$4="Actuals",IF(BH$4="Actuals","",BH375),BG381)</f>
        <v>-10671478.7931874</v>
      </c>
      <c r="BH423" s="13" t="n">
        <f aca="false">IF(BH$4="Actuals",IF(BI$4="Actuals","",BI375),BH381)</f>
        <v>-10881616.2008555</v>
      </c>
      <c r="BI423" s="13" t="n">
        <f aca="false">IF(BI$4="Actuals",IF(BJ$4="Actuals","",BJ375),BI381)</f>
        <v>-11091753.6085236</v>
      </c>
      <c r="BJ423" s="13" t="n">
        <f aca="false">IF(BJ$4="Actuals",IF(BK$4="Actuals","",BK375),BJ381)</f>
        <v>-11301891.0161916</v>
      </c>
      <c r="BK423" s="13" t="n">
        <f aca="false">IF(BK$4="Actuals",IF(BL$4="Actuals","",BL375),BK381)</f>
        <v>-11512028.4238597</v>
      </c>
      <c r="BL423" s="13" t="n">
        <f aca="false">IF(BL$4="Actuals",IF(BM$4="Actuals","",BM375),BL381)</f>
        <v>-11722165.8315278</v>
      </c>
      <c r="BM423" s="13" t="n">
        <f aca="false">IF(BM$4="Actuals",IF(BN$4="Actuals","",BN375),BM381)</f>
        <v>-11936163.2273493</v>
      </c>
      <c r="BN423" s="13" t="n">
        <f aca="false">IF(BN$4="Actuals",IF(BO$4="Actuals","",BO375),BN381)</f>
        <v>-12150160.6231708</v>
      </c>
      <c r="BO423" s="13" t="n">
        <f aca="false">IF(BO$4="Actuals",IF(BP$4="Actuals","",BP375),BO381)</f>
        <v>-12364158.0189922</v>
      </c>
      <c r="BP423" s="13" t="n">
        <f aca="false">IF(BP$4="Actuals",IF(BQ$4="Actuals","",BQ375),BP381)</f>
        <v>-12578155.4148137</v>
      </c>
      <c r="BQ423" s="13" t="n">
        <f aca="false">IF(BQ$4="Actuals",IF(BR$4="Actuals","",BR375),BQ381)</f>
        <v>-12792152.8106352</v>
      </c>
      <c r="BR423" s="13" t="n">
        <f aca="false">IF(BR$4="Actuals",IF(BS$4="Actuals","",BS375),BR381)</f>
        <v>-12952899.8564566</v>
      </c>
      <c r="BS423" s="13" t="n">
        <f aca="false">IF(BS$4="Actuals",IF(BT$4="Actuals","",BT375),BS381)</f>
        <v>-13166897.2522781</v>
      </c>
      <c r="BT423" s="13" t="n">
        <f aca="false">IF(BT$4="Actuals",IF(BU$4="Actuals","",BU375),BT381)</f>
        <v>-13380894.6480995</v>
      </c>
      <c r="BU423" s="13" t="n">
        <f aca="false">IF(BU$4="Actuals",IF(BV$4="Actuals","",BV375),BU381)</f>
        <v>-13527130.043921</v>
      </c>
      <c r="BV423" s="13" t="n">
        <f aca="false">IF(BV$4="Actuals",IF(BW$4="Actuals","",BW375),BV381)</f>
        <v>-13741127.4397425</v>
      </c>
      <c r="BW423" s="13" t="n">
        <f aca="false">IF(BW$4="Actuals",IF(BX$4="Actuals","",BX375),BW381)</f>
        <v>-13955124.8355639</v>
      </c>
      <c r="BX423" s="13" t="n">
        <f aca="false">IF(BX$4="Actuals",IF(BY$4="Actuals","",BY375),BX381)</f>
        <v>-14101360.2313854</v>
      </c>
      <c r="BY423" s="13" t="n">
        <f aca="false">IF(BY$4="Actuals",IF(BZ$4="Actuals","",BZ375),BY381)</f>
        <v>-14319294.8151233</v>
      </c>
      <c r="BZ423" s="13" t="n">
        <f aca="false">IF(BZ$4="Actuals",IF(CA$4="Actuals","",CA375),BZ381)</f>
        <v>-14537229.3988612</v>
      </c>
      <c r="CA423" s="13" t="n">
        <f aca="false">IF(CA$4="Actuals",IF(CB$4="Actuals","",CB375),CA381)</f>
        <v>-14687401.9825991</v>
      </c>
      <c r="CB423" s="13" t="n">
        <f aca="false">IF(CB$4="Actuals",IF(CC$4="Actuals","",CC375),CB381)</f>
        <v>-14905336.5663369</v>
      </c>
      <c r="CC423" s="13" t="n">
        <f aca="false">IF(CC$4="Actuals",IF(CD$4="Actuals","",CD375),CC381)</f>
        <v>-15123271.1500748</v>
      </c>
      <c r="CD423" s="13" t="n">
        <f aca="false">IF(CD$4="Actuals",IF(CE$4="Actuals","",CE375),CD381)</f>
        <v>-15264706.7338127</v>
      </c>
      <c r="CE423" s="13" t="n">
        <f aca="false">IF(CE$4="Actuals",IF(CF$4="Actuals","",CF375),CE381)</f>
        <v>-15482641.3175506</v>
      </c>
      <c r="CF423" s="13" t="n">
        <f aca="false">IF(CF$4="Actuals",IF(CG$4="Actuals","",CG375),CF381)</f>
        <v>-15700575.9012885</v>
      </c>
      <c r="CG423" s="13" t="n">
        <f aca="false">IF(CG$4="Actuals",IF(CH$4="Actuals","",CH375),CG381)</f>
        <v>-15842011.4850264</v>
      </c>
      <c r="CH423" s="13" t="n">
        <f aca="false">IF(CH$4="Actuals",IF(CI$4="Actuals","",CI375),CH381)</f>
        <v>-16059946.0687643</v>
      </c>
      <c r="CI423" s="13" t="n">
        <f aca="false">IF(CI$4="Actuals",IF(CJ$4="Actuals","",CJ375),CI381)</f>
        <v>-16277880.6525022</v>
      </c>
      <c r="CJ423" s="13" t="n">
        <f aca="false">IF(CJ$4="Actuals",IF(CK$4="Actuals","",CK375),CJ381)</f>
        <v>-16412708.2096336</v>
      </c>
      <c r="CK423" s="13" t="n">
        <f aca="false">IF(CK$4="Actuals",IF(CL$4="Actuals","",CL375),CK381)</f>
        <v>-16476797.7250462</v>
      </c>
      <c r="CL423" s="13" t="n">
        <f aca="false">IF(CL$4="Actuals",IF(CM$4="Actuals","",CM375),CL381)</f>
        <v>-16540887.2404589</v>
      </c>
      <c r="CM423" s="13" t="n">
        <f aca="false">IF(CM$4="Actuals",IF(CN$4="Actuals","",CN375),CM381)</f>
        <v>-16604976.7558715</v>
      </c>
      <c r="CN423" s="13" t="n">
        <f aca="false">IF(CN$4="Actuals",IF(CO$4="Actuals","",CO375),CN381)</f>
        <v>-16669066.2712842</v>
      </c>
      <c r="CO423" s="13" t="n">
        <f aca="false">IF(CO$4="Actuals",IF(CP$4="Actuals","",CP375),CO381)</f>
        <v>-16733155.7866968</v>
      </c>
      <c r="CP423" s="13" t="n">
        <f aca="false">IF(CP$4="Actuals",IF(CQ$4="Actuals","",CQ375),CP381)</f>
        <v>-16797245.3021095</v>
      </c>
      <c r="CQ423" s="13" t="n">
        <f aca="false">IF(CQ$4="Actuals",IF(CR$4="Actuals","",CR375),CQ381)</f>
        <v>-16861334.8175221</v>
      </c>
      <c r="CR423" s="13" t="n">
        <f aca="false">IF(CR$4="Actuals",IF(CS$4="Actuals","",CS375),CR381)</f>
        <v>-16925424.3329348</v>
      </c>
      <c r="CS423" s="13" t="n">
        <f aca="false">IF(CS$4="Actuals",IF(CT$4="Actuals","",CT375),CS381)</f>
        <v>-16989513.8483474</v>
      </c>
      <c r="CT423" s="13" t="n">
        <f aca="false">IF(CT$4="Actuals",IF(CU$4="Actuals","",CU375),CT381)</f>
        <v>-17047692.418762</v>
      </c>
      <c r="CU423" s="13" t="n">
        <f aca="false">IF(CU$4="Actuals",IF(CV$4="Actuals","",CV375),CU381)</f>
        <v>-17105870.9891765</v>
      </c>
      <c r="CV423" s="13" t="n">
        <f aca="false">IF(CV$4="Actuals",IF(CW$4="Actuals","",CW375),CV381)</f>
        <v>-17164049.559591</v>
      </c>
      <c r="CW423" s="13" t="n">
        <f aca="false">IF(CW$4="Actuals",IF(CX$4="Actuals","",CX375),CW381)</f>
        <v>-17226206.1614139</v>
      </c>
      <c r="CX423" s="13" t="n">
        <f aca="false">IF(CX$4="Actuals",IF(CY$4="Actuals","",CY375),CX381)</f>
        <v>-17288362.7632367</v>
      </c>
      <c r="CY423" s="13" t="n">
        <f aca="false">IF(CY$4="Actuals",IF(CZ$4="Actuals","",CZ375),CY381)</f>
        <v>-17350519.3650595</v>
      </c>
      <c r="CZ423" s="13" t="n">
        <f aca="false">IF(CZ$4="Actuals",IF(DA$4="Actuals","",DA375),CZ381)</f>
        <v>-17412675.9668823</v>
      </c>
      <c r="DA423" s="13" t="n">
        <f aca="false">IF(DA$4="Actuals",IF(DB$4="Actuals","",DB375),DA381)</f>
        <v>-17474832.5687052</v>
      </c>
      <c r="DB423" s="13" t="n">
        <f aca="false">IF(DB$4="Actuals",IF(DC$4="Actuals","",DC375),DB381)</f>
        <v>-17536989.170528</v>
      </c>
      <c r="DC423" s="13" t="n">
        <f aca="false">IF(DC$4="Actuals",IF(DD$4="Actuals","",DD375),DC381)</f>
        <v>-17599145.7723508</v>
      </c>
      <c r="DD423" s="13" t="n">
        <f aca="false">IF(DD$4="Actuals",IF(DE$4="Actuals","",DE375),DD381)</f>
        <v>-17661302.3741737</v>
      </c>
      <c r="DE423" s="13" t="n">
        <f aca="false">IF(DE$4="Actuals",IF(DF$4="Actuals","",DF375),DE381)</f>
        <v>-17723458.9759965</v>
      </c>
    </row>
    <row r="424" customFormat="false" ht="13.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3.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3.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3.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3.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3.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3.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1625067.18212404</v>
      </c>
      <c r="K431" s="13" t="n">
        <f aca="false">IF(K$4="Actuals",IF(L$4="Actuals","",L384),K386)</f>
        <v>1974023.90060204</v>
      </c>
      <c r="L431" s="13" t="n">
        <f aca="false">IF(L$4="Actuals",IF(M$4="Actuals","",M384),L386)</f>
        <v>2262823.00851452</v>
      </c>
      <c r="M431" s="13" t="n">
        <f aca="false">IF(M$4="Actuals",IF(N$4="Actuals","",N384),M386)</f>
        <v>2194441.66598602</v>
      </c>
      <c r="N431" s="13" t="n">
        <f aca="false">IF(N$4="Actuals",IF(O$4="Actuals","",O384),N386)</f>
        <v>1047233.50863443</v>
      </c>
      <c r="O431" s="13" t="n">
        <f aca="false">IF(O$4="Actuals",IF(P$4="Actuals","",P384),O386)</f>
        <v>1146599.00632778</v>
      </c>
      <c r="P431" s="13" t="n">
        <f aca="false">IF(P$4="Actuals",IF(Q$4="Actuals","",Q384),P386)</f>
        <v>973918.630544363</v>
      </c>
      <c r="Q431" s="13" t="n">
        <f aca="false">IF(Q$4="Actuals",IF(R$4="Actuals","",R384),Q386)</f>
        <v>1262165.91404939</v>
      </c>
      <c r="R431" s="13" t="n">
        <f aca="false">IF(R$4="Actuals",IF(S$4="Actuals","",S384),R386)</f>
        <v>1275653.40456369</v>
      </c>
      <c r="S431" s="13" t="n">
        <f aca="false">IF(S$4="Actuals",IF(T$4="Actuals","",T384),S386)</f>
        <v>1175786.84387513</v>
      </c>
      <c r="T431" s="13" t="n">
        <f aca="false">IF(T$4="Actuals",IF(U$4="Actuals","",U384),T386)</f>
        <v>349790.673078766</v>
      </c>
      <c r="U431" s="13" t="n">
        <f aca="false">IF(U$4="Actuals",IF(V$4="Actuals","",V384),U386)</f>
        <v>529796.529447425</v>
      </c>
      <c r="V431" s="13" t="n">
        <f aca="false">IF(V$4="Actuals",IF(W$4="Actuals","",W384),V386)</f>
        <v>674566.641316085</v>
      </c>
      <c r="W431" s="13" t="n">
        <f aca="false">IF(W$4="Actuals",IF(X$4="Actuals","",X384),W386)</f>
        <v>868388.736684743</v>
      </c>
      <c r="X431" s="13" t="n">
        <f aca="false">IF(X$4="Actuals",IF(Y$4="Actuals","",Y384),X386)</f>
        <v>851908.238053402</v>
      </c>
      <c r="Y431" s="13" t="n">
        <f aca="false">IF(Y$4="Actuals",IF(Z$4="Actuals","",Z384),Y386)</f>
        <v>1069721.00042206</v>
      </c>
      <c r="Z431" s="13" t="n">
        <f aca="false">IF(Z$4="Actuals",IF(AA$4="Actuals","",AA384),Z386)</f>
        <v>1069872.12096686</v>
      </c>
      <c r="AA431" s="13" t="n">
        <f aca="false">IF(AA$4="Actuals",IF(AB$4="Actuals","",AB384),AA386)</f>
        <v>1068374.96595898</v>
      </c>
      <c r="AB431" s="13" t="n">
        <f aca="false">IF(AB$4="Actuals",IF(AC$4="Actuals","",AC384),AB386)</f>
        <v>558684.11232647</v>
      </c>
      <c r="AC431" s="13" t="n">
        <f aca="false">IF(AC$4="Actuals",IF(AD$4="Actuals","",AD384),AC386)</f>
        <v>1459554.03412464</v>
      </c>
      <c r="AD431" s="13" t="n">
        <f aca="false">IF(AD$4="Actuals",IF(AE$4="Actuals","",AE384),AD386)</f>
        <v>1297767.657854</v>
      </c>
      <c r="AE431" s="13" t="n">
        <f aca="false">IF(AE$4="Actuals",IF(AF$4="Actuals","",AF384),AE386)</f>
        <v>1259085.85311246</v>
      </c>
      <c r="AF431" s="13" t="n">
        <f aca="false">IF(AF$4="Actuals",IF(AG$4="Actuals","",AG384),AF386)</f>
        <v>1364161.00503224</v>
      </c>
      <c r="AG431" s="13" t="n">
        <f aca="false">IF(AG$4="Actuals",IF(AH$4="Actuals","",AH384),AG386)</f>
        <v>1559719.74754394</v>
      </c>
      <c r="AH431" s="13" t="n">
        <f aca="false">IF(AH$4="Actuals",IF(AI$4="Actuals","",AI384),AH386)</f>
        <v>1639261.75091421</v>
      </c>
      <c r="AI431" s="13" t="n">
        <f aca="false">IF(AI$4="Actuals",IF(AJ$4="Actuals","",AJ384),AI386)</f>
        <v>1582534.15943796</v>
      </c>
      <c r="AJ431" s="13" t="n">
        <f aca="false">IF(AJ$4="Actuals",IF(AK$4="Actuals","",AK384),AJ386)</f>
        <v>1647367.27255108</v>
      </c>
      <c r="AK431" s="13" t="n">
        <f aca="false">IF(AK$4="Actuals",IF(AL$4="Actuals","",AL384),AK386)</f>
        <v>1602292.07660464</v>
      </c>
      <c r="AL431" s="13" t="n">
        <f aca="false">IF(AL$4="Actuals",IF(AM$4="Actuals","",AM384),AL386)</f>
        <v>1291721.70560579</v>
      </c>
      <c r="AM431" s="13" t="n">
        <f aca="false">IF(AM$4="Actuals",IF(AN$4="Actuals","",AN384),AM386)</f>
        <v>994867.315606948</v>
      </c>
      <c r="AN431" s="13" t="n">
        <f aca="false">IF(AN$4="Actuals",IF(AO$4="Actuals","",AO384),AN386)</f>
        <v>570420.18113572</v>
      </c>
      <c r="AO431" s="13" t="n">
        <f aca="false">IF(AO$4="Actuals",IF(AP$4="Actuals","",AP384),AO386)</f>
        <v>581085.443671415</v>
      </c>
      <c r="AP431" s="13" t="n">
        <f aca="false">IF(AP$4="Actuals",IF(AQ$4="Actuals","",AQ384),AP386)</f>
        <v>143967.302055506</v>
      </c>
      <c r="AQ431" s="13" t="n">
        <f aca="false">IF(AQ$4="Actuals",IF(AR$4="Actuals","",AR384),AQ386)</f>
        <v>-293150.839560403</v>
      </c>
      <c r="AR431" s="13" t="n">
        <f aca="false">IF(AR$4="Actuals",IF(AS$4="Actuals","",AS384),AR386)</f>
        <v>-730268.981176311</v>
      </c>
      <c r="AS431" s="13" t="n">
        <f aca="false">IF(AS$4="Actuals",IF(AT$4="Actuals","",AT384),AS386)</f>
        <v>-1167387.12279222</v>
      </c>
      <c r="AT431" s="13" t="n">
        <f aca="false">IF(AT$4="Actuals",IF(AU$4="Actuals","",AU384),AT386)</f>
        <v>-1604505.26440813</v>
      </c>
      <c r="AU431" s="13" t="n">
        <f aca="false">IF(AU$4="Actuals",IF(AV$4="Actuals","",AV384),AU386)</f>
        <v>-2041623.40602404</v>
      </c>
      <c r="AV431" s="13" t="n">
        <f aca="false">IF(AV$4="Actuals",IF(AW$4="Actuals","",AW384),AV386)</f>
        <v>-2219880.24155412</v>
      </c>
      <c r="AW431" s="13" t="n">
        <f aca="false">IF(AW$4="Actuals",IF(AX$4="Actuals","",AX384),AW386)</f>
        <v>-2375884.08761367</v>
      </c>
      <c r="AX431" s="13" t="n">
        <f aca="false">IF(AX$4="Actuals",IF(AY$4="Actuals","",AY384),AX386)</f>
        <v>-2976947.72308393</v>
      </c>
      <c r="AY431" s="13" t="n">
        <f aca="false">IF(AY$4="Actuals",IF(AZ$4="Actuals","",AZ384),AY386)</f>
        <v>-3578011.35855419</v>
      </c>
      <c r="AZ431" s="13" t="n">
        <f aca="false">IF(AZ$4="Actuals",IF(BA$4="Actuals","",BA384),AZ386)</f>
        <v>-4179074.99402446</v>
      </c>
      <c r="BA431" s="13" t="n">
        <f aca="false">IF(BA$4="Actuals",IF(BB$4="Actuals","",BB384),BA386)</f>
        <v>-4791517.14220413</v>
      </c>
      <c r="BB431" s="13" t="n">
        <f aca="false">IF(BB$4="Actuals",IF(BC$4="Actuals","",BC384),BB386)</f>
        <v>-5403959.2903838</v>
      </c>
      <c r="BC431" s="13" t="n">
        <f aca="false">IF(BC$4="Actuals",IF(BD$4="Actuals","",BD384),BC386)</f>
        <v>-6016401.43856347</v>
      </c>
      <c r="BD431" s="13" t="n">
        <f aca="false">IF(BD$4="Actuals",IF(BE$4="Actuals","",BE384),BD386)</f>
        <v>-6628843.58674313</v>
      </c>
      <c r="BE431" s="13" t="n">
        <f aca="false">IF(BE$4="Actuals",IF(BF$4="Actuals","",BF384),BE386)</f>
        <v>-7241285.7349228</v>
      </c>
      <c r="BF431" s="13" t="n">
        <f aca="false">IF(BF$4="Actuals",IF(BG$4="Actuals","",BG384),BF386)</f>
        <v>-7853727.88310247</v>
      </c>
      <c r="BG431" s="13" t="n">
        <f aca="false">IF(BG$4="Actuals",IF(BH$4="Actuals","",BH384),BG386)</f>
        <v>-8466170.03128214</v>
      </c>
      <c r="BH431" s="13" t="n">
        <f aca="false">IF(BH$4="Actuals",IF(BI$4="Actuals","",BI384),BH386)</f>
        <v>-9078612.17946181</v>
      </c>
      <c r="BI431" s="13" t="n">
        <f aca="false">IF(BI$4="Actuals",IF(BJ$4="Actuals","",BJ384),BI386)</f>
        <v>-9691054.32764148</v>
      </c>
      <c r="BJ431" s="13" t="n">
        <f aca="false">IF(BJ$4="Actuals",IF(BK$4="Actuals","",BK384),BJ386)</f>
        <v>-10303496.4758211</v>
      </c>
      <c r="BK431" s="13" t="n">
        <f aca="false">IF(BK$4="Actuals",IF(BL$4="Actuals","",BL384),BK386)</f>
        <v>-10915938.6240008</v>
      </c>
      <c r="BL431" s="13" t="n">
        <f aca="false">IF(BL$4="Actuals",IF(BM$4="Actuals","",BM384),BL386)</f>
        <v>-11528380.7721805</v>
      </c>
      <c r="BM431" s="13" t="n">
        <f aca="false">IF(BM$4="Actuals",IF(BN$4="Actuals","",BN384),BM386)</f>
        <v>-12152429.0033237</v>
      </c>
      <c r="BN431" s="13" t="n">
        <f aca="false">IF(BN$4="Actuals",IF(BO$4="Actuals","",BO384),BN386)</f>
        <v>-12776477.234467</v>
      </c>
      <c r="BO431" s="13" t="n">
        <f aca="false">IF(BO$4="Actuals",IF(BP$4="Actuals","",BP384),BO386)</f>
        <v>-13400525.4656103</v>
      </c>
      <c r="BP431" s="13" t="n">
        <f aca="false">IF(BP$4="Actuals",IF(BQ$4="Actuals","",BQ384),BP386)</f>
        <v>-14024573.6967535</v>
      </c>
      <c r="BQ431" s="13" t="n">
        <f aca="false">IF(BQ$4="Actuals",IF(BR$4="Actuals","",BR384),BQ386)</f>
        <v>-14648621.9278968</v>
      </c>
      <c r="BR431" s="13" t="n">
        <f aca="false">IF(BR$4="Actuals",IF(BS$4="Actuals","",BS384),BR386)</f>
        <v>-15219419.8090401</v>
      </c>
      <c r="BS431" s="13" t="n">
        <f aca="false">IF(BS$4="Actuals",IF(BT$4="Actuals","",BT384),BS386)</f>
        <v>-15843468.0401833</v>
      </c>
      <c r="BT431" s="13" t="n">
        <f aca="false">IF(BT$4="Actuals",IF(BU$4="Actuals","",BU384),BT386)</f>
        <v>-16467516.2713266</v>
      </c>
      <c r="BU431" s="13" t="n">
        <f aca="false">IF(BU$4="Actuals",IF(BV$4="Actuals","",BV384),BU386)</f>
        <v>-17023802.5024699</v>
      </c>
      <c r="BV431" s="13" t="n">
        <f aca="false">IF(BV$4="Actuals",IF(BW$4="Actuals","",BW384),BV386)</f>
        <v>-17647850.7336131</v>
      </c>
      <c r="BW431" s="13" t="n">
        <f aca="false">IF(BW$4="Actuals",IF(BX$4="Actuals","",BX384),BW386)</f>
        <v>-18271898.9647564</v>
      </c>
      <c r="BX431" s="13" t="n">
        <f aca="false">IF(BX$4="Actuals",IF(BY$4="Actuals","",BY384),BX386)</f>
        <v>-18828185.1958996</v>
      </c>
      <c r="BY431" s="13" t="n">
        <f aca="false">IF(BY$4="Actuals",IF(BZ$4="Actuals","",BZ384),BY386)</f>
        <v>-19464071.6316658</v>
      </c>
      <c r="BZ431" s="13" t="n">
        <f aca="false">IF(BZ$4="Actuals",IF(CA$4="Actuals","",CA384),BZ386)</f>
        <v>-20099958.0674319</v>
      </c>
      <c r="CA431" s="13" t="n">
        <f aca="false">IF(CA$4="Actuals",IF(CB$4="Actuals","",CB384),CA386)</f>
        <v>-20668082.503198</v>
      </c>
      <c r="CB431" s="13" t="n">
        <f aca="false">IF(CB$4="Actuals",IF(CC$4="Actuals","",CC384),CB386)</f>
        <v>-21303968.9389642</v>
      </c>
      <c r="CC431" s="13" t="n">
        <f aca="false">IF(CC$4="Actuals",IF(CD$4="Actuals","",CD384),CC386)</f>
        <v>-21939855.3747303</v>
      </c>
      <c r="CD431" s="13" t="n">
        <f aca="false">IF(CD$4="Actuals",IF(CE$4="Actuals","",CE384),CD386)</f>
        <v>-22499242.8104964</v>
      </c>
      <c r="CE431" s="13" t="n">
        <f aca="false">IF(CE$4="Actuals",IF(CF$4="Actuals","",CF384),CE386)</f>
        <v>-23135129.2462625</v>
      </c>
      <c r="CF431" s="13" t="n">
        <f aca="false">IF(CF$4="Actuals",IF(CG$4="Actuals","",CG384),CF386)</f>
        <v>-23771015.6820287</v>
      </c>
      <c r="CG431" s="13" t="n">
        <f aca="false">IF(CG$4="Actuals",IF(CH$4="Actuals","",CH384),CG386)</f>
        <v>-24330403.1177948</v>
      </c>
      <c r="CH431" s="13" t="n">
        <f aca="false">IF(CH$4="Actuals",IF(CI$4="Actuals","",CI384),CH386)</f>
        <v>-24966289.5535609</v>
      </c>
      <c r="CI431" s="13" t="n">
        <f aca="false">IF(CI$4="Actuals",IF(CJ$4="Actuals","",CJ384),CI386)</f>
        <v>-25602175.9893271</v>
      </c>
      <c r="CJ431" s="13" t="n">
        <f aca="false">IF(CJ$4="Actuals",IF(CK$4="Actuals","",CK384),CJ386)</f>
        <v>-26154955.3984867</v>
      </c>
      <c r="CK431" s="13" t="n">
        <f aca="false">IF(CK$4="Actuals",IF(CL$4="Actuals","",CL384),CK386)</f>
        <v>-26645055.8029682</v>
      </c>
      <c r="CL431" s="13" t="n">
        <f aca="false">IF(CL$4="Actuals",IF(CM$4="Actuals","",CM384),CL386)</f>
        <v>-27135156.2074496</v>
      </c>
      <c r="CM431" s="13" t="n">
        <f aca="false">IF(CM$4="Actuals",IF(CN$4="Actuals","",CN384),CM386)</f>
        <v>-27625256.6119311</v>
      </c>
      <c r="CN431" s="13" t="n">
        <f aca="false">IF(CN$4="Actuals",IF(CO$4="Actuals","",CO384),CN386)</f>
        <v>-28115357.0164125</v>
      </c>
      <c r="CO431" s="13" t="n">
        <f aca="false">IF(CO$4="Actuals",IF(CP$4="Actuals","",CP384),CO386)</f>
        <v>-28605457.420894</v>
      </c>
      <c r="CP431" s="13" t="n">
        <f aca="false">IF(CP$4="Actuals",IF(CQ$4="Actuals","",CQ384),CP386)</f>
        <v>-29095557.8253754</v>
      </c>
      <c r="CQ431" s="13" t="n">
        <f aca="false">IF(CQ$4="Actuals",IF(CR$4="Actuals","",CR384),CQ386)</f>
        <v>-29585658.2298569</v>
      </c>
      <c r="CR431" s="13" t="n">
        <f aca="false">IF(CR$4="Actuals",IF(CS$4="Actuals","",CS384),CR386)</f>
        <v>-30075758.6343383</v>
      </c>
      <c r="CS431" s="13" t="n">
        <f aca="false">IF(CS$4="Actuals",IF(CT$4="Actuals","",CT384),CS386)</f>
        <v>-30565859.0388198</v>
      </c>
      <c r="CT431" s="13" t="n">
        <f aca="false">IF(CT$4="Actuals",IF(CU$4="Actuals","",CU384),CT386)</f>
        <v>-31009695.6842611</v>
      </c>
      <c r="CU431" s="13" t="n">
        <f aca="false">IF(CU$4="Actuals",IF(CV$4="Actuals","",CV384),CU386)</f>
        <v>-31453532.3297024</v>
      </c>
      <c r="CV431" s="13" t="n">
        <f aca="false">IF(CV$4="Actuals",IF(CW$4="Actuals","",CW384),CV386)</f>
        <v>-31897368.9751437</v>
      </c>
      <c r="CW431" s="13" t="n">
        <f aca="false">IF(CW$4="Actuals",IF(CX$4="Actuals","",CX384),CW386)</f>
        <v>-32352596.8134938</v>
      </c>
      <c r="CX431" s="13" t="n">
        <f aca="false">IF(CX$4="Actuals",IF(CY$4="Actuals","",CY384),CX386)</f>
        <v>-32807824.651844</v>
      </c>
      <c r="CY431" s="13" t="n">
        <f aca="false">IF(CY$4="Actuals",IF(CZ$4="Actuals","",CZ384),CY386)</f>
        <v>-33263052.4901941</v>
      </c>
      <c r="CZ431" s="13" t="n">
        <f aca="false">IF(CZ$4="Actuals",IF(DA$4="Actuals","",DA384),CZ386)</f>
        <v>-33718280.3285443</v>
      </c>
      <c r="DA431" s="13" t="n">
        <f aca="false">IF(DA$4="Actuals",IF(DB$4="Actuals","",DB384),DA386)</f>
        <v>-34173508.1668944</v>
      </c>
      <c r="DB431" s="13" t="n">
        <f aca="false">IF(DB$4="Actuals",IF(DC$4="Actuals","",DC384),DB386)</f>
        <v>-34628736.0052445</v>
      </c>
      <c r="DC431" s="13" t="n">
        <f aca="false">IF(DC$4="Actuals",IF(DD$4="Actuals","",DD384),DC386)</f>
        <v>-35083963.8435947</v>
      </c>
      <c r="DD431" s="13" t="n">
        <f aca="false">IF(DD$4="Actuals",IF(DE$4="Actuals","",DE384),DD386)</f>
        <v>-35539191.6819448</v>
      </c>
      <c r="DE431" s="13" t="n">
        <f aca="false">IF(DE$4="Actuals",IF(DF$4="Actuals","",DF384),DE386)</f>
        <v>-35994419.520295</v>
      </c>
    </row>
    <row r="432" customFormat="false" ht="13.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3.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3.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3.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3.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3.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3.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3.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7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417159</v>
      </c>
      <c r="C449" s="73" t="n">
        <v>552746</v>
      </c>
      <c r="D449" s="73" t="n">
        <v>682719</v>
      </c>
      <c r="E449" s="73" t="n">
        <v>863823</v>
      </c>
      <c r="F449" s="73" t="n">
        <v>1075205</v>
      </c>
      <c r="G449" s="73" t="n">
        <v>1343596</v>
      </c>
      <c r="H449" s="73" t="n">
        <v>1609222</v>
      </c>
      <c r="I449" s="7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3.5" hidden="false" customHeight="true" outlineLevel="0" collapsed="false">
      <c r="A450" s="22" t="s">
        <v>251</v>
      </c>
      <c r="B450" s="73" t="n">
        <v>0</v>
      </c>
      <c r="C450" s="73" t="n">
        <v>0</v>
      </c>
      <c r="D450" s="73" t="n">
        <v>0</v>
      </c>
      <c r="E450" s="73" t="n">
        <v>0</v>
      </c>
      <c r="F450" s="73" t="n">
        <v>0</v>
      </c>
      <c r="G450" s="73" t="n">
        <v>0</v>
      </c>
      <c r="H450" s="73" t="n">
        <v>96097</v>
      </c>
      <c r="I450" s="7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3.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7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253</v>
      </c>
      <c r="B452" s="73" t="n">
        <v>246844</v>
      </c>
      <c r="C452" s="73" t="n">
        <v>362001</v>
      </c>
      <c r="D452" s="73" t="n">
        <v>458628</v>
      </c>
      <c r="E452" s="73" t="n">
        <v>625437</v>
      </c>
      <c r="F452" s="73" t="n">
        <v>812294</v>
      </c>
      <c r="G452" s="73" t="n">
        <v>1055651</v>
      </c>
      <c r="H452" s="73" t="n">
        <v>1280305</v>
      </c>
      <c r="I452" s="7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3.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3.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3.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3.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3.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3.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3.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3.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3.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3.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3.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3.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3.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3.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3.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3.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3.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3.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3.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3.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3.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6048770.23503841</v>
      </c>
      <c r="D4" s="13" t="n">
        <f aca="false">SUM(Model!Z10:AK10)</f>
        <v>4520120.89711305</v>
      </c>
      <c r="E4" s="13" t="n">
        <f aca="false">SUM(Model!AL10:AW10)</f>
        <v>1426099.70445642</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4602744.87196499</v>
      </c>
      <c r="D5" s="13" t="n">
        <f aca="false">SUM(Model!Z11:AK11)</f>
        <v>3391392.20344207</v>
      </c>
      <c r="E5" s="13" t="n">
        <f aca="false">SUM(Model!AL11:AW11)</f>
        <v>1069570.27552647</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84407740.6503142</v>
      </c>
      <c r="D6" s="13" t="n">
        <f aca="false">SUM(Model!Z57:AK57)</f>
        <v>57923184.4601103</v>
      </c>
      <c r="E6" s="13" t="n">
        <f aca="false">SUM(Model!AL57:AW57)</f>
        <v>14646600.7664871</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95059255.7573176</v>
      </c>
      <c r="D7" s="30" t="n">
        <f aca="false">SUM(Model!Z58:AK58)</f>
        <v>65834697.5606655</v>
      </c>
      <c r="E7" s="30" t="n">
        <f aca="false">SUM(Model!AL58:AW58)</f>
        <v>17142270.74647</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-84724756.5103142</v>
      </c>
      <c r="D8" s="13" t="n">
        <f aca="false">SUM(Model!Z104:AK104)</f>
        <v>-57923184.4601103</v>
      </c>
      <c r="E8" s="13" t="n">
        <f aca="false">SUM(Model!AL104:AW104)</f>
        <v>-14646600.7664871</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668967.044334975</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-802202.980665025</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9579687.15633838</v>
      </c>
      <c r="D13" s="32" t="n">
        <f aca="false">SUM(Model!Z199:AK199)</f>
        <v>7911513.10055512</v>
      </c>
      <c r="E13" s="32" t="n">
        <f aca="false">SUM(Model!AL199:AW199)</f>
        <v>2495669.97998288</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0.100775953693504</v>
      </c>
      <c r="D14" s="78" t="n">
        <f aca="false">IFERROR(D13/D7,0)</f>
        <v>0.120172392274831</v>
      </c>
      <c r="E14" s="78" t="n">
        <f aca="false">IFERROR(E13/E7,0)</f>
        <v>0.145585728804149</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-3026926.27866667</v>
      </c>
      <c r="C17" s="13" t="n">
        <f aca="false">SUM(Model!N203:Y204)+SUM(Model!N206:Y210)</f>
        <v>-5161105.16054</v>
      </c>
      <c r="D17" s="13" t="n">
        <f aca="false">SUM(Model!Z203:AK204)+SUM(Model!Z206:AK210)</f>
        <v>-4157619.0527508</v>
      </c>
      <c r="E17" s="13" t="n">
        <f aca="false">SUM(Model!AL203:AW204)+SUM(Model!AL206:AW210)</f>
        <v>-3909467.94037582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294</v>
      </c>
      <c r="B18" s="13" t="n">
        <f aca="false">SUM(Model!B211:M233)+SUM(Model!B235:M235)</f>
        <v>-1035910.81</v>
      </c>
      <c r="C18" s="13" t="n">
        <f aca="false">SUM(Model!N211:Y233)+SUM(Model!N235:Y235)</f>
        <v>-849463.7688</v>
      </c>
      <c r="D18" s="13" t="n">
        <f aca="false">SUM(Model!Z211:AK233)+SUM(Model!Z235:AK235)</f>
        <v>-900549.967252923</v>
      </c>
      <c r="E18" s="13" t="n">
        <f aca="false">SUM(Model!AL211:AW233)+SUM(Model!AL235:AW235)</f>
        <v>-804722.50505952</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-6010568.92934</v>
      </c>
      <c r="D21" s="30" t="n">
        <f aca="false">SUM(Model!Z236:AK236)</f>
        <v>-5058169.02000372</v>
      </c>
      <c r="E21" s="30" t="n">
        <f aca="false">SUM(Model!AL236:AW236)</f>
        <v>-4714190.44543534</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3569118.22699838</v>
      </c>
      <c r="D22" s="30" t="n">
        <f aca="false">SUM(Model!Z237:AK237)</f>
        <v>2853344.0805514</v>
      </c>
      <c r="E22" s="30" t="n">
        <f aca="false">SUM(Model!AL237:AW237)</f>
        <v>-2218520.46545245</v>
      </c>
      <c r="F22" s="30" t="n">
        <f aca="false">SUM(Model!AX237:BI237)</f>
        <v>-4804874.25434404</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0.0375462462709596</v>
      </c>
      <c r="D23" s="78" t="n">
        <f aca="false">IFERROR(D22/D7,0)</f>
        <v>0.0433410372687152</v>
      </c>
      <c r="E23" s="78" t="n">
        <f aca="false">IFERROR(E22/E7,0)</f>
        <v>-0.129418120753302</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-2407825.26</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-2915408.4411054</v>
      </c>
      <c r="I26" s="13" t="n">
        <f aca="false">Model!CH292+Model!CI292+Model!CJ292+Model!CK292+Model!CL292+Model!CM292+Model!CN292+Model!CO292+Model!CP292+Model!CQ292+Model!CR292+Model!CS292</f>
        <v>-2726112.36332103</v>
      </c>
      <c r="J26" s="13" t="n">
        <f aca="false">Model!CT292+Model!CU292+Model!CV292+Model!CW292+Model!CX292+Model!CY292+Model!CZ292+Model!DA292+Model!DB292+Model!DC292+Model!DD292+Model!DE292</f>
        <v>-2628277.12764905</v>
      </c>
    </row>
    <row r="27" customFormat="false" ht="15" hidden="false" customHeight="true" outlineLevel="0" collapsed="false">
      <c r="A27" s="36" t="s">
        <v>138</v>
      </c>
      <c r="B27" s="37" t="n">
        <f aca="false">Model!E293+Model!F293+Model!G293+Model!H293+Model!I293+Model!J293+Model!K293+Model!L293+Model!M293+Model!B293+Model!C293+Model!D293</f>
        <v>-1792019.62</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-733945.127649052</v>
      </c>
    </row>
    <row r="28" customFormat="false" ht="15" hidden="false" customHeight="true" outlineLevel="0" collapsed="false">
      <c r="A28" s="22" t="s">
        <v>297</v>
      </c>
      <c r="B28" s="13" t="n">
        <f aca="false">Model!E297+Model!F297+Model!G297+Model!H297+Model!I297+Model!J297+Model!K297+Model!L297+Model!M297+Model!B297+Model!C297+Model!D297</f>
        <v>0</v>
      </c>
      <c r="C28" s="13" t="n">
        <f aca="false">Model!N297+Model!O297+Model!P297+Model!Q297+Model!R297+Model!S297+Model!T297+Model!U297+Model!V297+Model!W297+Model!X297+Model!Y297</f>
        <v>0</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454949.595408988</v>
      </c>
      <c r="C31" s="37" t="n">
        <f aca="false">Model!N311+Model!O311+Model!P311+Model!Q311+Model!R311+Model!S311+Model!T311+Model!U311+Model!V311+Model!W311+Model!X311+Model!Y311</f>
        <v>1710502.73745653</v>
      </c>
      <c r="D31" s="37" t="n">
        <f aca="false">Model!Z311+Model!AA311+Model!AB311+Model!AC311+Model!AD311+Model!AE311+Model!AF311+Model!AG311+Model!AH311+Model!AI311+Model!AJ311+Model!AK311</f>
        <v>810844.521176149</v>
      </c>
      <c r="E31" s="37" t="n">
        <f aca="false">Model!AL311+Model!AM311+Model!AN311+Model!AO311+Model!AP311+Model!AQ311+Model!AR311+Model!AS311+Model!AT311+Model!AU311+Model!AV311+Model!AW311</f>
        <v>-4678043.16062988</v>
      </c>
      <c r="F31" s="37" t="n">
        <f aca="false">Model!AX311+Model!AY311+Model!AZ311+Model!BA311+Model!BB311+Model!BC311+Model!BD311+Model!BE311+Model!BF311+Model!BG311+Model!BH311+Model!BI311</f>
        <v>-7315170.24002781</v>
      </c>
      <c r="G31" s="37" t="n">
        <f aca="false">Model!BJ311+Model!BK311+Model!BL311+Model!BM311+Model!BN311+Model!BO311+Model!BP311+Model!BQ311+Model!BR311+Model!BS311+Model!BT311+Model!BU311</f>
        <v>-7332748.17482837</v>
      </c>
      <c r="H31" s="37" t="n">
        <f aca="false">Model!BV311+Model!BW311+Model!BX311+Model!BY311+Model!BZ311+Model!CA311+Model!CB311+Model!CC311+Model!CD311+Model!CE311+Model!CF311+Model!CG311</f>
        <v>-7306600.61532494</v>
      </c>
      <c r="I31" s="37" t="n">
        <f aca="false">Model!CH311+Model!CI311+Model!CJ311+Model!CK311+Model!CL311+Model!CM311+Model!CN311+Model!CO311+Model!CP311+Model!CQ311+Model!CR311+Model!CS311</f>
        <v>-6235455.92102496</v>
      </c>
      <c r="J31" s="37" t="n">
        <f aca="false">Model!CT311+Model!CU311+Model!CV311+Model!CW311+Model!CX311+Model!CY311+Model!CZ311+Model!DA311+Model!DB311+Model!DC311+Model!DD311+Model!DE311</f>
        <v>-5428560.48147519</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-0</v>
      </c>
      <c r="I38" s="13" t="n">
        <f aca="false">Model!CH291+Model!CI291+Model!CJ291+Model!CK291+Model!CL291+Model!CM291+Model!CN291+Model!CO291+Model!CP291+Model!CQ291+Model!CR291+Model!CS291</f>
        <v>-0</v>
      </c>
      <c r="J38" s="13" t="n">
        <f aca="false">Model!CT291+Model!CU291+Model!CV291+Model!CW291+Model!CX291+Model!CY291+Model!CZ291+Model!DA291+Model!DB291+Model!DC291+Model!DD291+Model!DE291</f>
        <v>-0</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0</v>
      </c>
      <c r="F43" s="13" t="n">
        <f aca="false">Model!AX325+Model!AY325+Model!AZ325+Model!BA325+Model!BB325+Model!BC325+Model!BD325+Model!BE325+Model!BF325+Model!BG325+Model!BH325+Model!BI325</f>
        <v>0</v>
      </c>
      <c r="G43" s="13" t="n">
        <f aca="false">Model!BJ325+Model!BK325+Model!BL325+Model!BM325+Model!BN325+Model!BO325+Model!BP325+Model!BQ325+Model!BR325+Model!BS325+Model!BT325+Model!BU325</f>
        <v>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750000</v>
      </c>
      <c r="F44" s="13" t="n">
        <f aca="false">Model!BI326</f>
        <v>750000</v>
      </c>
      <c r="G44" s="13" t="n">
        <f aca="false">Model!BU326</f>
        <v>750000</v>
      </c>
      <c r="H44" s="13" t="n">
        <f aca="false">Model!CG326</f>
        <v>750000</v>
      </c>
      <c r="I44" s="13" t="n">
        <f aca="false">Model!CS326</f>
        <v>750000</v>
      </c>
      <c r="J44" s="13" t="n">
        <f aca="false">Model!DE326</f>
        <v>750000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1695181.94921875</v>
      </c>
      <c r="C46" s="13" t="n">
        <f aca="false">Model!Y333+Model!Y338+Model!Y343+Model!Y348</f>
        <v>630279.327378641</v>
      </c>
      <c r="D46" s="13" t="n">
        <f aca="false">Model!AK333+Model!AK338+Model!AK343+Model!AK348</f>
        <v>730273.404257803</v>
      </c>
      <c r="E46" s="13" t="n">
        <f aca="false">Model!AW333+Model!AW338+Model!AW343+Model!AW348</f>
        <v>846131.582935293</v>
      </c>
      <c r="F46" s="13" t="n">
        <f aca="false">Model!BI333+Model!BI338+Model!BI343+Model!BI348</f>
        <v>566072.415105011</v>
      </c>
      <c r="G46" s="13" t="n">
        <f aca="false">Model!BU333+Model!BU338+Model!BU343+Model!BU348</f>
        <v>346547.082648898</v>
      </c>
      <c r="H46" s="13" t="n">
        <f aca="false">Model!CG333+Model!CG338+Model!CG343+Model!CG348</f>
        <v>72052.0225479718</v>
      </c>
      <c r="I46" s="13" t="n">
        <f aca="false">Model!CS333+Model!CS338+Model!CS343+Model!CS348</f>
        <v>0</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74016619.84339</v>
      </c>
      <c r="D48" s="13" t="n">
        <f aca="false">Model!AK359</f>
        <v>17213731.86939</v>
      </c>
      <c r="E48" s="13" t="n">
        <f aca="false">Model!AW359</f>
        <v>0</v>
      </c>
      <c r="F48" s="13" t="n">
        <f aca="false">Model!BI359</f>
        <v>0</v>
      </c>
      <c r="G48" s="13" t="n">
        <f aca="false">Model!BU359</f>
        <v>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2169280.11445269</v>
      </c>
      <c r="C50" s="83" t="n">
        <f aca="false">Model!Y372</f>
        <v>4247174.93843058</v>
      </c>
      <c r="D50" s="83" t="n">
        <f aca="false">Model!AK372</f>
        <v>7724227.004267</v>
      </c>
      <c r="E50" s="83" t="n">
        <f aca="false">Model!AW372</f>
        <v>6205573.53522612</v>
      </c>
      <c r="F50" s="83" t="n">
        <f aca="false">Model!BI372</f>
        <v>1400699.28088207</v>
      </c>
      <c r="G50" s="83" t="n">
        <f aca="false">Model!BU372</f>
        <v>-3496672.45854885</v>
      </c>
      <c r="H50" s="83" t="n">
        <f aca="false">Model!CG372</f>
        <v>-8488391.6327684</v>
      </c>
      <c r="I50" s="83" t="n">
        <f aca="false">Model!CS372</f>
        <v>-13576345.1904723</v>
      </c>
      <c r="J50" s="83" t="n">
        <f aca="false">Model!DE372</f>
        <v>-18270960.5442985</v>
      </c>
    </row>
    <row r="51" customFormat="false" ht="15" hidden="false" customHeight="true" outlineLevel="0" collapsed="false">
      <c r="A51" s="82" t="s">
        <v>204</v>
      </c>
      <c r="B51" s="83" t="n">
        <f aca="false">Model!M381</f>
        <v>25161.5515333333</v>
      </c>
      <c r="C51" s="83" t="n">
        <f aca="false">Model!Y381</f>
        <v>-3177453.93800852</v>
      </c>
      <c r="D51" s="83" t="n">
        <f aca="false">Model!AK381</f>
        <v>-6121934.92766236</v>
      </c>
      <c r="E51" s="83" t="n">
        <f aca="false">Model!AW381</f>
        <v>-8581457.62283978</v>
      </c>
      <c r="F51" s="83" t="n">
        <f aca="false">Model!BI381</f>
        <v>-11091753.6085236</v>
      </c>
      <c r="G51" s="83" t="n">
        <f aca="false">Model!BU381</f>
        <v>-13527130.043921</v>
      </c>
      <c r="H51" s="83" t="n">
        <f aca="false">Model!CG381</f>
        <v>-15842011.4850264</v>
      </c>
      <c r="I51" s="83" t="n">
        <f aca="false">Model!CS381</f>
        <v>-16989513.8483474</v>
      </c>
      <c r="J51" s="83" t="n">
        <f aca="false">Model!DE381</f>
        <v>-17723458.9759965</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-228839.646490721</v>
      </c>
      <c r="D52" s="83" t="n">
        <f aca="false">Model!Z385+Model!AA385+Model!AB385+Model!AC385+Model!AD385+Model!AE385+Model!AF385+Model!AG385+Model!AH385+Model!AI385+Model!AJ385+Model!AK385</f>
        <v>-860382.876940632</v>
      </c>
      <c r="E52" s="83" t="n">
        <f aca="false">Model!AL385+Model!AM385+Model!AN385+Model!AO385+Model!AP385+Model!AQ385+Model!AR385+Model!AS385+Model!AT385+Model!AU385+Model!AV385+Model!AW385</f>
        <v>-407854.794151603</v>
      </c>
      <c r="F52" s="83" t="n">
        <f aca="false">Model!AX385+Model!AY385+Model!AZ385+Model!BA385+Model!BB385+Model!BC385+Model!BD385+Model!BE385+Model!BF385+Model!BG385+Model!BH385+Model!BI385</f>
        <v>0</v>
      </c>
      <c r="G52" s="83" t="n">
        <f aca="false">Model!BJ385+Model!BK385+Model!BL385+Model!BM385+Model!BN385+Model!BO385+Model!BP385+Model!BQ385+Model!BR385+Model!BS385+Model!BT385+Model!BU385</f>
        <v>0</v>
      </c>
      <c r="H52" s="83" t="n">
        <f aca="false">Model!BV385+Model!BW385+Model!BX385+Model!BY385+Model!BZ385+Model!CA385+Model!CB385+Model!CC385+Model!CD385+Model!CE385+Model!CF385+Model!CG385</f>
        <v>0</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2194441.66598602</v>
      </c>
      <c r="C53" s="84" t="n">
        <f aca="false">Model!Y386</f>
        <v>1069721.00042206</v>
      </c>
      <c r="D53" s="84" t="n">
        <f aca="false">Model!AK386</f>
        <v>1602292.07660464</v>
      </c>
      <c r="E53" s="84" t="n">
        <f aca="false">Model!AW386</f>
        <v>-2375884.08761367</v>
      </c>
      <c r="F53" s="84" t="n">
        <f aca="false">Model!BI386</f>
        <v>-9691054.32764148</v>
      </c>
      <c r="G53" s="84" t="n">
        <f aca="false">Model!BU386</f>
        <v>-17023802.5024699</v>
      </c>
      <c r="H53" s="84" t="n">
        <f aca="false">Model!CG386</f>
        <v>-24330403.1177948</v>
      </c>
      <c r="I53" s="84" t="n">
        <f aca="false">Model!CS386</f>
        <v>-30565859.0388198</v>
      </c>
      <c r="J53" s="84" t="n">
        <f aca="false">Model!DE386</f>
        <v>-35994419.520295</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1421785.07217923</v>
      </c>
      <c r="H4" s="13" t="n">
        <f aca="false">SUM(Model!T10:V10)</f>
        <v>1693027.23351539</v>
      </c>
      <c r="I4" s="13" t="n">
        <f aca="false">SUM(Model!W10:Y10)</f>
        <v>1520980.75351539</v>
      </c>
      <c r="J4" s="13" t="n">
        <f aca="false">SUM(Model!Z10:AB10)</f>
        <v>1579425.42468338</v>
      </c>
      <c r="K4" s="13" t="n">
        <f aca="false">SUM(Model!AC10:AE10)</f>
        <v>1012127.97131353</v>
      </c>
      <c r="L4" s="13" t="n">
        <f aca="false">SUM(Model!AF10:AH10)</f>
        <v>1135608.34429428</v>
      </c>
      <c r="M4" s="13" t="n">
        <f aca="false">SUM(Model!AI10:AK10)</f>
        <v>792959.156821854</v>
      </c>
      <c r="N4" s="13" t="n">
        <f aca="false">SUM(Model!AL10:AN10)</f>
        <v>481481.04700425</v>
      </c>
      <c r="O4" s="13" t="n">
        <f aca="false">SUM(Model!AO10:AQ10)</f>
        <v>295842.10700425</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1083760.96314895</v>
      </c>
      <c r="H5" s="13" t="n">
        <f aca="false">SUM(Model!T11:V11)</f>
        <v>1278742.94992721</v>
      </c>
      <c r="I5" s="13" t="n">
        <f aca="false">SUM(Model!W11:Y11)</f>
        <v>1141220.74992721</v>
      </c>
      <c r="J5" s="13" t="n">
        <f aca="false">SUM(Model!Z11:AB11)</f>
        <v>1185054.10338101</v>
      </c>
      <c r="K5" s="13" t="n">
        <f aca="false">SUM(Model!AC11:AE11)</f>
        <v>759582.188180325</v>
      </c>
      <c r="L5" s="13" t="n">
        <f aca="false">SUM(Model!AF11:AH11)</f>
        <v>852038.288480925</v>
      </c>
      <c r="M5" s="13" t="n">
        <f aca="false">SUM(Model!AI11:AK11)</f>
        <v>594717.623399817</v>
      </c>
      <c r="N5" s="13" t="n">
        <f aca="false">SUM(Model!AL11:AN11)</f>
        <v>361109.7151674</v>
      </c>
      <c r="O5" s="13" t="n">
        <f aca="false">SUM(Model!AO11:AQ11)</f>
        <v>221880.5051674</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20018346.8210861</v>
      </c>
      <c r="H6" s="13" t="n">
        <f aca="false">SUM(Model!T57:V57)</f>
        <v>24256945.0101894</v>
      </c>
      <c r="I6" s="13" t="n">
        <f aca="false">SUM(Model!W57:Y57)</f>
        <v>22238200.9462045</v>
      </c>
      <c r="J6" s="13" t="n">
        <f aca="false">SUM(Model!Z57:AB57)</f>
        <v>20276381.8274097</v>
      </c>
      <c r="K6" s="13" t="n">
        <f aca="false">SUM(Model!AC57:AE57)</f>
        <v>14181579.0169651</v>
      </c>
      <c r="L6" s="13" t="n">
        <f aca="false">SUM(Model!AF57:AH57)</f>
        <v>13495379.0594222</v>
      </c>
      <c r="M6" s="13" t="n">
        <f aca="false">SUM(Model!AI57:AK57)</f>
        <v>9969844.55631333</v>
      </c>
      <c r="N6" s="13" t="n">
        <f aca="false">SUM(Model!AL57:AN57)</f>
        <v>7148051.82662835</v>
      </c>
      <c r="O6" s="13" t="n">
        <f aca="false">SUM(Model!AO57:AQ57)</f>
        <v>3834994.19071835</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22523892.8564142</v>
      </c>
      <c r="H7" s="88" t="n">
        <f aca="false">SUM(Model!T58:V58)</f>
        <v>27228715.193632</v>
      </c>
      <c r="I7" s="88" t="n">
        <f aca="false">SUM(Model!W58:Y58)</f>
        <v>24900402.4496471</v>
      </c>
      <c r="J7" s="88" t="n">
        <f aca="false">SUM(Model!Z58:AB58)</f>
        <v>23040861.3554741</v>
      </c>
      <c r="K7" s="88" t="n">
        <f aca="false">SUM(Model!AC58:AE58)</f>
        <v>15953289.176459</v>
      </c>
      <c r="L7" s="88" t="n">
        <f aca="false">SUM(Model!AF58:AH58)</f>
        <v>15483025.6921974</v>
      </c>
      <c r="M7" s="88" t="n">
        <f aca="false">SUM(Model!AI58:AK58)</f>
        <v>11357521.336535</v>
      </c>
      <c r="N7" s="88" t="n">
        <f aca="false">SUM(Model!AL58:AN58)</f>
        <v>7990642.5888</v>
      </c>
      <c r="O7" s="88" t="n">
        <f aca="false">SUM(Model!AO58:AQ58)</f>
        <v>4352716.80289</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-20187539.3010861</v>
      </c>
      <c r="H8" s="13" t="n">
        <f aca="false">SUM(Model!T104:V104)</f>
        <v>-24491095.5601894</v>
      </c>
      <c r="I8" s="13" t="n">
        <f aca="false">SUM(Model!W104:Y104)</f>
        <v>-22232415.6262045</v>
      </c>
      <c r="J8" s="13" t="n">
        <f aca="false">SUM(Model!Z104:AB104)</f>
        <v>-20276381.8274097</v>
      </c>
      <c r="K8" s="13" t="n">
        <f aca="false">SUM(Model!AC104:AE104)</f>
        <v>-14181579.0169651</v>
      </c>
      <c r="L8" s="13" t="n">
        <f aca="false">SUM(Model!AF104:AH104)</f>
        <v>-13495379.0594222</v>
      </c>
      <c r="M8" s="13" t="n">
        <f aca="false">SUM(Model!AI104:AK104)</f>
        <v>-9969844.55631333</v>
      </c>
      <c r="N8" s="13" t="n">
        <f aca="false">SUM(Model!AL104:AN104)</f>
        <v>-7148051.82662835</v>
      </c>
      <c r="O8" s="13" t="n">
        <f aca="false">SUM(Model!AO104:AQ104)</f>
        <v>-3834994.19071835</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668967.044334975</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-802202.980665025</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1597310.67466315</v>
      </c>
      <c r="H13" s="32" t="n">
        <f aca="false">SUM(Model!T199:V199)</f>
        <v>2758361.25344261</v>
      </c>
      <c r="I13" s="32" t="n">
        <f aca="false">SUM(Model!W199:Y199)</f>
        <v>2662201.50344261</v>
      </c>
      <c r="J13" s="32" t="n">
        <f aca="false">SUM(Model!Z199:AB199)</f>
        <v>2764479.52806439</v>
      </c>
      <c r="K13" s="32" t="n">
        <f aca="false">SUM(Model!AC199:AE199)</f>
        <v>1771710.15949386</v>
      </c>
      <c r="L13" s="32" t="n">
        <f aca="false">SUM(Model!AF199:AH199)</f>
        <v>1987646.63277521</v>
      </c>
      <c r="M13" s="32" t="n">
        <f aca="false">SUM(Model!AI199:AK199)</f>
        <v>1387676.78022167</v>
      </c>
      <c r="N13" s="32" t="n">
        <f aca="false">SUM(Model!AL199:AN199)</f>
        <v>842590.76217165</v>
      </c>
      <c r="O13" s="32" t="n">
        <f aca="false">SUM(Model!AO199:AQ199)</f>
        <v>517722.61217165</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0.0709162792082932</v>
      </c>
      <c r="H14" s="89" t="n">
        <f aca="false">IFERROR(H13/H7,0)</f>
        <v>0.10130339363525</v>
      </c>
      <c r="I14" s="89" t="n">
        <f aca="false">IFERROR(I13/I7,0)</f>
        <v>0.106913995017793</v>
      </c>
      <c r="J14" s="89" t="n">
        <f aca="false">IFERROR(J13/J7,0)</f>
        <v>0.119981605089065</v>
      </c>
      <c r="K14" s="89" t="n">
        <f aca="false">IFERROR(K13/K7,0)</f>
        <v>0.1110561051014</v>
      </c>
      <c r="L14" s="89" t="n">
        <f aca="false">IFERROR(L13/L7,0)</f>
        <v>0.128375853162659</v>
      </c>
      <c r="M14" s="89" t="n">
        <f aca="false">IFERROR(M13/M7,0)</f>
        <v>0.12218130515483</v>
      </c>
      <c r="N14" s="89" t="n">
        <f aca="false">IFERROR(N13/N7,0)</f>
        <v>0.105447184354442</v>
      </c>
      <c r="O14" s="89" t="n">
        <f aca="false">IFERROR(O13/O7,0)</f>
        <v>0.118942406689061</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-1288877.51718</v>
      </c>
      <c r="H17" s="13" t="n">
        <f aca="false">SUM(Model!T203:V204)+SUM(Model!T206:V210)</f>
        <v>-1342802.36718</v>
      </c>
      <c r="I17" s="13" t="n">
        <f aca="false">SUM(Model!W203:Y204)+SUM(Model!W206:Y210)</f>
        <v>-1342802.36718</v>
      </c>
      <c r="J17" s="13" t="n">
        <f aca="false">SUM(Model!Z203:AB204)+SUM(Model!Z206:AB210)</f>
        <v>-1180554.79218</v>
      </c>
      <c r="K17" s="13" t="n">
        <f aca="false">SUM(Model!AC203:AE204)+SUM(Model!AC206:AE210)</f>
        <v>-1027093.7095236</v>
      </c>
      <c r="L17" s="13" t="n">
        <f aca="false">SUM(Model!AF203:AH204)+SUM(Model!AF206:AH210)</f>
        <v>-987047.4130236</v>
      </c>
      <c r="M17" s="13" t="n">
        <f aca="false">SUM(Model!AI203:AK204)+SUM(Model!AI206:AK210)</f>
        <v>-962923.1380236</v>
      </c>
      <c r="N17" s="13" t="n">
        <f aca="false">SUM(Model!AL203:AN204)+SUM(Model!AL206:AN210)</f>
        <v>-962923.1380236</v>
      </c>
      <c r="O17" s="13" t="n">
        <f aca="false">SUM(Model!AO203:AQ204)+SUM(Model!AO206:AQ210)</f>
        <v>-982181.600784072</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-217230.4296</v>
      </c>
      <c r="H18" s="13" t="n">
        <f aca="false">SUM(Model!T211:V233)+SUM(Model!T235:V235)</f>
        <v>-195855.4296</v>
      </c>
      <c r="I18" s="13" t="n">
        <f aca="false">SUM(Model!W211:Y233)+SUM(Model!W235:Y235)</f>
        <v>-195855.4296</v>
      </c>
      <c r="J18" s="13" t="n">
        <f aca="false">SUM(Model!Z211:AB233)+SUM(Model!Z235:AB235)</f>
        <v>-250086.198830769</v>
      </c>
      <c r="K18" s="13" t="n">
        <f aca="false">SUM(Model!AC211:AE233)+SUM(Model!AC235:AE235)</f>
        <v>-243103.307422769</v>
      </c>
      <c r="L18" s="13" t="n">
        <f aca="false">SUM(Model!AF211:AH233)+SUM(Model!AF235:AH235)</f>
        <v>-208487.922807385</v>
      </c>
      <c r="M18" s="13" t="n">
        <f aca="false">SUM(Model!AI211:AK233)+SUM(Model!AI235:AK235)</f>
        <v>-198872.538192</v>
      </c>
      <c r="N18" s="13" t="n">
        <f aca="false">SUM(Model!AL211:AN233)+SUM(Model!AL235:AN235)</f>
        <v>-198872.538192</v>
      </c>
      <c r="O18" s="13" t="n">
        <f aca="false">SUM(Model!AO211:AQ233)+SUM(Model!AO235:AQ235)</f>
        <v>-201949.98895584</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-1506107.94678</v>
      </c>
      <c r="H21" s="88" t="n">
        <f aca="false">SUM(Model!T236:V236)</f>
        <v>-1538657.79678</v>
      </c>
      <c r="I21" s="88" t="n">
        <f aca="false">SUM(Model!W236:Y236)</f>
        <v>-1538657.79678</v>
      </c>
      <c r="J21" s="88" t="n">
        <f aca="false">SUM(Model!Z236:AB236)</f>
        <v>-1430640.99101077</v>
      </c>
      <c r="K21" s="88" t="n">
        <f aca="false">SUM(Model!AC236:AE236)</f>
        <v>-1270197.01694637</v>
      </c>
      <c r="L21" s="88" t="n">
        <f aca="false">SUM(Model!AF236:AH236)</f>
        <v>-1195535.33583098</v>
      </c>
      <c r="M21" s="88" t="n">
        <f aca="false">SUM(Model!AI236:AK236)</f>
        <v>-1161795.6762156</v>
      </c>
      <c r="N21" s="88" t="n">
        <f aca="false">SUM(Model!AL236:AN236)</f>
        <v>-1161795.6762156</v>
      </c>
      <c r="O21" s="88" t="n">
        <f aca="false">SUM(Model!AO236:AQ236)</f>
        <v>-1184131.58973991</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91202.7278831513</v>
      </c>
      <c r="H22" s="91" t="n">
        <f aca="false">SUM(Model!T237:V237)</f>
        <v>1219703.45666261</v>
      </c>
      <c r="I22" s="91" t="n">
        <f aca="false">SUM(Model!W237:Y237)</f>
        <v>1123543.70666261</v>
      </c>
      <c r="J22" s="91" t="n">
        <f aca="false">SUM(Model!Z237:AB237)</f>
        <v>1333838.53705362</v>
      </c>
      <c r="K22" s="91" t="n">
        <f aca="false">SUM(Model!AC237:AE237)</f>
        <v>501513.142547487</v>
      </c>
      <c r="L22" s="91" t="n">
        <f aca="false">SUM(Model!AF237:AH237)</f>
        <v>792111.296944221</v>
      </c>
      <c r="M22" s="91" t="n">
        <f aca="false">SUM(Model!AI237:AK237)</f>
        <v>225881.104006071</v>
      </c>
      <c r="N22" s="91" t="n">
        <f aca="false">SUM(Model!AL237:AN237)</f>
        <v>-319204.91404395</v>
      </c>
      <c r="O22" s="91" t="n">
        <f aca="false">SUM(Model!AO237:AQ237)</f>
        <v>-666408.977568262</v>
      </c>
      <c r="P22" s="91" t="n">
        <f aca="false">SUM(Model!AR237:AT237)</f>
        <v>-666408.977568262</v>
      </c>
      <c r="Q22" s="91" t="n">
        <f aca="false">SUM(Model!AU237:AW237)</f>
        <v>-566497.596271979</v>
      </c>
      <c r="R22" s="91" t="n">
        <f aca="false">SUM(Model!AX237:AZ237)</f>
        <v>-1184131.58973991</v>
      </c>
      <c r="S22" s="91" t="n">
        <f aca="false">SUM(Model!BA237:BC237)</f>
        <v>-1206914.22153471</v>
      </c>
      <c r="T22" s="91" t="n">
        <f aca="false">SUM(Model!BD237:BF237)</f>
        <v>-1206914.22153471</v>
      </c>
      <c r="U22" s="91" t="n">
        <f aca="false">SUM(Model!BG237:BI237)</f>
        <v>-1206914.22153471</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0.00404915475599854</v>
      </c>
      <c r="H23" s="89" t="n">
        <f aca="false">IFERROR(H22/H7,0)</f>
        <v>0.0447947487785932</v>
      </c>
      <c r="I23" s="89" t="n">
        <f aca="false">IFERROR(I22/I7,0)</f>
        <v>0.0451215079328379</v>
      </c>
      <c r="J23" s="89" t="n">
        <f aca="false">IFERROR(J22/J7,0)</f>
        <v>0.0578901333797887</v>
      </c>
      <c r="K23" s="89" t="n">
        <f aca="false">IFERROR(K22/K7,0)</f>
        <v>0.0314363475143126</v>
      </c>
      <c r="L23" s="89" t="n">
        <f aca="false">IFERROR(L22/L7,0)</f>
        <v>0.0511599807874377</v>
      </c>
      <c r="M23" s="89" t="n">
        <f aca="false">IFERROR(M22/M7,0)</f>
        <v>0.019888239459384</v>
      </c>
      <c r="N23" s="89" t="n">
        <f aca="false">IFERROR(N22/N7,0)</f>
        <v>-0.0399473397160023</v>
      </c>
      <c r="O23" s="89" t="n">
        <f aca="false">IFERROR(O22/O7,0)</f>
        <v>-0.153101845984053</v>
      </c>
      <c r="P23" s="89" t="n">
        <f aca="false">IFERROR(P22/P7,0)</f>
        <v>-0.206202313947595</v>
      </c>
      <c r="Q23" s="89" t="n">
        <f aca="false">IFERROR(Q22/Q7,0)</f>
        <v>-0.361496457753118</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-728443.751213671</v>
      </c>
      <c r="AB26" s="92" t="n">
        <f aca="false">Model!CB292+Model!CC292+Model!CD292</f>
        <v>-735166.751213671</v>
      </c>
      <c r="AC26" s="92" t="n">
        <f aca="false">Model!CE292+Model!CF292+Model!CG292</f>
        <v>-735165.751213671</v>
      </c>
      <c r="AD26" s="92" t="n">
        <f aca="false">Model!CH292+Model!CI292+Model!CJ292</f>
        <v>-728557.724607192</v>
      </c>
      <c r="AE26" s="92" t="n">
        <f aca="false">Model!CK292+Model!CL292+Model!CM292</f>
        <v>-665851.546237945</v>
      </c>
      <c r="AF26" s="92" t="n">
        <f aca="false">Model!CN292+Model!CO292+Model!CP292</f>
        <v>-665851.546237945</v>
      </c>
      <c r="AG26" s="92" t="n">
        <f aca="false">Model!CQ292+Model!CR292+Model!CS292</f>
        <v>-665851.546237945</v>
      </c>
      <c r="AH26" s="92" t="n">
        <f aca="false">Model!CT292+Model!CU292+Model!CV292</f>
        <v>-648118.711243609</v>
      </c>
      <c r="AI26" s="92" t="n">
        <f aca="false">Model!CW292+Model!CX292+Model!CY292</f>
        <v>-660052.805468481</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-186469.805468481</v>
      </c>
      <c r="AJ27" s="37" t="n">
        <f aca="false">Model!CZ293+Model!DA293+Model!DB293</f>
        <v>-186469.805468481</v>
      </c>
      <c r="AK27" s="37" t="n">
        <f aca="false">Model!DC293+Model!DD293+Model!DE293</f>
        <v>-186469.805468481</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0</v>
      </c>
      <c r="F28" s="92" t="n">
        <f aca="false">Model!N297+Model!O297+Model!P297</f>
        <v>0</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957353.001488631</v>
      </c>
      <c r="E31" s="37" t="n">
        <f aca="false">Model!K311+Model!L311+Model!M311</f>
        <v>-75400.6460796436</v>
      </c>
      <c r="F31" s="37" t="n">
        <f aca="false">Model!N311+Model!O311+Model!P311</f>
        <v>697785.124401665</v>
      </c>
      <c r="G31" s="37" t="n">
        <f aca="false">Model!Q311+Model!R311+Model!S311</f>
        <v>-354020.531501352</v>
      </c>
      <c r="H31" s="37" t="n">
        <f aca="false">Model!T311+Model!U311+Model!V311</f>
        <v>702761.447278107</v>
      </c>
      <c r="I31" s="37" t="n">
        <f aca="false">Model!W311+Model!X311+Model!Y311</f>
        <v>663976.697278106</v>
      </c>
      <c r="J31" s="37" t="n">
        <f aca="false">Model!Z311+Model!AA311+Model!AB311</f>
        <v>878322.699387123</v>
      </c>
      <c r="K31" s="37" t="n">
        <f aca="false">Model!AC311+Model!AD311+Model!AE311</f>
        <v>29742.252855095</v>
      </c>
      <c r="L31" s="37" t="n">
        <f aca="false">Model!AF311+Model!AG311+Model!AH311</f>
        <v>253491.723041303</v>
      </c>
      <c r="M31" s="37" t="n">
        <f aca="false">Model!AI311+Model!AJ311+Model!AK311</f>
        <v>-350712.154107373</v>
      </c>
      <c r="N31" s="37" t="n">
        <f aca="false">Model!AL311+Model!AM311+Model!AN311</f>
        <v>-921549.659208732</v>
      </c>
      <c r="O31" s="37" t="n">
        <f aca="false">Model!AO311+Model!AP311+Model!AQ311</f>
        <v>-1285468.29423914</v>
      </c>
      <c r="P31" s="37" t="n">
        <f aca="false">Model!AR311+Model!AS311+Model!AT311</f>
        <v>-1285468.29423914</v>
      </c>
      <c r="Q31" s="37" t="n">
        <f aca="false">Model!AU311+Model!AV311+Model!AW311</f>
        <v>-1185556.91294286</v>
      </c>
      <c r="R31" s="37" t="n">
        <f aca="false">Model!AX311+Model!AY311+Model!AZ311</f>
        <v>-1803190.90641079</v>
      </c>
      <c r="S31" s="37" t="n">
        <f aca="false">Model!BA311+Model!BB311+Model!BC311</f>
        <v>-1837326.44453901</v>
      </c>
      <c r="T31" s="37" t="n">
        <f aca="false">Model!BD311+Model!BE311+Model!BF311</f>
        <v>-1837326.44453901</v>
      </c>
      <c r="U31" s="37" t="n">
        <f aca="false">Model!BG311+Model!BH311+Model!BI311</f>
        <v>-1837326.44453901</v>
      </c>
      <c r="V31" s="37" t="n">
        <f aca="false">Model!BJ311+Model!BK311+Model!BL311</f>
        <v>-1837326.44453901</v>
      </c>
      <c r="W31" s="37" t="n">
        <f aca="false">Model!BM311+Model!BN311+Model!BO311</f>
        <v>-1872144.69342979</v>
      </c>
      <c r="X31" s="37" t="n">
        <f aca="false">Model!BP311+Model!BQ311+Model!BR311</f>
        <v>-1818894.34342979</v>
      </c>
      <c r="Y31" s="37" t="n">
        <f aca="false">Model!BS311+Model!BT311+Model!BU311</f>
        <v>-1804382.69342979</v>
      </c>
      <c r="Z31" s="37" t="n">
        <f aca="false">Model!BV311+Model!BW311+Model!BX311</f>
        <v>-1804382.69342979</v>
      </c>
      <c r="AA31" s="37" t="n">
        <f aca="false">Model!BY311+Model!BZ311+Model!CA311</f>
        <v>-1839897.30729838</v>
      </c>
      <c r="AB31" s="37" t="n">
        <f aca="false">Model!CB311+Model!CC311+Model!CD311</f>
        <v>-1831160.30729838</v>
      </c>
      <c r="AC31" s="37" t="n">
        <f aca="false">Model!CE311+Model!CF311+Model!CG311</f>
        <v>-1831160.30729838</v>
      </c>
      <c r="AD31" s="37" t="n">
        <f aca="false">Model!CH311+Model!CI311+Model!CJ311</f>
        <v>-1824552.28069191</v>
      </c>
      <c r="AE31" s="37" t="n">
        <f aca="false">Model!CK311+Model!CL311+Model!CM311</f>
        <v>-1470301.21344435</v>
      </c>
      <c r="AF31" s="37" t="n">
        <f aca="false">Model!CN311+Model!CO311+Model!CP311</f>
        <v>-1470301.21344435</v>
      </c>
      <c r="AG31" s="37" t="n">
        <f aca="false">Model!CQ311+Model!CR311+Model!CS311</f>
        <v>-1470301.21344435</v>
      </c>
      <c r="AH31" s="37" t="n">
        <f aca="false">Model!CT311+Model!CU311+Model!CV311</f>
        <v>-1331509.93632394</v>
      </c>
      <c r="AI31" s="37" t="n">
        <f aca="false">Model!CW311+Model!CX311+Model!CY311</f>
        <v>-1365683.51505042</v>
      </c>
      <c r="AJ31" s="37" t="n">
        <f aca="false">Model!CZ311+Model!DA311+Model!DB311</f>
        <v>-1365683.51505042</v>
      </c>
      <c r="AK31" s="37" t="n">
        <f aca="false">Model!DC311+Model!DD311+Model!DE311</f>
        <v>-1365683.51505042</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-0</v>
      </c>
      <c r="AB38" s="93" t="n">
        <f aca="false">Model!CB291+Model!CC291+Model!CD291</f>
        <v>-0</v>
      </c>
      <c r="AC38" s="93" t="n">
        <f aca="false">Model!CE291+Model!CF291+Model!CG291</f>
        <v>-0</v>
      </c>
      <c r="AD38" s="93" t="n">
        <f aca="false">Model!CH291+Model!CI291+Model!CJ291</f>
        <v>-0</v>
      </c>
      <c r="AE38" s="93" t="n">
        <f aca="false">Model!CK291+Model!CL291+Model!CM291</f>
        <v>-0</v>
      </c>
      <c r="AF38" s="93" t="n">
        <f aca="false">Model!CN291+Model!CO291+Model!CP291</f>
        <v>-0</v>
      </c>
      <c r="AG38" s="93" t="n">
        <f aca="false">Model!CQ291+Model!CR291+Model!CS291</f>
        <v>-0</v>
      </c>
      <c r="AH38" s="93" t="n">
        <f aca="false">Model!CT291+Model!CU291+Model!CV291</f>
        <v>-0</v>
      </c>
      <c r="AI38" s="93" t="n">
        <f aca="false">Model!CW291+Model!CX291+Model!CY291</f>
        <v>-0</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0</v>
      </c>
      <c r="O43" s="93" t="n">
        <f aca="false">Model!AO325+Model!AP325+Model!AQ325</f>
        <v>0</v>
      </c>
      <c r="P43" s="93" t="n">
        <f aca="false">Model!AR325+Model!AS325+Model!AT325</f>
        <v>0</v>
      </c>
      <c r="Q43" s="93" t="n">
        <f aca="false">Model!AU325+Model!AV325+Model!AW325</f>
        <v>0</v>
      </c>
      <c r="R43" s="93" t="n">
        <f aca="false">Model!AX325+Model!AY325+Model!AZ325</f>
        <v>0</v>
      </c>
      <c r="S43" s="93" t="n">
        <f aca="false">Model!BA325+Model!BB325+Model!BC325</f>
        <v>0</v>
      </c>
      <c r="T43" s="93" t="n">
        <f aca="false">Model!BD325+Model!BE325+Model!BF325</f>
        <v>0</v>
      </c>
      <c r="U43" s="93" t="n">
        <f aca="false">Model!BG325+Model!BH325+Model!BI325</f>
        <v>0</v>
      </c>
      <c r="V43" s="93" t="n">
        <f aca="false">Model!BJ325+Model!BK325+Model!BL325</f>
        <v>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750000</v>
      </c>
      <c r="O44" s="93" t="n">
        <f aca="false">Model!AQ326</f>
        <v>750000</v>
      </c>
      <c r="P44" s="93" t="n">
        <f aca="false">Model!AT326</f>
        <v>750000</v>
      </c>
      <c r="Q44" s="93" t="n">
        <f aca="false">Model!AW326</f>
        <v>750000</v>
      </c>
      <c r="R44" s="93" t="n">
        <f aca="false">Model!AZ326</f>
        <v>750000</v>
      </c>
      <c r="S44" s="93" t="n">
        <f aca="false">Model!BC326</f>
        <v>750000</v>
      </c>
      <c r="T44" s="93" t="n">
        <f aca="false">Model!BF326</f>
        <v>750000</v>
      </c>
      <c r="U44" s="93" t="n">
        <f aca="false">Model!BI326</f>
        <v>750000</v>
      </c>
      <c r="V44" s="93" t="n">
        <f aca="false">Model!BL326</f>
        <v>750000</v>
      </c>
      <c r="W44" s="93" t="n">
        <f aca="false">Model!BO326</f>
        <v>750000</v>
      </c>
      <c r="X44" s="93" t="n">
        <f aca="false">Model!BR326</f>
        <v>750000</v>
      </c>
      <c r="Y44" s="93" t="n">
        <f aca="false">Model!BU326</f>
        <v>750000</v>
      </c>
      <c r="Z44" s="93" t="n">
        <f aca="false">Model!BX326</f>
        <v>750000</v>
      </c>
      <c r="AA44" s="93" t="n">
        <f aca="false">Model!CA326</f>
        <v>750000</v>
      </c>
      <c r="AB44" s="93" t="n">
        <f aca="false">Model!CD326</f>
        <v>750000</v>
      </c>
      <c r="AC44" s="93" t="n">
        <f aca="false">Model!CG326</f>
        <v>750000</v>
      </c>
      <c r="AD44" s="93" t="n">
        <f aca="false">Model!CJ326</f>
        <v>750000</v>
      </c>
      <c r="AE44" s="93" t="n">
        <f aca="false">Model!CM326</f>
        <v>750000</v>
      </c>
      <c r="AF44" s="93" t="n">
        <f aca="false">Model!CP326</f>
        <v>750000</v>
      </c>
      <c r="AG44" s="93" t="n">
        <f aca="false">Model!CS326</f>
        <v>750000</v>
      </c>
      <c r="AH44" s="93" t="n">
        <f aca="false">Model!CV326</f>
        <v>750000</v>
      </c>
      <c r="AI44" s="93" t="n">
        <f aca="false">Model!CY326</f>
        <v>750000</v>
      </c>
      <c r="AJ44" s="93" t="n">
        <f aca="false">Model!DB326</f>
        <v>750000</v>
      </c>
      <c r="AK44" s="93" t="n">
        <f aca="false">Model!DE326</f>
        <v>750000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1280275</v>
      </c>
      <c r="D46" s="93" t="n">
        <f aca="false">Model!J333+Model!J338+Model!J343+Model!J348</f>
        <v>1483910.3125</v>
      </c>
      <c r="E46" s="93" t="n">
        <f aca="false">Model!M333+Model!M338+Model!M343+Model!M348</f>
        <v>1695181.94921875</v>
      </c>
      <c r="F46" s="93" t="n">
        <f aca="false">Model!P333+Model!P338+Model!P343+Model!P348</f>
        <v>1914376.27231445</v>
      </c>
      <c r="G46" s="93" t="n">
        <f aca="false">Model!S333+Model!S338+Model!S343+Model!S348</f>
        <v>585540.382526245</v>
      </c>
      <c r="H46" s="93" t="n">
        <f aca="false">Model!V333+Model!V338+Model!V343+Model!V348</f>
        <v>607498.146870979</v>
      </c>
      <c r="I46" s="93" t="n">
        <f aca="false">Model!Y333+Model!Y338+Model!Y343+Model!Y348</f>
        <v>630279.327378641</v>
      </c>
      <c r="J46" s="93" t="n">
        <f aca="false">Model!AB333+Model!AB338+Model!AB343+Model!AB348</f>
        <v>653914.80215534</v>
      </c>
      <c r="K46" s="93" t="n">
        <f aca="false">Model!AE333+Model!AE338+Model!AE343+Model!AE348</f>
        <v>678436.607236165</v>
      </c>
      <c r="L46" s="93" t="n">
        <f aca="false">Model!AH333+Model!AH338+Model!AH343+Model!AH348</f>
        <v>703877.980007521</v>
      </c>
      <c r="M46" s="93" t="n">
        <f aca="false">Model!AK333+Model!AK338+Model!AK343+Model!AK348</f>
        <v>730273.404257803</v>
      </c>
      <c r="N46" s="93" t="n">
        <f aca="false">Model!AN333+Model!AN338+Model!AN343+Model!AN348</f>
        <v>757658.656917471</v>
      </c>
      <c r="O46" s="93" t="n">
        <f aca="false">Model!AQ333+Model!AQ338+Model!AQ343+Model!AQ348</f>
        <v>786070.856551876</v>
      </c>
      <c r="P46" s="93" t="n">
        <f aca="false">Model!AT333+Model!AT338+Model!AT343+Model!AT348</f>
        <v>815548.513672571</v>
      </c>
      <c r="Q46" s="93" t="n">
        <f aca="false">Model!AW333+Model!AW338+Model!AW343+Model!AW348</f>
        <v>846131.582935293</v>
      </c>
      <c r="R46" s="93" t="n">
        <f aca="false">Model!AZ333+Model!AZ338+Model!AZ343+Model!AZ348</f>
        <v>877861.517295366</v>
      </c>
      <c r="S46" s="93" t="n">
        <f aca="false">Model!BC333+Model!BC338+Model!BC343+Model!BC348</f>
        <v>661610.024193943</v>
      </c>
      <c r="T46" s="93" t="n">
        <f aca="false">Model!BF333+Model!BF338+Model!BF343+Model!BF348</f>
        <v>614720.400101215</v>
      </c>
      <c r="U46" s="93" t="n">
        <f aca="false">Model!BI333+Model!BI338+Model!BI343+Model!BI348</f>
        <v>566072.415105011</v>
      </c>
      <c r="V46" s="93" t="n">
        <f aca="false">Model!BL333+Model!BL338+Model!BL343+Model!BL348</f>
        <v>515600.130671449</v>
      </c>
      <c r="W46" s="93" t="n">
        <f aca="false">Model!BO333+Model!BO338+Model!BO343+Model!BO348</f>
        <v>463235.135571628</v>
      </c>
      <c r="X46" s="93" t="n">
        <f aca="false">Model!BR333+Model!BR338+Model!BR343+Model!BR348</f>
        <v>405963.453155564</v>
      </c>
      <c r="Y46" s="93" t="n">
        <f aca="false">Model!BU333+Model!BU338+Model!BU343+Model!BU348</f>
        <v>346547.082648898</v>
      </c>
      <c r="Z46" s="93" t="n">
        <f aca="false">Model!BX333+Model!BX338+Model!BX343+Model!BX348</f>
        <v>284902.598248232</v>
      </c>
      <c r="AA46" s="93" t="n">
        <f aca="false">Model!CA333+Model!CA338+Model!CA343+Model!CA348</f>
        <v>220946.44568254</v>
      </c>
      <c r="AB46" s="93" t="n">
        <f aca="false">Model!CD333+Model!CD338+Model!CD343+Model!CD348</f>
        <v>147868.937395636</v>
      </c>
      <c r="AC46" s="93" t="n">
        <f aca="false">Model!CG333+Model!CG338+Model!CG343+Model!CG348</f>
        <v>72052.0225479718</v>
      </c>
      <c r="AD46" s="93" t="n">
        <f aca="false">Model!CJ333+Model!CJ338+Model!CJ343+Model!CJ348</f>
        <v>0</v>
      </c>
      <c r="AE46" s="93" t="n">
        <f aca="false">Model!CM333+Model!CM338+Model!CM343+Model!CM348</f>
        <v>0</v>
      </c>
      <c r="AF46" s="93" t="n">
        <f aca="false">Model!CP333+Model!CP338+Model!CP343+Model!CP348</f>
        <v>0</v>
      </c>
      <c r="AG46" s="93" t="n">
        <f aca="false">Model!CS333+Model!CS338+Model!CS343+Model!CS348</f>
        <v>0</v>
      </c>
      <c r="AH46" s="93" t="n">
        <f aca="false">Model!CV333+Model!CV338+Model!CV343+Model!CV348</f>
        <v>0</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112297974.24353</v>
      </c>
      <c r="H48" s="93" t="n">
        <f aca="false">Model!V359</f>
        <v>93115291.275657</v>
      </c>
      <c r="I48" s="93" t="n">
        <f aca="false">Model!Y359</f>
        <v>74016619.84339</v>
      </c>
      <c r="J48" s="93" t="n">
        <f aca="false">Model!AB359</f>
        <v>51526654.72656</v>
      </c>
      <c r="K48" s="93" t="n">
        <f aca="false">Model!AE359</f>
        <v>40150142.13637</v>
      </c>
      <c r="L48" s="93" t="n">
        <f aca="false">Model!AH359</f>
        <v>27736880.61956</v>
      </c>
      <c r="M48" s="93" t="n">
        <f aca="false">Model!AK359</f>
        <v>17213731.86939</v>
      </c>
      <c r="N48" s="93" t="n">
        <f aca="false">Model!AN359</f>
        <v>9151447.09059</v>
      </c>
      <c r="O48" s="93" t="n">
        <f aca="false">Model!AQ359</f>
        <v>4798730.2877</v>
      </c>
      <c r="P48" s="93" t="n">
        <f aca="false">Model!AT359</f>
        <v>1566909.24355</v>
      </c>
      <c r="Q48" s="93" t="n">
        <f aca="false">Model!AW359</f>
        <v>0</v>
      </c>
      <c r="R48" s="93" t="n">
        <f aca="false">Model!AZ359</f>
        <v>0</v>
      </c>
      <c r="S48" s="93" t="n">
        <f aca="false">Model!BC359</f>
        <v>0</v>
      </c>
      <c r="T48" s="93" t="n">
        <f aca="false">Model!BF359</f>
        <v>0</v>
      </c>
      <c r="U48" s="93" t="n">
        <f aca="false">Model!BI359</f>
        <v>0</v>
      </c>
      <c r="V48" s="93" t="n">
        <f aca="false">Model!BL359</f>
        <v>0</v>
      </c>
      <c r="W48" s="93" t="n">
        <f aca="false">Model!BO359</f>
        <v>0</v>
      </c>
      <c r="X48" s="93" t="n">
        <f aca="false">Model!BR359</f>
        <v>0</v>
      </c>
      <c r="Y48" s="93" t="n">
        <f aca="false">Model!BU359</f>
        <v>0</v>
      </c>
      <c r="Z48" s="93" t="n">
        <f aca="false">Model!BX359</f>
        <v>0</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1121321.7942407</v>
      </c>
      <c r="E50" s="83" t="n">
        <f aca="false">Model!M372</f>
        <v>2169280.11445269</v>
      </c>
      <c r="F50" s="83" t="n">
        <f aca="false">Model!P372</f>
        <v>1950479.9368901</v>
      </c>
      <c r="G50" s="83" t="n">
        <f aca="false">Model!S372</f>
        <v>2704731.76311465</v>
      </c>
      <c r="H50" s="83" t="n">
        <f aca="false">Model!V372</f>
        <v>3056453.5699401</v>
      </c>
      <c r="I50" s="83" t="n">
        <f aca="false">Model!Y372</f>
        <v>4247174.93843058</v>
      </c>
      <c r="J50" s="83" t="n">
        <f aca="false">Model!AB372</f>
        <v>5638036.76494212</v>
      </c>
      <c r="K50" s="83" t="n">
        <f aca="false">Model!AE372</f>
        <v>6265807.94875846</v>
      </c>
      <c r="L50" s="83" t="n">
        <f aca="false">Model!AH372</f>
        <v>7184603.42046313</v>
      </c>
      <c r="M50" s="83" t="n">
        <f aca="false">Model!AK372</f>
        <v>7724227.004267</v>
      </c>
      <c r="N50" s="83" t="n">
        <f aca="false">Model!AN372</f>
        <v>7702554.64811446</v>
      </c>
      <c r="O50" s="83" t="n">
        <f aca="false">Model!AQ372</f>
        <v>7050188.14993762</v>
      </c>
      <c r="P50" s="83" t="n">
        <f aca="false">Model!AT372</f>
        <v>6357893.04176077</v>
      </c>
      <c r="Q50" s="83" t="n">
        <f aca="false">Model!AW372</f>
        <v>6205573.53522612</v>
      </c>
      <c r="R50" s="83" t="n">
        <f aca="false">Model!AZ372</f>
        <v>5021441.9454862</v>
      </c>
      <c r="S50" s="83" t="n">
        <f aca="false">Model!BC372</f>
        <v>3814527.72395149</v>
      </c>
      <c r="T50" s="83" t="n">
        <f aca="false">Model!BF372</f>
        <v>2607613.50241678</v>
      </c>
      <c r="U50" s="83" t="n">
        <f aca="false">Model!BI372</f>
        <v>1400699.28088207</v>
      </c>
      <c r="V50" s="83" t="n">
        <f aca="false">Model!BL372</f>
        <v>193785.05934736</v>
      </c>
      <c r="W50" s="83" t="n">
        <f aca="false">Model!BO372</f>
        <v>-1036367.44661804</v>
      </c>
      <c r="X50" s="83" t="n">
        <f aca="false">Model!BR372</f>
        <v>-2266519.95258345</v>
      </c>
      <c r="Y50" s="83" t="n">
        <f aca="false">Model!BU372</f>
        <v>-3496672.45854885</v>
      </c>
      <c r="Z50" s="83" t="n">
        <f aca="false">Model!BX372</f>
        <v>-4726824.96451426</v>
      </c>
      <c r="AA50" s="83" t="n">
        <f aca="false">Model!CA372</f>
        <v>-5980680.52059897</v>
      </c>
      <c r="AB50" s="83" t="n">
        <f aca="false">Model!CD372</f>
        <v>-7234536.07668368</v>
      </c>
      <c r="AC50" s="83" t="n">
        <f aca="false">Model!CG372</f>
        <v>-8488391.6327684</v>
      </c>
      <c r="AD50" s="83" t="n">
        <f aca="false">Model!CJ372</f>
        <v>-9742247.18885311</v>
      </c>
      <c r="AE50" s="83" t="n">
        <f aca="false">Model!CM372</f>
        <v>-11020279.8560595</v>
      </c>
      <c r="AF50" s="83" t="n">
        <f aca="false">Model!CP372</f>
        <v>-12298312.5232659</v>
      </c>
      <c r="AG50" s="83" t="n">
        <f aca="false">Model!CS372</f>
        <v>-13576345.1904723</v>
      </c>
      <c r="AH50" s="83" t="n">
        <f aca="false">Model!CV372</f>
        <v>-14733319.4155527</v>
      </c>
      <c r="AI50" s="83" t="n">
        <f aca="false">Model!CY372</f>
        <v>-15912533.1251346</v>
      </c>
      <c r="AJ50" s="83" t="n">
        <f aca="false">Model!DB372</f>
        <v>-17091746.8347165</v>
      </c>
      <c r="AK50" s="83" t="n">
        <f aca="false">Model!DE372</f>
        <v>-18270960.5442985</v>
      </c>
    </row>
    <row r="51" customFormat="false" ht="15" hidden="false" customHeight="true" outlineLevel="0" collapsed="false">
      <c r="A51" s="82" t="s">
        <v>204</v>
      </c>
      <c r="B51" s="83" t="n">
        <f aca="false">Model!D381</f>
        <v>0</v>
      </c>
      <c r="C51" s="83" t="n">
        <f aca="false">Model!G381</f>
        <v>0</v>
      </c>
      <c r="D51" s="83" t="n">
        <f aca="false">Model!J381</f>
        <v>503745.387883333</v>
      </c>
      <c r="E51" s="83" t="n">
        <f aca="false">Model!M381</f>
        <v>25161.5515333333</v>
      </c>
      <c r="F51" s="83" t="n">
        <f aca="false">Model!P381</f>
        <v>-747721.659855012</v>
      </c>
      <c r="G51" s="83" t="n">
        <f aca="false">Model!S381</f>
        <v>-1528944.91923951</v>
      </c>
      <c r="H51" s="83" t="n">
        <f aca="false">Model!V381</f>
        <v>-2381886.92862402</v>
      </c>
      <c r="I51" s="83" t="n">
        <f aca="false">Model!Y381</f>
        <v>-3177453.93800852</v>
      </c>
      <c r="J51" s="83" t="n">
        <f aca="false">Model!AB381</f>
        <v>-4218969.77567501</v>
      </c>
      <c r="K51" s="83" t="n">
        <f aca="false">Model!AE381</f>
        <v>-5006722.095646</v>
      </c>
      <c r="L51" s="83" t="n">
        <f aca="false">Model!AH381</f>
        <v>-5545341.66954892</v>
      </c>
      <c r="M51" s="83" t="n">
        <f aca="false">Model!AK381</f>
        <v>-6121934.92766236</v>
      </c>
      <c r="N51" s="83" t="n">
        <f aca="false">Model!AN381</f>
        <v>-6724279.67282714</v>
      </c>
      <c r="O51" s="83" t="n">
        <f aca="false">Model!AQ381</f>
        <v>-7343338.98949802</v>
      </c>
      <c r="P51" s="83" t="n">
        <f aca="false">Model!AT381</f>
        <v>-7962398.3061689</v>
      </c>
      <c r="Q51" s="83" t="n">
        <f aca="false">Model!AW381</f>
        <v>-8581457.62283978</v>
      </c>
      <c r="R51" s="83" t="n">
        <f aca="false">Model!AZ381</f>
        <v>-9200516.93951066</v>
      </c>
      <c r="S51" s="83" t="n">
        <f aca="false">Model!BC381</f>
        <v>-9830929.16251496</v>
      </c>
      <c r="T51" s="83" t="n">
        <f aca="false">Model!BF381</f>
        <v>-10461341.3855193</v>
      </c>
      <c r="U51" s="83" t="n">
        <f aca="false">Model!BI381</f>
        <v>-11091753.6085236</v>
      </c>
      <c r="V51" s="83" t="n">
        <f aca="false">Model!BL381</f>
        <v>-11722165.8315278</v>
      </c>
      <c r="W51" s="83" t="n">
        <f aca="false">Model!BO381</f>
        <v>-12364158.0189922</v>
      </c>
      <c r="X51" s="83" t="n">
        <f aca="false">Model!BR381</f>
        <v>-12952899.8564566</v>
      </c>
      <c r="Y51" s="83" t="n">
        <f aca="false">Model!BU381</f>
        <v>-13527130.043921</v>
      </c>
      <c r="Z51" s="83" t="n">
        <f aca="false">Model!BX381</f>
        <v>-14101360.2313854</v>
      </c>
      <c r="AA51" s="83" t="n">
        <f aca="false">Model!CA381</f>
        <v>-14687401.9825991</v>
      </c>
      <c r="AB51" s="83" t="n">
        <f aca="false">Model!CD381</f>
        <v>-15264706.7338127</v>
      </c>
      <c r="AC51" s="83" t="n">
        <f aca="false">Model!CG381</f>
        <v>-15842011.4850264</v>
      </c>
      <c r="AD51" s="83" t="n">
        <f aca="false">Model!CJ381</f>
        <v>-16412708.2096336</v>
      </c>
      <c r="AE51" s="83" t="n">
        <f aca="false">Model!CM381</f>
        <v>-16604976.7558715</v>
      </c>
      <c r="AF51" s="83" t="n">
        <f aca="false">Model!CP381</f>
        <v>-16797245.3021095</v>
      </c>
      <c r="AG51" s="83" t="n">
        <f aca="false">Model!CS381</f>
        <v>-16989513.8483474</v>
      </c>
      <c r="AH51" s="83" t="n">
        <f aca="false">Model!CV381</f>
        <v>-17164049.559591</v>
      </c>
      <c r="AI51" s="83" t="n">
        <f aca="false">Model!CY381</f>
        <v>-17350519.3650595</v>
      </c>
      <c r="AJ51" s="83" t="n">
        <f aca="false">Model!DB381</f>
        <v>-17536989.170528</v>
      </c>
      <c r="AK51" s="83" t="n">
        <f aca="false">Model!DE381</f>
        <v>-17723458.9759965</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-228839.646490721</v>
      </c>
      <c r="G52" s="83" t="n">
        <f aca="false">Model!Q385+Model!R385+Model!S385</f>
        <v>0</v>
      </c>
      <c r="H52" s="83" t="n">
        <f aca="false">Model!T385+Model!U385+Model!V385</f>
        <v>0</v>
      </c>
      <c r="I52" s="83" t="n">
        <f aca="false">Model!W385+Model!X385+Model!Y385</f>
        <v>0</v>
      </c>
      <c r="J52" s="83" t="n">
        <f aca="false">Model!Z385+Model!AA385+Model!AB385</f>
        <v>-860382.876940632</v>
      </c>
      <c r="K52" s="83" t="n">
        <f aca="false">Model!AC385+Model!AD385+Model!AE385</f>
        <v>0</v>
      </c>
      <c r="L52" s="83" t="n">
        <f aca="false">Model!AF385+Model!AG385+Model!AH385</f>
        <v>0</v>
      </c>
      <c r="M52" s="83" t="n">
        <f aca="false">Model!AI385+Model!AJ385+Model!AK385</f>
        <v>0</v>
      </c>
      <c r="N52" s="83" t="n">
        <f aca="false">Model!AL385+Model!AM385+Model!AN385</f>
        <v>-407854.794151603</v>
      </c>
      <c r="O52" s="83" t="n">
        <f aca="false">Model!AO385+Model!AP385+Model!AQ385</f>
        <v>0</v>
      </c>
      <c r="P52" s="83" t="n">
        <f aca="false">Model!AR385+Model!AS385+Model!AT385</f>
        <v>0</v>
      </c>
      <c r="Q52" s="83" t="n">
        <f aca="false">Model!AU385+Model!AV385+Model!AW385</f>
        <v>0</v>
      </c>
      <c r="R52" s="83" t="n">
        <f aca="false">Model!AX385+Model!AY385+Model!AZ385</f>
        <v>0</v>
      </c>
      <c r="S52" s="83" t="n">
        <f aca="false">Model!BA385+Model!BB385+Model!BC385</f>
        <v>0</v>
      </c>
      <c r="T52" s="83" t="n">
        <f aca="false">Model!BD385+Model!BE385+Model!BF385</f>
        <v>0</v>
      </c>
      <c r="U52" s="83" t="n">
        <f aca="false">Model!BG385+Model!BH385+Model!BI385</f>
        <v>0</v>
      </c>
      <c r="V52" s="83" t="n">
        <f aca="false">Model!BJ385+Model!BK385+Model!BL385</f>
        <v>0</v>
      </c>
      <c r="W52" s="83" t="n">
        <f aca="false">Model!BM385+Model!BN385+Model!BO385</f>
        <v>0</v>
      </c>
      <c r="X52" s="83" t="n">
        <f aca="false">Model!BP385+Model!BQ385+Model!BR385</f>
        <v>0</v>
      </c>
      <c r="Y52" s="83" t="n">
        <f aca="false">Model!BS385+Model!BT385+Model!BU385</f>
        <v>0</v>
      </c>
      <c r="Z52" s="83" t="n">
        <f aca="false">Model!BV385+Model!BW385+Model!BX385</f>
        <v>0</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1625067.18212404</v>
      </c>
      <c r="E53" s="84" t="n">
        <f aca="false">Model!M386</f>
        <v>2194441.66598602</v>
      </c>
      <c r="F53" s="84" t="n">
        <f aca="false">Model!P386</f>
        <v>973918.630544363</v>
      </c>
      <c r="G53" s="84" t="n">
        <f aca="false">Model!S386</f>
        <v>1175786.84387513</v>
      </c>
      <c r="H53" s="84" t="n">
        <f aca="false">Model!V386</f>
        <v>674566.641316085</v>
      </c>
      <c r="I53" s="84" t="n">
        <f aca="false">Model!Y386</f>
        <v>1069721.00042206</v>
      </c>
      <c r="J53" s="84" t="n">
        <f aca="false">Model!AB386</f>
        <v>558684.11232647</v>
      </c>
      <c r="K53" s="84" t="n">
        <f aca="false">Model!AE386</f>
        <v>1259085.85311246</v>
      </c>
      <c r="L53" s="84" t="n">
        <f aca="false">Model!AH386</f>
        <v>1639261.75091421</v>
      </c>
      <c r="M53" s="84" t="n">
        <f aca="false">Model!AK386</f>
        <v>1602292.07660464</v>
      </c>
      <c r="N53" s="84" t="n">
        <f aca="false">Model!AN386</f>
        <v>570420.18113572</v>
      </c>
      <c r="O53" s="84" t="n">
        <f aca="false">Model!AQ386</f>
        <v>-293150.839560403</v>
      </c>
      <c r="P53" s="84" t="n">
        <f aca="false">Model!AT386</f>
        <v>-1604505.26440813</v>
      </c>
      <c r="Q53" s="84" t="n">
        <f aca="false">Model!AW386</f>
        <v>-2375884.08761367</v>
      </c>
      <c r="R53" s="84" t="n">
        <f aca="false">Model!AZ386</f>
        <v>-4179074.99402446</v>
      </c>
      <c r="S53" s="84" t="n">
        <f aca="false">Model!BC386</f>
        <v>-6016401.43856347</v>
      </c>
      <c r="T53" s="84" t="n">
        <f aca="false">Model!BF386</f>
        <v>-7853727.88310247</v>
      </c>
      <c r="U53" s="84" t="n">
        <f aca="false">Model!BI386</f>
        <v>-9691054.32764148</v>
      </c>
      <c r="V53" s="84" t="n">
        <f aca="false">Model!BL386</f>
        <v>-11528380.7721805</v>
      </c>
      <c r="W53" s="84" t="n">
        <f aca="false">Model!BO386</f>
        <v>-13400525.4656103</v>
      </c>
      <c r="X53" s="84" t="n">
        <f aca="false">Model!BR386</f>
        <v>-15219419.8090401</v>
      </c>
      <c r="Y53" s="84" t="n">
        <f aca="false">Model!BU386</f>
        <v>-17023802.5024699</v>
      </c>
      <c r="Z53" s="84" t="n">
        <f aca="false">Model!BX386</f>
        <v>-18828185.1958996</v>
      </c>
      <c r="AA53" s="84" t="n">
        <f aca="false">Model!CA386</f>
        <v>-20668082.503198</v>
      </c>
      <c r="AB53" s="84" t="n">
        <f aca="false">Model!CD386</f>
        <v>-22499242.8104964</v>
      </c>
      <c r="AC53" s="84" t="n">
        <f aca="false">Model!CG386</f>
        <v>-24330403.1177948</v>
      </c>
      <c r="AD53" s="84" t="n">
        <f aca="false">Model!CJ386</f>
        <v>-26154955.3984867</v>
      </c>
      <c r="AE53" s="84" t="n">
        <f aca="false">Model!CM386</f>
        <v>-27625256.6119311</v>
      </c>
      <c r="AF53" s="84" t="n">
        <f aca="false">Model!CP386</f>
        <v>-29095557.8253754</v>
      </c>
      <c r="AG53" s="84" t="n">
        <f aca="false">Model!CS386</f>
        <v>-30565859.0388198</v>
      </c>
      <c r="AH53" s="84" t="n">
        <f aca="false">Model!CV386</f>
        <v>-31897368.9751437</v>
      </c>
      <c r="AI53" s="84" t="n">
        <f aca="false">Model!CY386</f>
        <v>-33263052.4901941</v>
      </c>
      <c r="AJ53" s="84" t="n">
        <f aca="false">Model!DB386</f>
        <v>-34628736.0052445</v>
      </c>
      <c r="AK53" s="84" t="n">
        <f aca="false">Model!DE386</f>
        <v>-35994419.520295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380</v>
      </c>
    </row>
    <row r="9" customFormat="false" ht="15" hidden="false" customHeight="true" outlineLevel="0" collapsed="false">
      <c r="A9" s="109" t="s">
        <v>381</v>
      </c>
      <c r="B9" s="113" t="n">
        <f aca="false">SUM(Budget!$C$112:$N$112)</f>
        <v>-1657836.78</v>
      </c>
      <c r="C9" s="113" t="n">
        <f aca="false">SUM(Model!$B$292:$M$292)</f>
        <v>-2407825.26</v>
      </c>
      <c r="D9" s="113" t="n">
        <f aca="false">C9-B9</f>
        <v>-749988.48</v>
      </c>
      <c r="E9" s="113" t="n">
        <f aca="false">AM136</f>
        <v>-1106262.18</v>
      </c>
      <c r="F9" s="113" t="n">
        <f aca="false">AL136</f>
        <v>-1672913.98</v>
      </c>
      <c r="G9" s="113" t="n">
        <f aca="false">F9-E9</f>
        <v>-566651.8</v>
      </c>
      <c r="AP9" s="114" t="s">
        <v>382</v>
      </c>
    </row>
    <row r="10" customFormat="false" ht="15" hidden="false" customHeight="true" outlineLevel="0" collapsed="false">
      <c r="A10" s="115" t="s">
        <v>138</v>
      </c>
      <c r="B10" s="116" t="n">
        <f aca="false">SUM(Budget!$C$114:$N$114)</f>
        <v>-1010454.87</v>
      </c>
      <c r="C10" s="116" t="n">
        <f aca="false">SUM(Model!$B$293:$M$293)</f>
        <v>-1792019.62</v>
      </c>
      <c r="D10" s="116" t="n">
        <f aca="false">C10-B10</f>
        <v>-781564.75</v>
      </c>
      <c r="E10" s="116" t="n">
        <f aca="false">AM138</f>
        <v>-666094.7</v>
      </c>
      <c r="F10" s="116" t="n">
        <f aca="false">AL138</f>
        <v>-858711.42</v>
      </c>
      <c r="G10" s="116" t="n">
        <f aca="false">F10-E10</f>
        <v>-192616.72</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388</v>
      </c>
    </row>
    <row r="14" customFormat="false" ht="15" hidden="false" customHeight="true" outlineLevel="0" collapsed="false">
      <c r="A14" s="109" t="s">
        <v>389</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391</v>
      </c>
    </row>
    <row r="16" customFormat="false" ht="15" hidden="false" customHeight="true" outlineLevel="0" collapsed="false">
      <c r="A16" s="109" t="s">
        <v>392</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393</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394</v>
      </c>
    </row>
    <row r="18" customFormat="false" ht="15" hidden="false" customHeight="true" outlineLevel="0" collapsed="false">
      <c r="A18" s="115" t="s">
        <v>395</v>
      </c>
      <c r="B18" s="117" t="n">
        <f aca="false">B10+B17</f>
        <v>947955.58</v>
      </c>
      <c r="C18" s="117" t="n">
        <f aca="false">SUM(Model!$B$311:$M$311)</f>
        <v>454949.595408988</v>
      </c>
      <c r="D18" s="117" t="n">
        <f aca="false">C18-B18</f>
        <v>-493005.984591012</v>
      </c>
      <c r="E18" s="117" t="n">
        <f aca="false">E10+E17</f>
        <v>329887.08</v>
      </c>
      <c r="F18" s="117" t="n">
        <f aca="false">AL141</f>
        <v>1370537.35</v>
      </c>
      <c r="G18" s="117" t="n">
        <f aca="false">F18-E18</f>
        <v>1040650.27</v>
      </c>
      <c r="AP18" s="114" t="s">
        <v>396</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-616587.754591014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418</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419</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420</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421</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422</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424</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425</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426</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427</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428</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429</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430</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431</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432</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433</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434</v>
      </c>
    </row>
    <row r="78" customFormat="false" ht="15" hidden="fals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435</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436</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438</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439</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440</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441</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442</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443</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444</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445</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446</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447</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448</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449</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450</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451</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452</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453</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454</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455</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456</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457</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458</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461</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c r="AP142" s="114" t="s">
        <v>464</v>
      </c>
    </row>
    <row r="143" customFormat="false" ht="15" hidden="false" customHeight="true" outlineLevel="0" collapsed="false">
      <c r="A143" s="115" t="s">
        <v>465</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2" t="s">
        <v>469</v>
      </c>
      <c r="B148" s="122" t="s">
        <v>470</v>
      </c>
      <c r="C148" s="122" t="s">
        <v>471</v>
      </c>
      <c r="D148" s="122" t="s">
        <v>373</v>
      </c>
      <c r="E148" s="122" t="s">
        <v>472</v>
      </c>
      <c r="F148" s="122" t="s">
        <v>473</v>
      </c>
      <c r="G148" s="122" t="s">
        <v>373</v>
      </c>
      <c r="H148" s="122" t="s">
        <v>474</v>
      </c>
      <c r="I148" s="122" t="s">
        <v>475</v>
      </c>
      <c r="J148" s="122" t="s">
        <v>476</v>
      </c>
      <c r="K148" s="122" t="s">
        <v>477</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478</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479</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480</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481</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482</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483</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484</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485</v>
      </c>
    </row>
    <row r="157" customFormat="false" ht="13.5" hidden="false" customHeight="true" outlineLevel="0" collapsed="false">
      <c r="A157" s="123" t="s">
        <v>486</v>
      </c>
      <c r="B157" s="124" t="n">
        <v>0</v>
      </c>
      <c r="C157" s="124" t="n">
        <v>0</v>
      </c>
      <c r="D157" s="124" t="n">
        <v>0</v>
      </c>
      <c r="E157" s="124" t="n">
        <v>0</v>
      </c>
      <c r="F157" s="124" t="n">
        <v>0</v>
      </c>
      <c r="G157" s="124" t="n">
        <v>0</v>
      </c>
      <c r="H157" s="124" t="n">
        <v>-200</v>
      </c>
      <c r="I157" s="124" t="n">
        <v>-1966.5</v>
      </c>
      <c r="J157" s="124" t="n">
        <v>-2166.5</v>
      </c>
      <c r="K157" s="123" t="s">
        <v>487</v>
      </c>
    </row>
    <row r="158" customFormat="false" ht="13.5" hidden="false" customHeight="true" outlineLevel="0" collapsed="false">
      <c r="A158" s="94" t="s">
        <v>488</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09"/>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0"/>
      <c r="B6" s="110" t="s">
        <v>494</v>
      </c>
      <c r="C6" s="110" t="s">
        <v>372</v>
      </c>
      <c r="D6" s="110" t="s">
        <v>373</v>
      </c>
      <c r="E6" s="110" t="s">
        <v>495</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381</v>
      </c>
      <c r="B9" s="113" t="n">
        <f aca="false">SUM('Reforecast Q1 2026'!$C$112:$N$112)</f>
        <v>-1331271.005</v>
      </c>
      <c r="C9" s="113" t="n">
        <f aca="false">SUM(Model!$B$292:$M$292)</f>
        <v>-2407825.26</v>
      </c>
      <c r="D9" s="113" t="n">
        <f aca="false">C9-B9</f>
        <v>-1076554.255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-1792019.62</v>
      </c>
      <c r="D10" s="116" t="n">
        <f aca="false">C10-B10</f>
        <v>-933540.255000001</v>
      </c>
      <c r="E10" s="116" t="n">
        <f aca="false">AM138</f>
        <v>-698493.998333333</v>
      </c>
      <c r="F10" s="116" t="n">
        <f aca="false">AL138</f>
        <v>-858711.42</v>
      </c>
      <c r="G10" s="116" t="n">
        <f aca="false">F10-E10</f>
        <v>-160217.421666667</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389</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392</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395</v>
      </c>
      <c r="B18" s="117" t="n">
        <f aca="false">B10+B17</f>
        <v>1155656.11799245</v>
      </c>
      <c r="C18" s="117" t="n">
        <f aca="false">SUM(Model!$B$311:$M$311)</f>
        <v>454949.595408988</v>
      </c>
      <c r="D18" s="117" t="n">
        <f aca="false">C18-B18</f>
        <v>-700706.522583459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-616587.754591014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496</v>
      </c>
      <c r="D29" s="110" t="s">
        <v>373</v>
      </c>
      <c r="E29" s="110" t="s">
        <v>404</v>
      </c>
      <c r="F29" s="110" t="s">
        <v>496</v>
      </c>
      <c r="G29" s="110" t="s">
        <v>373</v>
      </c>
      <c r="H29" s="110" t="s">
        <v>404</v>
      </c>
      <c r="I29" s="110" t="s">
        <v>496</v>
      </c>
      <c r="J29" s="110" t="s">
        <v>373</v>
      </c>
      <c r="K29" s="110" t="s">
        <v>404</v>
      </c>
      <c r="L29" s="110" t="s">
        <v>496</v>
      </c>
      <c r="M29" s="110" t="s">
        <v>373</v>
      </c>
      <c r="N29" s="110" t="s">
        <v>404</v>
      </c>
      <c r="O29" s="110" t="s">
        <v>496</v>
      </c>
      <c r="P29" s="110" t="s">
        <v>373</v>
      </c>
      <c r="Q29" s="110" t="s">
        <v>404</v>
      </c>
      <c r="R29" s="110" t="s">
        <v>496</v>
      </c>
      <c r="S29" s="110" t="s">
        <v>373</v>
      </c>
      <c r="T29" s="110" t="s">
        <v>404</v>
      </c>
      <c r="U29" s="110" t="s">
        <v>496</v>
      </c>
      <c r="V29" s="110" t="s">
        <v>373</v>
      </c>
      <c r="W29" s="110" t="s">
        <v>404</v>
      </c>
      <c r="X29" s="110" t="s">
        <v>496</v>
      </c>
      <c r="Y29" s="110" t="s">
        <v>373</v>
      </c>
      <c r="Z29" s="110" t="s">
        <v>404</v>
      </c>
      <c r="AA29" s="110" t="s">
        <v>496</v>
      </c>
      <c r="AB29" s="110" t="s">
        <v>373</v>
      </c>
      <c r="AC29" s="110" t="s">
        <v>404</v>
      </c>
      <c r="AD29" s="110" t="s">
        <v>496</v>
      </c>
      <c r="AE29" s="110" t="s">
        <v>373</v>
      </c>
      <c r="AF29" s="110" t="s">
        <v>404</v>
      </c>
      <c r="AG29" s="110" t="s">
        <v>496</v>
      </c>
      <c r="AH29" s="110" t="s">
        <v>373</v>
      </c>
      <c r="AI29" s="110" t="s">
        <v>404</v>
      </c>
      <c r="AJ29" s="110" t="s">
        <v>496</v>
      </c>
      <c r="AK29" s="110" t="s">
        <v>373</v>
      </c>
      <c r="AL29" s="110" t="s">
        <v>404</v>
      </c>
      <c r="AM29" s="110" t="s">
        <v>496</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row>
    <row r="143" customFormat="false" ht="15" hidden="false" customHeight="true" outlineLevel="0" collapsed="false">
      <c r="A143" s="115" t="s">
        <v>465</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405</v>
      </c>
      <c r="C5" s="128" t="s">
        <v>404</v>
      </c>
      <c r="D5" s="128" t="s">
        <v>512</v>
      </c>
      <c r="E5" s="128" t="s">
        <v>513</v>
      </c>
      <c r="F5" s="128" t="s">
        <v>405</v>
      </c>
      <c r="G5" s="128" t="s">
        <v>404</v>
      </c>
      <c r="H5" s="128" t="s">
        <v>512</v>
      </c>
      <c r="I5" s="128" t="s">
        <v>513</v>
      </c>
      <c r="J5" s="128" t="s">
        <v>405</v>
      </c>
      <c r="K5" s="128" t="s">
        <v>404</v>
      </c>
      <c r="L5" s="128" t="s">
        <v>512</v>
      </c>
      <c r="M5" s="128" t="s">
        <v>513</v>
      </c>
      <c r="N5" s="128" t="s">
        <v>405</v>
      </c>
      <c r="O5" s="128" t="s">
        <v>404</v>
      </c>
      <c r="P5" s="128" t="s">
        <v>512</v>
      </c>
      <c r="Q5" s="128" t="s">
        <v>513</v>
      </c>
      <c r="R5" s="128" t="s">
        <v>405</v>
      </c>
      <c r="S5" s="128" t="s">
        <v>404</v>
      </c>
      <c r="T5" s="128" t="s">
        <v>512</v>
      </c>
      <c r="U5" s="128" t="s">
        <v>513</v>
      </c>
      <c r="V5" s="128" t="s">
        <v>405</v>
      </c>
      <c r="W5" s="128" t="s">
        <v>404</v>
      </c>
      <c r="X5" s="128" t="s">
        <v>512</v>
      </c>
      <c r="Y5" s="128" t="s">
        <v>513</v>
      </c>
      <c r="Z5" s="128" t="s">
        <v>405</v>
      </c>
      <c r="AA5" s="128" t="s">
        <v>404</v>
      </c>
      <c r="AB5" s="128" t="s">
        <v>512</v>
      </c>
      <c r="AC5" s="128" t="s">
        <v>513</v>
      </c>
      <c r="AD5" s="128" t="s">
        <v>405</v>
      </c>
      <c r="AE5" s="128" t="s">
        <v>404</v>
      </c>
      <c r="AF5" s="128" t="s">
        <v>512</v>
      </c>
      <c r="AG5" s="128" t="s">
        <v>513</v>
      </c>
      <c r="AH5" s="128" t="s">
        <v>405</v>
      </c>
      <c r="AI5" s="128" t="s">
        <v>404</v>
      </c>
      <c r="AJ5" s="128" t="s">
        <v>512</v>
      </c>
      <c r="AK5" s="128" t="s">
        <v>513</v>
      </c>
      <c r="AL5" s="128" t="s">
        <v>405</v>
      </c>
      <c r="AM5" s="128" t="s">
        <v>404</v>
      </c>
      <c r="AN5" s="128" t="s">
        <v>512</v>
      </c>
      <c r="AO5" s="128" t="s">
        <v>513</v>
      </c>
      <c r="AP5" s="128" t="s">
        <v>405</v>
      </c>
      <c r="AQ5" s="128" t="s">
        <v>404</v>
      </c>
      <c r="AR5" s="128" t="s">
        <v>512</v>
      </c>
      <c r="AS5" s="128" t="s">
        <v>513</v>
      </c>
      <c r="AT5" s="128" t="s">
        <v>405</v>
      </c>
      <c r="AU5" s="128" t="s">
        <v>404</v>
      </c>
      <c r="AV5" s="128" t="s">
        <v>512</v>
      </c>
      <c r="AW5" s="128" t="s">
        <v>513</v>
      </c>
      <c r="AX5" s="129" t="s">
        <v>374</v>
      </c>
      <c r="AY5" s="129" t="s">
        <v>375</v>
      </c>
      <c r="AZ5" s="129" t="s">
        <v>514</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515</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516</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496</v>
      </c>
      <c r="C5" s="128" t="s">
        <v>404</v>
      </c>
      <c r="D5" s="128" t="s">
        <v>512</v>
      </c>
      <c r="E5" s="128" t="s">
        <v>513</v>
      </c>
      <c r="F5" s="128" t="s">
        <v>496</v>
      </c>
      <c r="G5" s="128" t="s">
        <v>404</v>
      </c>
      <c r="H5" s="128" t="s">
        <v>512</v>
      </c>
      <c r="I5" s="128" t="s">
        <v>513</v>
      </c>
      <c r="J5" s="128" t="s">
        <v>496</v>
      </c>
      <c r="K5" s="128" t="s">
        <v>404</v>
      </c>
      <c r="L5" s="128" t="s">
        <v>512</v>
      </c>
      <c r="M5" s="128" t="s">
        <v>513</v>
      </c>
      <c r="N5" s="128" t="s">
        <v>496</v>
      </c>
      <c r="O5" s="128" t="s">
        <v>404</v>
      </c>
      <c r="P5" s="128" t="s">
        <v>512</v>
      </c>
      <c r="Q5" s="128" t="s">
        <v>513</v>
      </c>
      <c r="R5" s="128" t="s">
        <v>496</v>
      </c>
      <c r="S5" s="128" t="s">
        <v>404</v>
      </c>
      <c r="T5" s="128" t="s">
        <v>512</v>
      </c>
      <c r="U5" s="128" t="s">
        <v>513</v>
      </c>
      <c r="V5" s="128" t="s">
        <v>496</v>
      </c>
      <c r="W5" s="128" t="s">
        <v>404</v>
      </c>
      <c r="X5" s="128" t="s">
        <v>512</v>
      </c>
      <c r="Y5" s="128" t="s">
        <v>513</v>
      </c>
      <c r="Z5" s="128" t="s">
        <v>496</v>
      </c>
      <c r="AA5" s="128" t="s">
        <v>404</v>
      </c>
      <c r="AB5" s="128" t="s">
        <v>512</v>
      </c>
      <c r="AC5" s="128" t="s">
        <v>513</v>
      </c>
      <c r="AD5" s="128" t="s">
        <v>496</v>
      </c>
      <c r="AE5" s="128" t="s">
        <v>404</v>
      </c>
      <c r="AF5" s="128" t="s">
        <v>512</v>
      </c>
      <c r="AG5" s="128" t="s">
        <v>513</v>
      </c>
      <c r="AH5" s="128" t="s">
        <v>496</v>
      </c>
      <c r="AI5" s="128" t="s">
        <v>404</v>
      </c>
      <c r="AJ5" s="128" t="s">
        <v>512</v>
      </c>
      <c r="AK5" s="128" t="s">
        <v>513</v>
      </c>
      <c r="AL5" s="128" t="s">
        <v>496</v>
      </c>
      <c r="AM5" s="128" t="s">
        <v>404</v>
      </c>
      <c r="AN5" s="128" t="s">
        <v>512</v>
      </c>
      <c r="AO5" s="128" t="s">
        <v>513</v>
      </c>
      <c r="AP5" s="128" t="s">
        <v>496</v>
      </c>
      <c r="AQ5" s="128" t="s">
        <v>404</v>
      </c>
      <c r="AR5" s="128" t="s">
        <v>512</v>
      </c>
      <c r="AS5" s="128" t="s">
        <v>513</v>
      </c>
      <c r="AT5" s="128" t="s">
        <v>496</v>
      </c>
      <c r="AU5" s="128" t="s">
        <v>404</v>
      </c>
      <c r="AV5" s="128" t="s">
        <v>512</v>
      </c>
      <c r="AW5" s="128" t="s">
        <v>513</v>
      </c>
      <c r="AX5" s="129" t="s">
        <v>374</v>
      </c>
      <c r="AY5" s="129" t="s">
        <v>375</v>
      </c>
      <c r="AZ5" s="129" t="s">
        <v>514</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515</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516</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521</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516</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522</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523</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524</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525</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526</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527</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354</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521</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355</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356</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413</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415</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516</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360</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361</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362</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363</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364</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0" t="s">
        <v>532</v>
      </c>
      <c r="B4" s="110" t="s">
        <v>533</v>
      </c>
      <c r="C4" s="110" t="s">
        <v>534</v>
      </c>
      <c r="D4" s="110" t="s">
        <v>535</v>
      </c>
      <c r="E4" s="110" t="s">
        <v>536</v>
      </c>
      <c r="F4" s="110" t="s">
        <v>537</v>
      </c>
      <c r="G4" s="110" t="s">
        <v>538</v>
      </c>
      <c r="H4" s="110" t="s">
        <v>539</v>
      </c>
      <c r="I4" s="154" t="s">
        <v>540</v>
      </c>
      <c r="J4" s="110" t="s">
        <v>541</v>
      </c>
      <c r="K4" s="110" t="s">
        <v>542</v>
      </c>
      <c r="L4" s="110" t="s">
        <v>543</v>
      </c>
      <c r="M4" s="154" t="s">
        <v>544</v>
      </c>
      <c r="N4" s="154" t="s">
        <v>545</v>
      </c>
      <c r="O4" s="154" t="s">
        <v>546</v>
      </c>
      <c r="P4" s="154" t="s">
        <v>547</v>
      </c>
      <c r="Q4" s="154" t="s">
        <v>548</v>
      </c>
      <c r="R4" s="154" t="s">
        <v>549</v>
      </c>
      <c r="S4" s="154" t="s">
        <v>550</v>
      </c>
    </row>
    <row r="5" customFormat="false" ht="15" hidden="false" customHeight="true" outlineLevel="0" collapsed="false">
      <c r="A5" s="155" t="s">
        <v>277</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278</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4371321.2076634</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279</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2853344.0805514</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280</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-2218520.46545245</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281</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-4804874.25434404</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282</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283</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284</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551</v>
      </c>
      <c r="B13" s="168" t="n">
        <f aca="false">SUM(B5:B12)</f>
        <v>0</v>
      </c>
      <c r="C13" s="168" t="n">
        <f aca="false">SUM(C5:C12)</f>
        <v>0</v>
      </c>
      <c r="D13" s="168" t="n">
        <f aca="false">SUM(D5:D12)</f>
        <v>0</v>
      </c>
      <c r="E13" s="168" t="n">
        <f aca="false">SUM(E5:E12)</f>
        <v>0</v>
      </c>
      <c r="F13" s="168" t="n">
        <f aca="false">SUM(F5:F12)</f>
        <v>0</v>
      </c>
      <c r="G13" s="168" t="n">
        <f aca="false">SUM(G5:G12)</f>
        <v>-11456551.8937507</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209</v>
      </c>
    </row>
    <row r="16" customFormat="false" ht="15" hidden="false" customHeight="true" outlineLevel="0" collapsed="false">
      <c r="A16" s="172" t="s">
        <v>552</v>
      </c>
      <c r="B16" s="172"/>
      <c r="C16" s="172"/>
      <c r="D16" s="172"/>
      <c r="E16" s="172"/>
      <c r="F16" s="172"/>
      <c r="G16" s="172"/>
      <c r="H16" s="172"/>
    </row>
    <row r="17" customFormat="false" ht="15" hidden="false" customHeight="true" outlineLevel="0" collapsed="false">
      <c r="A17" s="172" t="s">
        <v>553</v>
      </c>
      <c r="B17" s="172"/>
      <c r="C17" s="172"/>
      <c r="D17" s="172"/>
      <c r="E17" s="172"/>
      <c r="F17" s="172"/>
      <c r="G17" s="172"/>
      <c r="H17" s="172"/>
    </row>
    <row r="18" customFormat="false" ht="15" hidden="false" customHeight="true" outlineLevel="0" collapsed="false">
      <c r="A18" s="172" t="s">
        <v>554</v>
      </c>
      <c r="B18" s="172"/>
      <c r="C18" s="172"/>
      <c r="D18" s="172"/>
      <c r="E18" s="172"/>
      <c r="F18" s="172"/>
      <c r="G18" s="172"/>
      <c r="H18" s="172"/>
    </row>
    <row r="19" customFormat="false" ht="15" hidden="false" customHeight="true" outlineLevel="0" collapsed="false">
      <c r="A19" s="172" t="s">
        <v>555</v>
      </c>
      <c r="B19" s="172"/>
      <c r="C19" s="172"/>
      <c r="D19" s="172"/>
      <c r="E19" s="172"/>
      <c r="F19" s="172"/>
      <c r="G19" s="172"/>
      <c r="H19" s="172"/>
    </row>
    <row r="20" customFormat="false" ht="15" hidden="false" customHeight="true" outlineLevel="0" collapsed="false">
      <c r="A20" s="172" t="s">
        <v>556</v>
      </c>
      <c r="B20" s="172"/>
      <c r="C20" s="172"/>
      <c r="D20" s="172"/>
      <c r="E20" s="172"/>
      <c r="F20" s="172"/>
      <c r="G20" s="172"/>
      <c r="H20" s="172"/>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3" t="s">
        <v>582</v>
      </c>
      <c r="X1" s="174" t="s">
        <v>583</v>
      </c>
    </row>
    <row r="2" customFormat="false" ht="15" hidden="false" customHeight="true" outlineLevel="0" collapsed="false">
      <c r="A2" s="175" t="s">
        <v>7</v>
      </c>
      <c r="B2" s="176" t="n">
        <v>7126075</v>
      </c>
      <c r="C2" s="177" t="n">
        <v>1</v>
      </c>
      <c r="D2" s="177" t="n">
        <v>8</v>
      </c>
      <c r="E2" s="177" t="n">
        <v>2</v>
      </c>
      <c r="F2" s="177" t="s">
        <v>584</v>
      </c>
      <c r="G2" s="177" t="s">
        <v>585</v>
      </c>
      <c r="H2" s="177" t="n">
        <v>0</v>
      </c>
      <c r="I2" s="178" t="n">
        <f aca="false">IF(H2=1,Assumptions!$B$16,IF(H2=2,Assumptions!$B$17,0))</f>
        <v>0</v>
      </c>
      <c r="J2" s="177" t="s">
        <v>584</v>
      </c>
      <c r="K2" s="177" t="s">
        <v>584</v>
      </c>
      <c r="L2" s="177" t="s">
        <v>586</v>
      </c>
      <c r="N2" s="176" t="n">
        <v>194932</v>
      </c>
      <c r="O2" s="176" t="n">
        <f aca="false">B2*Assumptions!$B$11</f>
        <v>367676.9657</v>
      </c>
      <c r="P2" s="176" t="n">
        <v>46323</v>
      </c>
      <c r="Q2" s="176" t="n">
        <f aca="false">N2+O2+P2</f>
        <v>608931.9657</v>
      </c>
      <c r="R2" s="176" t="n">
        <f aca="false">Q2*0.05</f>
        <v>30446.598285</v>
      </c>
      <c r="S2" s="175" t="n">
        <f aca="false">C2+D2-1</f>
        <v>8</v>
      </c>
      <c r="T2" s="179"/>
      <c r="V2" s="1" t="s">
        <v>587</v>
      </c>
      <c r="W2" s="180" t="n">
        <f aca="false">C2+D2-1</f>
        <v>8</v>
      </c>
    </row>
    <row r="3" customFormat="false" ht="15" hidden="false" customHeight="true" outlineLevel="0" collapsed="false">
      <c r="A3" s="175" t="s">
        <v>8</v>
      </c>
      <c r="B3" s="176" t="n">
        <v>20176449</v>
      </c>
      <c r="C3" s="177" t="n">
        <v>1</v>
      </c>
      <c r="D3" s="177"/>
      <c r="E3" s="177"/>
      <c r="F3" s="177" t="s">
        <v>584</v>
      </c>
      <c r="G3" s="177" t="s">
        <v>585</v>
      </c>
      <c r="H3" s="177" t="n">
        <v>0</v>
      </c>
      <c r="I3" s="178" t="n">
        <f aca="false">IF(H3=1,Assumptions!$B$16,IF(H3=2,Assumptions!$B$17,0))</f>
        <v>0</v>
      </c>
      <c r="J3" s="177" t="s">
        <v>584</v>
      </c>
      <c r="K3" s="177" t="s">
        <v>584</v>
      </c>
      <c r="L3" s="177" t="s">
        <v>586</v>
      </c>
      <c r="N3" s="176" t="n">
        <v>888067</v>
      </c>
      <c r="O3" s="176" t="n">
        <f aca="false">B3*Assumptions!$B$11</f>
        <v>1041024.062604</v>
      </c>
      <c r="P3" s="176" t="n">
        <v>176626</v>
      </c>
      <c r="Q3" s="176" t="n">
        <f aca="false">N3+O3+P3</f>
        <v>2105717.062604</v>
      </c>
      <c r="R3" s="176" t="n">
        <f aca="false">Q3*0.05</f>
        <v>105285.8531302</v>
      </c>
      <c r="S3" s="175" t="n">
        <f aca="false">C3+D3-1</f>
        <v>0</v>
      </c>
      <c r="T3" s="179"/>
      <c r="V3" s="1" t="s">
        <v>588</v>
      </c>
      <c r="W3" s="180" t="n">
        <v>18</v>
      </c>
    </row>
    <row r="4" customFormat="false" ht="15" hidden="false" customHeight="true" outlineLevel="0" collapsed="false">
      <c r="A4" s="175" t="s">
        <v>9</v>
      </c>
      <c r="B4" s="176" t="n">
        <v>11929880</v>
      </c>
      <c r="C4" s="177" t="n">
        <v>1</v>
      </c>
      <c r="D4" s="177"/>
      <c r="E4" s="177"/>
      <c r="F4" s="177" t="s">
        <v>585</v>
      </c>
      <c r="G4" s="177" t="s">
        <v>585</v>
      </c>
      <c r="H4" s="177" t="n">
        <v>1</v>
      </c>
      <c r="I4" s="178" t="n">
        <f aca="false">IF(H4=1,Assumptions!$B$16,IF(H4=2,Assumptions!$B$17,0))</f>
        <v>0.0074</v>
      </c>
      <c r="J4" s="177" t="s">
        <v>584</v>
      </c>
      <c r="K4" s="177" t="s">
        <v>585</v>
      </c>
      <c r="L4" s="177" t="s">
        <v>589</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585</v>
      </c>
      <c r="G5" s="177" t="s">
        <v>585</v>
      </c>
      <c r="H5" s="177" t="n">
        <v>1</v>
      </c>
      <c r="I5" s="178" t="n">
        <f aca="false">IF(H5=1,Assumptions!$B$16,IF(H5=2,Assumptions!$B$17,0))</f>
        <v>0.0074</v>
      </c>
      <c r="J5" s="177" t="s">
        <v>584</v>
      </c>
      <c r="K5" s="177" t="s">
        <v>585</v>
      </c>
      <c r="L5" s="177" t="s">
        <v>589</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584</v>
      </c>
      <c r="G6" s="177" t="s">
        <v>585</v>
      </c>
      <c r="H6" s="177" t="n">
        <v>0</v>
      </c>
      <c r="I6" s="178" t="n">
        <f aca="false">IF(H6=1,Assumptions!$B$16,IF(H6=2,Assumptions!$B$17,0))</f>
        <v>0</v>
      </c>
      <c r="J6" s="177" t="s">
        <v>584</v>
      </c>
      <c r="K6" s="177" t="s">
        <v>585</v>
      </c>
      <c r="L6" s="177" t="s">
        <v>589</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585</v>
      </c>
      <c r="G7" s="177" t="s">
        <v>585</v>
      </c>
      <c r="H7" s="177" t="n">
        <v>1</v>
      </c>
      <c r="I7" s="178" t="n">
        <f aca="false">Assumptions!$B$18</f>
        <v>0.00725158134079107</v>
      </c>
      <c r="J7" s="177" t="s">
        <v>585</v>
      </c>
      <c r="K7" s="177" t="s">
        <v>585</v>
      </c>
      <c r="L7" s="177" t="s">
        <v>586</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585</v>
      </c>
      <c r="G8" s="177" t="s">
        <v>585</v>
      </c>
      <c r="H8" s="177" t="n">
        <v>1</v>
      </c>
      <c r="I8" s="178" t="n">
        <f aca="false">Assumptions!$B$18</f>
        <v>0.00725158134079107</v>
      </c>
      <c r="J8" s="177" t="s">
        <v>584</v>
      </c>
      <c r="K8" s="177" t="s">
        <v>585</v>
      </c>
      <c r="L8" s="177" t="s">
        <v>589</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585</v>
      </c>
      <c r="G9" s="177" t="s">
        <v>585</v>
      </c>
      <c r="H9" s="177" t="n">
        <v>1</v>
      </c>
      <c r="I9" s="178" t="n">
        <v>0</v>
      </c>
      <c r="J9" s="177" t="s">
        <v>584</v>
      </c>
      <c r="K9" s="177" t="s">
        <v>585</v>
      </c>
      <c r="L9" s="177" t="s">
        <v>589</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585</v>
      </c>
      <c r="G10" s="177" t="s">
        <v>585</v>
      </c>
      <c r="H10" s="177" t="n">
        <v>2</v>
      </c>
      <c r="I10" s="178" t="n">
        <f aca="false">IF(H10=1,Assumptions!$B$16,IF(H10=2,Assumptions!$B$17,0))</f>
        <v>0.0325</v>
      </c>
      <c r="J10" s="177" t="s">
        <v>584</v>
      </c>
      <c r="K10" s="177" t="s">
        <v>585</v>
      </c>
      <c r="L10" s="177" t="s">
        <v>589</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584</v>
      </c>
      <c r="G11" s="177" t="s">
        <v>585</v>
      </c>
      <c r="H11" s="177" t="n">
        <v>0</v>
      </c>
      <c r="I11" s="178" t="n">
        <f aca="false">IF(H11=1,Assumptions!$B$16,IF(H11=2,Assumptions!$B$17,0))</f>
        <v>0</v>
      </c>
      <c r="J11" s="177" t="s">
        <v>584</v>
      </c>
      <c r="K11" s="177" t="s">
        <v>584</v>
      </c>
      <c r="L11" s="177" t="s">
        <v>586</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584</v>
      </c>
      <c r="G12" s="177" t="s">
        <v>585</v>
      </c>
      <c r="H12" s="177" t="n">
        <v>0</v>
      </c>
      <c r="I12" s="178" t="n">
        <f aca="false">IF(H12=1,Assumptions!$B$16,IF(H12=2,Assumptions!$B$17,0))</f>
        <v>0</v>
      </c>
      <c r="J12" s="177" t="s">
        <v>584</v>
      </c>
      <c r="K12" s="177" t="s">
        <v>584</v>
      </c>
      <c r="L12" s="177" t="s">
        <v>586</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585</v>
      </c>
      <c r="G13" s="177" t="s">
        <v>585</v>
      </c>
      <c r="H13" s="177" t="n">
        <v>2</v>
      </c>
      <c r="I13" s="178" t="n">
        <f aca="false">IF(H13=1,Assumptions!$B$16,IF(H13=2,Assumptions!$B$17,0))</f>
        <v>0.0325</v>
      </c>
      <c r="J13" s="177" t="s">
        <v>585</v>
      </c>
      <c r="K13" s="177" t="s">
        <v>585</v>
      </c>
      <c r="L13" s="177" t="s">
        <v>586</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585</v>
      </c>
      <c r="G14" s="177" t="s">
        <v>584</v>
      </c>
      <c r="H14" s="177" t="n">
        <v>2</v>
      </c>
      <c r="I14" s="178" t="n">
        <f aca="false">IF(H14=1,Assumptions!$B$16,IF(H14=2,Assumptions!$B$17,0))</f>
        <v>0.0325</v>
      </c>
      <c r="J14" s="177" t="s">
        <v>585</v>
      </c>
      <c r="K14" s="177" t="s">
        <v>585</v>
      </c>
      <c r="L14" s="177" t="s">
        <v>586</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590</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585</v>
      </c>
      <c r="G17" s="177" t="s">
        <v>584</v>
      </c>
      <c r="H17" s="177" t="n">
        <v>2</v>
      </c>
      <c r="I17" s="178" t="n">
        <f aca="false">IF(H17=1,Assumptions!$B$16,IF(H17=2,Assumptions!$B$17,0))</f>
        <v>0.0325</v>
      </c>
      <c r="J17" s="177" t="s">
        <v>584</v>
      </c>
      <c r="K17" s="177" t="s">
        <v>584</v>
      </c>
      <c r="L17" s="177" t="s">
        <v>586</v>
      </c>
      <c r="M17" s="182" t="s">
        <v>585</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584</v>
      </c>
    </row>
    <row r="18" customFormat="false" ht="15" hidden="false" customHeight="true" outlineLevel="0" collapsed="false">
      <c r="A18" s="175" t="s">
        <v>21</v>
      </c>
      <c r="B18" s="176" t="n">
        <v>11537565</v>
      </c>
      <c r="C18" s="177" t="n">
        <v>14</v>
      </c>
      <c r="D18" s="177" t="n">
        <v>19</v>
      </c>
      <c r="E18" s="177" t="n">
        <v>3</v>
      </c>
      <c r="F18" s="177" t="s">
        <v>585</v>
      </c>
      <c r="G18" s="177" t="s">
        <v>584</v>
      </c>
      <c r="H18" s="177" t="n">
        <v>2</v>
      </c>
      <c r="I18" s="178" t="n">
        <f aca="false">IF(H18=1,Assumptions!$B$16,IF(H18=2,Assumptions!$B$17,0))</f>
        <v>0.0325</v>
      </c>
      <c r="J18" s="177" t="s">
        <v>584</v>
      </c>
      <c r="K18" s="177" t="s">
        <v>584</v>
      </c>
      <c r="L18" s="177" t="s">
        <v>586</v>
      </c>
      <c r="M18" s="182" t="s">
        <v>585</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584</v>
      </c>
    </row>
    <row r="19" customFormat="false" ht="15" hidden="false" customHeight="true" outlineLevel="0" collapsed="false">
      <c r="A19" s="175" t="s">
        <v>22</v>
      </c>
      <c r="B19" s="176" t="n">
        <v>18764585</v>
      </c>
      <c r="C19" s="177" t="n">
        <v>13</v>
      </c>
      <c r="D19" s="177" t="n">
        <v>18</v>
      </c>
      <c r="E19" s="177" t="n">
        <v>3</v>
      </c>
      <c r="F19" s="177" t="s">
        <v>585</v>
      </c>
      <c r="G19" s="177" t="s">
        <v>584</v>
      </c>
      <c r="H19" s="177" t="n">
        <v>2</v>
      </c>
      <c r="I19" s="178" t="n">
        <f aca="false">IF(H19=1,Assumptions!$B$16,IF(H19=2,Assumptions!$B$17,0))</f>
        <v>0.0325</v>
      </c>
      <c r="J19" s="177" t="s">
        <v>584</v>
      </c>
      <c r="K19" s="177" t="s">
        <v>584</v>
      </c>
      <c r="L19" s="177" t="s">
        <v>586</v>
      </c>
      <c r="M19" s="182" t="s">
        <v>585</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584</v>
      </c>
    </row>
    <row r="20" customFormat="false" ht="15" hidden="false" customHeight="true" outlineLevel="0" collapsed="false">
      <c r="A20" s="175" t="s">
        <v>23</v>
      </c>
      <c r="B20" s="176" t="n">
        <v>25026330.58</v>
      </c>
      <c r="C20" s="177" t="n">
        <v>20</v>
      </c>
      <c r="D20" s="177" t="n">
        <v>24</v>
      </c>
      <c r="E20" s="177" t="n">
        <v>2</v>
      </c>
      <c r="F20" s="177" t="s">
        <v>584</v>
      </c>
      <c r="G20" s="177" t="s">
        <v>584</v>
      </c>
      <c r="H20" s="177" t="n">
        <v>0</v>
      </c>
      <c r="I20" s="178" t="n">
        <f aca="false">IF(H20=1,Assumptions!$B$16,IF(H20=2,Assumptions!$B$17,0))</f>
        <v>0</v>
      </c>
      <c r="J20" s="177" t="s">
        <v>584</v>
      </c>
      <c r="K20" s="177" t="s">
        <v>584</v>
      </c>
      <c r="L20" s="177" t="s">
        <v>589</v>
      </c>
      <c r="M20" s="182" t="s">
        <v>584</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585</v>
      </c>
    </row>
    <row r="21" customFormat="false" ht="15" hidden="false" customHeight="true" outlineLevel="0" collapsed="false">
      <c r="A21" s="175" t="s">
        <v>591</v>
      </c>
      <c r="B21" s="176" t="n">
        <v>14935493</v>
      </c>
      <c r="C21" s="177" t="n">
        <v>9</v>
      </c>
      <c r="D21" s="177" t="n">
        <v>20</v>
      </c>
      <c r="E21" s="177" t="n">
        <v>3</v>
      </c>
      <c r="F21" s="177" t="s">
        <v>584</v>
      </c>
      <c r="G21" s="177" t="s">
        <v>585</v>
      </c>
      <c r="H21" s="177" t="n">
        <v>0</v>
      </c>
      <c r="I21" s="178" t="n">
        <f aca="false">IF(H21=1,Assumptions!$B$16,IF(H21=2,Assumptions!$B$17,0))</f>
        <v>0</v>
      </c>
      <c r="J21" s="177" t="s">
        <v>584</v>
      </c>
      <c r="K21" s="177" t="s">
        <v>584</v>
      </c>
      <c r="L21" s="177" t="s">
        <v>589</v>
      </c>
      <c r="M21" s="182" t="s">
        <v>585</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584</v>
      </c>
    </row>
    <row r="22" customFormat="false" ht="15" hidden="false" customHeight="true" outlineLevel="0" collapsed="false">
      <c r="A22" s="175" t="s">
        <v>25</v>
      </c>
      <c r="B22" s="176" t="n">
        <v>13706000</v>
      </c>
      <c r="C22" s="177" t="n">
        <v>19</v>
      </c>
      <c r="D22" s="177" t="n">
        <v>19</v>
      </c>
      <c r="E22" s="177" t="n">
        <v>3</v>
      </c>
      <c r="F22" s="177" t="s">
        <v>585</v>
      </c>
      <c r="G22" s="177" t="s">
        <v>584</v>
      </c>
      <c r="H22" s="177" t="n">
        <v>2</v>
      </c>
      <c r="I22" s="178" t="n">
        <f aca="false">IF(H22=1,Assumptions!$B$16,IF(H22=2,Assumptions!$B$17,0))</f>
        <v>0.0325</v>
      </c>
      <c r="J22" s="177" t="s">
        <v>584</v>
      </c>
      <c r="K22" s="177" t="s">
        <v>584</v>
      </c>
      <c r="L22" s="177" t="s">
        <v>586</v>
      </c>
      <c r="M22" s="182" t="s">
        <v>585</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584</v>
      </c>
    </row>
    <row r="23" customFormat="false" ht="15" hidden="false" customHeight="true" outlineLevel="0" collapsed="false">
      <c r="A23" s="175" t="s">
        <v>26</v>
      </c>
      <c r="B23" s="176" t="n">
        <v>15000000</v>
      </c>
      <c r="C23" s="177" t="n">
        <v>34</v>
      </c>
      <c r="D23" s="177" t="n">
        <v>19</v>
      </c>
      <c r="E23" s="177" t="n">
        <v>3</v>
      </c>
      <c r="F23" s="177" t="s">
        <v>585</v>
      </c>
      <c r="G23" s="177" t="s">
        <v>584</v>
      </c>
      <c r="H23" s="177" t="n">
        <v>2</v>
      </c>
      <c r="I23" s="178" t="n">
        <f aca="false">IF(H23=1,Assumptions!$B$16,IF(H23=2,Assumptions!$B$17,0))</f>
        <v>0.0325</v>
      </c>
      <c r="J23" s="177" t="s">
        <v>584</v>
      </c>
      <c r="K23" s="177" t="s">
        <v>584</v>
      </c>
      <c r="L23" s="177" t="s">
        <v>589</v>
      </c>
      <c r="M23" s="182" t="s">
        <v>585</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585</v>
      </c>
    </row>
    <row r="24" customFormat="false" ht="15" hidden="false" customHeight="true" outlineLevel="0" collapsed="false">
      <c r="A24" s="175" t="s">
        <v>27</v>
      </c>
      <c r="B24" s="176" t="n">
        <v>18000000</v>
      </c>
      <c r="C24" s="177" t="n">
        <v>37</v>
      </c>
      <c r="D24" s="177" t="n">
        <v>19</v>
      </c>
      <c r="E24" s="177" t="n">
        <v>3</v>
      </c>
      <c r="F24" s="177" t="s">
        <v>584</v>
      </c>
      <c r="G24" s="177" t="s">
        <v>584</v>
      </c>
      <c r="H24" s="177" t="n">
        <v>0</v>
      </c>
      <c r="I24" s="178" t="n">
        <f aca="false">IF(H24=1,Assumptions!$B$16,IF(H24=2,Assumptions!$B$17,0))</f>
        <v>0</v>
      </c>
      <c r="J24" s="177" t="s">
        <v>584</v>
      </c>
      <c r="K24" s="177" t="s">
        <v>584</v>
      </c>
      <c r="L24" s="177" t="s">
        <v>589</v>
      </c>
      <c r="M24" s="182" t="s">
        <v>584</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585</v>
      </c>
    </row>
    <row r="25" customFormat="false" ht="15" hidden="false" customHeight="true" outlineLevel="0" collapsed="false">
      <c r="A25" s="175" t="s">
        <v>28</v>
      </c>
      <c r="B25" s="176" t="n">
        <v>18000000</v>
      </c>
      <c r="C25" s="177" t="n">
        <v>40</v>
      </c>
      <c r="D25" s="177" t="n">
        <v>19</v>
      </c>
      <c r="E25" s="177" t="n">
        <v>3</v>
      </c>
      <c r="F25" s="177" t="s">
        <v>584</v>
      </c>
      <c r="G25" s="177" t="s">
        <v>584</v>
      </c>
      <c r="H25" s="177" t="n">
        <v>0</v>
      </c>
      <c r="I25" s="178" t="n">
        <f aca="false">IF(H25=1,Assumptions!$B$16,IF(H25=2,Assumptions!$B$17,0))</f>
        <v>0</v>
      </c>
      <c r="J25" s="177" t="s">
        <v>584</v>
      </c>
      <c r="K25" s="177" t="s">
        <v>584</v>
      </c>
      <c r="L25" s="177" t="s">
        <v>589</v>
      </c>
      <c r="M25" s="182" t="s">
        <v>584</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585</v>
      </c>
    </row>
    <row r="26" customFormat="false" ht="15" hidden="false" customHeight="true" outlineLevel="0" collapsed="false">
      <c r="A26" s="175" t="s">
        <v>29</v>
      </c>
      <c r="B26" s="176" t="n">
        <v>18000000</v>
      </c>
      <c r="C26" s="177" t="n">
        <v>42</v>
      </c>
      <c r="D26" s="177" t="n">
        <v>19</v>
      </c>
      <c r="E26" s="177" t="n">
        <v>3</v>
      </c>
      <c r="F26" s="177" t="s">
        <v>584</v>
      </c>
      <c r="G26" s="177" t="s">
        <v>584</v>
      </c>
      <c r="H26" s="177" t="n">
        <v>0</v>
      </c>
      <c r="I26" s="178" t="n">
        <f aca="false">IF(H26=1,Assumptions!$B$16,IF(H26=2,Assumptions!$B$17,0))</f>
        <v>0</v>
      </c>
      <c r="J26" s="177" t="s">
        <v>584</v>
      </c>
      <c r="K26" s="177" t="s">
        <v>584</v>
      </c>
      <c r="L26" s="177" t="s">
        <v>589</v>
      </c>
      <c r="M26" s="182" t="s">
        <v>584</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585</v>
      </c>
    </row>
    <row r="27" customFormat="false" ht="15" hidden="false" customHeight="true" outlineLevel="0" collapsed="false">
      <c r="A27" s="175" t="s">
        <v>30</v>
      </c>
      <c r="B27" s="176" t="n">
        <v>15000000</v>
      </c>
      <c r="C27" s="177" t="n">
        <v>44</v>
      </c>
      <c r="D27" s="177" t="n">
        <v>19</v>
      </c>
      <c r="E27" s="177" t="n">
        <v>3</v>
      </c>
      <c r="F27" s="177" t="s">
        <v>584</v>
      </c>
      <c r="G27" s="177" t="s">
        <v>584</v>
      </c>
      <c r="H27" s="177" t="n">
        <v>0</v>
      </c>
      <c r="I27" s="178" t="n">
        <f aca="false">IF(H27=1,Assumptions!$B$16,IF(H27=2,Assumptions!$B$17,0))</f>
        <v>0</v>
      </c>
      <c r="J27" s="177" t="s">
        <v>584</v>
      </c>
      <c r="K27" s="177" t="s">
        <v>584</v>
      </c>
      <c r="L27" s="177" t="s">
        <v>589</v>
      </c>
      <c r="M27" s="182" t="s">
        <v>584</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585</v>
      </c>
    </row>
    <row r="28" customFormat="false" ht="15" hidden="false" customHeight="true" outlineLevel="0" collapsed="false">
      <c r="A28" s="175" t="s">
        <v>31</v>
      </c>
      <c r="B28" s="176" t="n">
        <v>15000000</v>
      </c>
      <c r="C28" s="177" t="n">
        <v>46</v>
      </c>
      <c r="D28" s="177" t="n">
        <v>19</v>
      </c>
      <c r="E28" s="177" t="n">
        <v>3</v>
      </c>
      <c r="F28" s="177" t="s">
        <v>585</v>
      </c>
      <c r="G28" s="177" t="s">
        <v>584</v>
      </c>
      <c r="H28" s="177" t="n">
        <v>2</v>
      </c>
      <c r="I28" s="178" t="n">
        <f aca="false">IF(H28=1,Assumptions!$B$16,IF(H28=2,Assumptions!$B$17,0))</f>
        <v>0.0325</v>
      </c>
      <c r="J28" s="177" t="s">
        <v>584</v>
      </c>
      <c r="K28" s="177" t="s">
        <v>584</v>
      </c>
      <c r="L28" s="177" t="s">
        <v>589</v>
      </c>
      <c r="M28" s="182" t="s">
        <v>585</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585</v>
      </c>
    </row>
    <row r="29" customFormat="false" ht="15" hidden="false" customHeight="true" outlineLevel="0" collapsed="false">
      <c r="A29" s="175" t="s">
        <v>32</v>
      </c>
      <c r="B29" s="176" t="n">
        <v>15000000</v>
      </c>
      <c r="C29" s="177" t="n">
        <v>48</v>
      </c>
      <c r="D29" s="177" t="n">
        <v>19</v>
      </c>
      <c r="E29" s="177" t="n">
        <v>3</v>
      </c>
      <c r="F29" s="177" t="s">
        <v>584</v>
      </c>
      <c r="G29" s="177" t="s">
        <v>584</v>
      </c>
      <c r="H29" s="177" t="n">
        <v>0</v>
      </c>
      <c r="I29" s="178" t="n">
        <f aca="false">IF(H29=1,Assumptions!$B$16,IF(H29=2,Assumptions!$B$17,0))</f>
        <v>0</v>
      </c>
      <c r="J29" s="177" t="s">
        <v>584</v>
      </c>
      <c r="K29" s="177" t="s">
        <v>584</v>
      </c>
      <c r="L29" s="177" t="s">
        <v>589</v>
      </c>
      <c r="M29" s="182" t="s">
        <v>584</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585</v>
      </c>
    </row>
    <row r="30" customFormat="false" ht="15" hidden="false" customHeight="true" outlineLevel="0" collapsed="false">
      <c r="A30" s="175" t="s">
        <v>33</v>
      </c>
      <c r="B30" s="176" t="n">
        <v>15000000</v>
      </c>
      <c r="C30" s="177" t="n">
        <v>50</v>
      </c>
      <c r="D30" s="177" t="n">
        <v>19</v>
      </c>
      <c r="E30" s="177" t="n">
        <v>3</v>
      </c>
      <c r="F30" s="177" t="s">
        <v>584</v>
      </c>
      <c r="G30" s="177" t="s">
        <v>584</v>
      </c>
      <c r="H30" s="177" t="n">
        <v>0</v>
      </c>
      <c r="I30" s="178" t="n">
        <f aca="false">IF(H30=1,Assumptions!$B$16,IF(H30=2,Assumptions!$B$17,0))</f>
        <v>0</v>
      </c>
      <c r="J30" s="177" t="s">
        <v>584</v>
      </c>
      <c r="K30" s="177" t="s">
        <v>584</v>
      </c>
      <c r="L30" s="177" t="s">
        <v>589</v>
      </c>
      <c r="M30" s="182" t="s">
        <v>584</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585</v>
      </c>
    </row>
    <row r="31" customFormat="false" ht="15" hidden="false" customHeight="true" outlineLevel="0" collapsed="false">
      <c r="A31" s="175" t="s">
        <v>34</v>
      </c>
      <c r="B31" s="176" t="n">
        <v>18000000</v>
      </c>
      <c r="C31" s="177" t="n">
        <v>52</v>
      </c>
      <c r="D31" s="177" t="n">
        <v>19</v>
      </c>
      <c r="E31" s="177" t="n">
        <v>3</v>
      </c>
      <c r="F31" s="177" t="s">
        <v>584</v>
      </c>
      <c r="G31" s="177" t="s">
        <v>584</v>
      </c>
      <c r="H31" s="177" t="n">
        <v>0</v>
      </c>
      <c r="I31" s="178" t="n">
        <f aca="false">IF(H31=1,Assumptions!$B$16,IF(H31=2,Assumptions!$B$17,0))</f>
        <v>0</v>
      </c>
      <c r="J31" s="177" t="s">
        <v>584</v>
      </c>
      <c r="K31" s="177" t="s">
        <v>584</v>
      </c>
      <c r="L31" s="177" t="s">
        <v>589</v>
      </c>
      <c r="M31" s="182" t="s">
        <v>584</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585</v>
      </c>
    </row>
    <row r="32" customFormat="false" ht="15" hidden="false" customHeight="true" outlineLevel="0" collapsed="false">
      <c r="A32" s="175" t="s">
        <v>35</v>
      </c>
      <c r="B32" s="176" t="n">
        <v>15000000</v>
      </c>
      <c r="C32" s="177" t="n">
        <v>54</v>
      </c>
      <c r="D32" s="177" t="n">
        <v>19</v>
      </c>
      <c r="E32" s="177" t="n">
        <v>3</v>
      </c>
      <c r="F32" s="177" t="s">
        <v>584</v>
      </c>
      <c r="G32" s="177" t="s">
        <v>584</v>
      </c>
      <c r="H32" s="177" t="n">
        <v>0</v>
      </c>
      <c r="I32" s="178" t="n">
        <f aca="false">IF(H32=1,Assumptions!$B$16,IF(H32=2,Assumptions!$B$17,0))</f>
        <v>0</v>
      </c>
      <c r="J32" s="177" t="s">
        <v>584</v>
      </c>
      <c r="K32" s="177" t="s">
        <v>584</v>
      </c>
      <c r="L32" s="177" t="s">
        <v>589</v>
      </c>
      <c r="M32" s="182" t="s">
        <v>584</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585</v>
      </c>
    </row>
    <row r="33" customFormat="false" ht="15" hidden="false" customHeight="true" outlineLevel="0" collapsed="false">
      <c r="A33" s="175" t="s">
        <v>36</v>
      </c>
      <c r="B33" s="176" t="n">
        <v>15000000</v>
      </c>
      <c r="C33" s="177" t="n">
        <v>56</v>
      </c>
      <c r="D33" s="177" t="n">
        <v>19</v>
      </c>
      <c r="E33" s="177" t="n">
        <v>3</v>
      </c>
      <c r="F33" s="177" t="s">
        <v>584</v>
      </c>
      <c r="G33" s="177" t="s">
        <v>584</v>
      </c>
      <c r="H33" s="177" t="n">
        <v>0</v>
      </c>
      <c r="I33" s="178" t="n">
        <f aca="false">IF(H33=1,Assumptions!$B$16,IF(H33=2,Assumptions!$B$17,0))</f>
        <v>0</v>
      </c>
      <c r="J33" s="177" t="s">
        <v>584</v>
      </c>
      <c r="K33" s="177" t="s">
        <v>584</v>
      </c>
      <c r="L33" s="177" t="s">
        <v>589</v>
      </c>
      <c r="M33" s="182" t="s">
        <v>584</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585</v>
      </c>
    </row>
    <row r="34" customFormat="false" ht="15" hidden="false" customHeight="true" outlineLevel="0" collapsed="false">
      <c r="A34" s="175" t="s">
        <v>37</v>
      </c>
      <c r="B34" s="176" t="n">
        <v>18000000</v>
      </c>
      <c r="C34" s="177" t="n">
        <v>58</v>
      </c>
      <c r="D34" s="177" t="n">
        <v>19</v>
      </c>
      <c r="E34" s="177" t="n">
        <v>3</v>
      </c>
      <c r="F34" s="177" t="s">
        <v>585</v>
      </c>
      <c r="G34" s="177" t="s">
        <v>584</v>
      </c>
      <c r="H34" s="177" t="n">
        <v>2</v>
      </c>
      <c r="I34" s="178" t="n">
        <f aca="false">IF(H34=1,Assumptions!$B$16,IF(H34=2,Assumptions!$B$17,0))</f>
        <v>0.0325</v>
      </c>
      <c r="J34" s="177" t="s">
        <v>584</v>
      </c>
      <c r="K34" s="177" t="s">
        <v>584</v>
      </c>
      <c r="L34" s="177" t="s">
        <v>589</v>
      </c>
      <c r="M34" s="182" t="s">
        <v>585</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585</v>
      </c>
    </row>
    <row r="35" customFormat="false" ht="15" hidden="false" customHeight="true" outlineLevel="0" collapsed="false">
      <c r="A35" s="175" t="s">
        <v>38</v>
      </c>
      <c r="B35" s="176" t="n">
        <v>15000000</v>
      </c>
      <c r="C35" s="177" t="n">
        <v>60</v>
      </c>
      <c r="D35" s="177" t="n">
        <v>19</v>
      </c>
      <c r="E35" s="177" t="n">
        <v>3</v>
      </c>
      <c r="F35" s="177" t="s">
        <v>584</v>
      </c>
      <c r="G35" s="177" t="s">
        <v>584</v>
      </c>
      <c r="H35" s="177" t="n">
        <v>0</v>
      </c>
      <c r="I35" s="178" t="n">
        <f aca="false">IF(H35=1,Assumptions!$B$16,IF(H35=2,Assumptions!$B$17,0))</f>
        <v>0</v>
      </c>
      <c r="J35" s="177" t="s">
        <v>584</v>
      </c>
      <c r="K35" s="177" t="s">
        <v>584</v>
      </c>
      <c r="L35" s="177" t="s">
        <v>589</v>
      </c>
      <c r="M35" s="182" t="s">
        <v>584</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585</v>
      </c>
    </row>
    <row r="36" customFormat="false" ht="15" hidden="false" customHeight="true" outlineLevel="0" collapsed="false">
      <c r="A36" s="175" t="s">
        <v>39</v>
      </c>
      <c r="B36" s="176" t="n">
        <v>18000000</v>
      </c>
      <c r="C36" s="177" t="n">
        <v>62</v>
      </c>
      <c r="D36" s="177" t="n">
        <v>19</v>
      </c>
      <c r="E36" s="177" t="n">
        <v>3</v>
      </c>
      <c r="F36" s="177" t="s">
        <v>584</v>
      </c>
      <c r="G36" s="177" t="s">
        <v>584</v>
      </c>
      <c r="H36" s="177" t="n">
        <v>0</v>
      </c>
      <c r="I36" s="178" t="n">
        <f aca="false">IF(H36=1,Assumptions!$B$16,IF(H36=2,Assumptions!$B$17,0))</f>
        <v>0</v>
      </c>
      <c r="J36" s="177" t="s">
        <v>584</v>
      </c>
      <c r="K36" s="177" t="s">
        <v>584</v>
      </c>
      <c r="L36" s="177" t="s">
        <v>589</v>
      </c>
      <c r="M36" s="182" t="s">
        <v>584</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585</v>
      </c>
    </row>
    <row r="37" customFormat="false" ht="15" hidden="false" customHeight="true" outlineLevel="0" collapsed="false">
      <c r="A37" s="175" t="s">
        <v>40</v>
      </c>
      <c r="B37" s="176" t="n">
        <v>15000000</v>
      </c>
      <c r="C37" s="177" t="n">
        <v>64</v>
      </c>
      <c r="D37" s="177" t="n">
        <v>19</v>
      </c>
      <c r="E37" s="177" t="n">
        <v>3</v>
      </c>
      <c r="F37" s="177" t="s">
        <v>584</v>
      </c>
      <c r="G37" s="177" t="s">
        <v>584</v>
      </c>
      <c r="H37" s="177" t="n">
        <v>0</v>
      </c>
      <c r="I37" s="178" t="n">
        <f aca="false">IF(H37=1,Assumptions!$B$16,IF(H37=2,Assumptions!$B$17,0))</f>
        <v>0</v>
      </c>
      <c r="J37" s="177" t="s">
        <v>584</v>
      </c>
      <c r="K37" s="177" t="s">
        <v>584</v>
      </c>
      <c r="L37" s="177" t="s">
        <v>589</v>
      </c>
      <c r="M37" s="182" t="s">
        <v>584</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585</v>
      </c>
    </row>
    <row r="38" customFormat="false" ht="15" hidden="false" customHeight="true" outlineLevel="0" collapsed="false">
      <c r="A38" s="175" t="s">
        <v>41</v>
      </c>
      <c r="B38" s="176" t="n">
        <v>15000000</v>
      </c>
      <c r="C38" s="177" t="n">
        <v>66</v>
      </c>
      <c r="D38" s="177" t="n">
        <v>19</v>
      </c>
      <c r="E38" s="177" t="n">
        <v>3</v>
      </c>
      <c r="F38" s="177" t="s">
        <v>584</v>
      </c>
      <c r="G38" s="177" t="s">
        <v>584</v>
      </c>
      <c r="H38" s="177" t="n">
        <v>0</v>
      </c>
      <c r="I38" s="178" t="n">
        <f aca="false">IF(H38=1,Assumptions!$B$16,IF(H38=2,Assumptions!$B$17,0))</f>
        <v>0</v>
      </c>
      <c r="J38" s="177" t="s">
        <v>584</v>
      </c>
      <c r="K38" s="177" t="s">
        <v>584</v>
      </c>
      <c r="L38" s="177" t="s">
        <v>589</v>
      </c>
      <c r="M38" s="182" t="s">
        <v>584</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585</v>
      </c>
    </row>
    <row r="39" customFormat="false" ht="15" hidden="false" customHeight="true" outlineLevel="0" collapsed="false">
      <c r="A39" s="175" t="s">
        <v>42</v>
      </c>
      <c r="B39" s="176" t="n">
        <v>18000000</v>
      </c>
      <c r="C39" s="177" t="n">
        <v>68</v>
      </c>
      <c r="D39" s="177" t="n">
        <v>19</v>
      </c>
      <c r="E39" s="177" t="n">
        <v>3</v>
      </c>
      <c r="F39" s="177" t="s">
        <v>584</v>
      </c>
      <c r="G39" s="177" t="s">
        <v>584</v>
      </c>
      <c r="H39" s="177" t="n">
        <v>0</v>
      </c>
      <c r="I39" s="178" t="n">
        <f aca="false">IF(H39=1,Assumptions!$B$16,IF(H39=2,Assumptions!$B$17,0))</f>
        <v>0</v>
      </c>
      <c r="J39" s="177" t="s">
        <v>584</v>
      </c>
      <c r="K39" s="177" t="s">
        <v>584</v>
      </c>
      <c r="L39" s="177" t="s">
        <v>589</v>
      </c>
      <c r="M39" s="182" t="s">
        <v>584</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585</v>
      </c>
    </row>
    <row r="40" customFormat="false" ht="15" hidden="false" customHeight="true" outlineLevel="0" collapsed="false">
      <c r="A40" s="175" t="s">
        <v>43</v>
      </c>
      <c r="B40" s="176" t="n">
        <v>15000000</v>
      </c>
      <c r="C40" s="177" t="n">
        <v>70</v>
      </c>
      <c r="D40" s="177" t="n">
        <v>19</v>
      </c>
      <c r="E40" s="177" t="n">
        <v>3</v>
      </c>
      <c r="F40" s="177" t="s">
        <v>585</v>
      </c>
      <c r="G40" s="177" t="s">
        <v>584</v>
      </c>
      <c r="H40" s="177" t="n">
        <v>2</v>
      </c>
      <c r="I40" s="178" t="n">
        <f aca="false">IF(H40=1,Assumptions!$B$16,IF(H40=2,Assumptions!$B$17,0))</f>
        <v>0.0325</v>
      </c>
      <c r="J40" s="177" t="s">
        <v>584</v>
      </c>
      <c r="K40" s="177" t="s">
        <v>584</v>
      </c>
      <c r="L40" s="177" t="s">
        <v>589</v>
      </c>
      <c r="M40" s="182" t="s">
        <v>585</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585</v>
      </c>
    </row>
    <row r="41" customFormat="false" ht="15" hidden="false" customHeight="true" outlineLevel="0" collapsed="false">
      <c r="A41" s="175" t="s">
        <v>44</v>
      </c>
      <c r="B41" s="176" t="n">
        <v>15000000</v>
      </c>
      <c r="C41" s="177" t="n">
        <v>72</v>
      </c>
      <c r="D41" s="177" t="n">
        <v>19</v>
      </c>
      <c r="E41" s="177" t="n">
        <v>3</v>
      </c>
      <c r="F41" s="177" t="s">
        <v>584</v>
      </c>
      <c r="G41" s="177" t="s">
        <v>584</v>
      </c>
      <c r="H41" s="177" t="n">
        <v>0</v>
      </c>
      <c r="I41" s="178" t="n">
        <f aca="false">IF(H41=1,Assumptions!$B$16,IF(H41=2,Assumptions!$B$17,0))</f>
        <v>0</v>
      </c>
      <c r="J41" s="177" t="s">
        <v>584</v>
      </c>
      <c r="K41" s="177" t="s">
        <v>584</v>
      </c>
      <c r="L41" s="177" t="s">
        <v>589</v>
      </c>
      <c r="M41" s="182" t="s">
        <v>584</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585</v>
      </c>
    </row>
    <row r="42" customFormat="false" ht="15" hidden="false" customHeight="true" outlineLevel="0" collapsed="false">
      <c r="A42" s="175" t="s">
        <v>45</v>
      </c>
      <c r="B42" s="176" t="n">
        <v>18000000</v>
      </c>
      <c r="C42" s="177" t="n">
        <v>74</v>
      </c>
      <c r="D42" s="177" t="n">
        <v>19</v>
      </c>
      <c r="E42" s="177" t="n">
        <v>3</v>
      </c>
      <c r="F42" s="177" t="s">
        <v>584</v>
      </c>
      <c r="G42" s="177" t="s">
        <v>584</v>
      </c>
      <c r="H42" s="177" t="n">
        <v>0</v>
      </c>
      <c r="I42" s="178" t="n">
        <f aca="false">IF(H42=1,Assumptions!$B$16,IF(H42=2,Assumptions!$B$17,0))</f>
        <v>0</v>
      </c>
      <c r="J42" s="177" t="s">
        <v>584</v>
      </c>
      <c r="K42" s="177" t="s">
        <v>584</v>
      </c>
      <c r="L42" s="177" t="s">
        <v>589</v>
      </c>
      <c r="M42" s="182" t="s">
        <v>584</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585</v>
      </c>
    </row>
    <row r="43" customFormat="false" ht="15" hidden="false" customHeight="true" outlineLevel="0" collapsed="false">
      <c r="A43" s="175" t="s">
        <v>46</v>
      </c>
      <c r="B43" s="176" t="n">
        <v>15000000</v>
      </c>
      <c r="C43" s="177" t="n">
        <v>76</v>
      </c>
      <c r="D43" s="177" t="n">
        <v>19</v>
      </c>
      <c r="E43" s="177" t="n">
        <v>3</v>
      </c>
      <c r="F43" s="177" t="s">
        <v>584</v>
      </c>
      <c r="G43" s="177" t="s">
        <v>584</v>
      </c>
      <c r="H43" s="177" t="n">
        <v>0</v>
      </c>
      <c r="I43" s="178" t="n">
        <f aca="false">IF(H43=1,Assumptions!$B$16,IF(H43=2,Assumptions!$B$17,0))</f>
        <v>0</v>
      </c>
      <c r="J43" s="177" t="s">
        <v>584</v>
      </c>
      <c r="K43" s="177" t="s">
        <v>584</v>
      </c>
      <c r="L43" s="177" t="s">
        <v>589</v>
      </c>
      <c r="M43" s="182" t="s">
        <v>584</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585</v>
      </c>
    </row>
    <row r="44" customFormat="false" ht="15" hidden="false" customHeight="true" outlineLevel="0" collapsed="false">
      <c r="A44" s="175" t="s">
        <v>47</v>
      </c>
      <c r="B44" s="176" t="n">
        <v>15000000</v>
      </c>
      <c r="C44" s="177" t="n">
        <v>78</v>
      </c>
      <c r="D44" s="177" t="n">
        <v>19</v>
      </c>
      <c r="E44" s="177" t="n">
        <v>3</v>
      </c>
      <c r="F44" s="177" t="s">
        <v>584</v>
      </c>
      <c r="G44" s="177" t="s">
        <v>584</v>
      </c>
      <c r="H44" s="177" t="n">
        <v>0</v>
      </c>
      <c r="I44" s="178" t="n">
        <f aca="false">IF(H44=1,Assumptions!$B$16,IF(H44=2,Assumptions!$B$17,0))</f>
        <v>0</v>
      </c>
      <c r="J44" s="177" t="s">
        <v>584</v>
      </c>
      <c r="K44" s="177" t="s">
        <v>584</v>
      </c>
      <c r="L44" s="177" t="s">
        <v>589</v>
      </c>
      <c r="M44" s="182" t="s">
        <v>584</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585</v>
      </c>
    </row>
    <row r="45" customFormat="false" ht="15" hidden="false" customHeight="true" outlineLevel="0" collapsed="false">
      <c r="A45" s="175" t="s">
        <v>48</v>
      </c>
      <c r="B45" s="176" t="n">
        <v>18000000</v>
      </c>
      <c r="C45" s="177" t="n">
        <v>80</v>
      </c>
      <c r="D45" s="177" t="n">
        <v>19</v>
      </c>
      <c r="E45" s="177" t="n">
        <v>3</v>
      </c>
      <c r="F45" s="177" t="s">
        <v>584</v>
      </c>
      <c r="G45" s="177" t="s">
        <v>584</v>
      </c>
      <c r="H45" s="177" t="n">
        <v>0</v>
      </c>
      <c r="I45" s="178" t="n">
        <f aca="false">IF(H45=1,Assumptions!$B$16,IF(H45=2,Assumptions!$B$17,0))</f>
        <v>0</v>
      </c>
      <c r="J45" s="177" t="s">
        <v>584</v>
      </c>
      <c r="K45" s="177" t="s">
        <v>584</v>
      </c>
      <c r="L45" s="177" t="s">
        <v>589</v>
      </c>
      <c r="M45" s="182" t="s">
        <v>584</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585</v>
      </c>
    </row>
    <row r="46" customFormat="false" ht="15" hidden="false" customHeight="true" outlineLevel="0" collapsed="false">
      <c r="A46" s="175" t="s">
        <v>49</v>
      </c>
      <c r="B46" s="176" t="n">
        <v>15000000</v>
      </c>
      <c r="C46" s="177" t="n">
        <v>82</v>
      </c>
      <c r="D46" s="177" t="n">
        <v>19</v>
      </c>
      <c r="E46" s="177" t="n">
        <v>3</v>
      </c>
      <c r="F46" s="177" t="s">
        <v>585</v>
      </c>
      <c r="G46" s="177" t="s">
        <v>584</v>
      </c>
      <c r="H46" s="177" t="n">
        <v>2</v>
      </c>
      <c r="I46" s="178" t="n">
        <f aca="false">IF(H46=1,Assumptions!$B$16,IF(H46=2,Assumptions!$B$17,0))</f>
        <v>0.0325</v>
      </c>
      <c r="J46" s="177" t="s">
        <v>584</v>
      </c>
      <c r="K46" s="177" t="s">
        <v>584</v>
      </c>
      <c r="L46" s="177" t="s">
        <v>589</v>
      </c>
      <c r="M46" s="182" t="s">
        <v>585</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3" t="s">
        <v>593</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562</v>
      </c>
      <c r="B5" s="110" t="s">
        <v>563</v>
      </c>
      <c r="C5" s="110" t="s">
        <v>594</v>
      </c>
      <c r="D5" s="110" t="s">
        <v>595</v>
      </c>
      <c r="E5" s="110" t="s">
        <v>596</v>
      </c>
      <c r="F5" s="110" t="s">
        <v>597</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598</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0</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str">
        <f aca="false">IF(Model!AE25=0,"",Model!AE25)</f>
        <v/>
      </c>
      <c r="AH17" s="192" t="str">
        <f aca="false">IF(Model!AF25=0,"",Model!AF25)</f>
        <v/>
      </c>
      <c r="AI17" s="192" t="str">
        <f aca="false">IF(Model!AG25=0,"",Model!AG25)</f>
        <v/>
      </c>
      <c r="AJ17" s="192" t="str">
        <f aca="false">IF(Model!AH25=0,"",Model!AH25)</f>
        <v/>
      </c>
      <c r="AK17" s="192" t="str">
        <f aca="false">IF(Model!AI25=0,"",Model!AI25)</f>
        <v/>
      </c>
      <c r="AL17" s="192" t="str">
        <f aca="false">IF(Model!AJ25=0,"",Model!AJ25)</f>
        <v/>
      </c>
      <c r="AM17" s="192" t="str">
        <f aca="false">IF(Model!AK25=0,"",Model!AK25)</f>
        <v/>
      </c>
      <c r="AN17" s="192" t="str">
        <f aca="false">IF(Model!AL25=0,"",Model!AL25)</f>
        <v/>
      </c>
      <c r="AO17" s="192" t="str">
        <f aca="false">IF(Model!AM25=0,"",Model!AM25)</f>
        <v/>
      </c>
      <c r="AP17" s="192" t="str">
        <f aca="false">IF(Model!AN25=0,"",Model!AN25)</f>
        <v/>
      </c>
      <c r="AQ17" s="192" t="str">
        <f aca="false">IF(Model!AO25=0,"",Model!AO25)</f>
        <v/>
      </c>
      <c r="AR17" s="192" t="str">
        <f aca="false">IF(Model!AP25=0,"",Model!AP25)</f>
        <v/>
      </c>
      <c r="AS17" s="192" t="str">
        <f aca="false">IF(Model!AQ25=0,"",Model!AQ25)</f>
        <v/>
      </c>
      <c r="AT17" s="192" t="str">
        <f aca="false">IF(Model!AR25=0,"",Model!AR25)</f>
        <v/>
      </c>
      <c r="AU17" s="192" t="str">
        <f aca="false">IF(Model!AS25=0,"",Model!AS25)</f>
        <v/>
      </c>
      <c r="AV17" s="192" t="str">
        <f aca="false">IF(Model!AT25=0,"",Model!AT25)</f>
        <v/>
      </c>
      <c r="AW17" s="192" t="str">
        <f aca="false">IF(Model!AU25=0,"",Model!AU25)</f>
        <v/>
      </c>
      <c r="AX17" s="192" t="str">
        <f aca="false">IF(Model!AV25=0,"",Model!AV25)</f>
        <v/>
      </c>
      <c r="AY17" s="192" t="str">
        <f aca="false">IF(Model!AW25=0,"",Model!AW25)</f>
        <v/>
      </c>
      <c r="AZ17" s="192" t="str">
        <f aca="false">IF(Model!AX25=0,"",Model!AX25)</f>
        <v/>
      </c>
      <c r="BA17" s="192" t="str">
        <f aca="false">IF(Model!AY25=0,"",Model!AY25)</f>
        <v/>
      </c>
      <c r="BB17" s="192" t="str">
        <f aca="false">IF(Model!AZ25=0,"",Model!AZ25)</f>
        <v/>
      </c>
      <c r="BC17" s="192" t="str">
        <f aca="false">IF(Model!BA25=0,"",Model!BA25)</f>
        <v/>
      </c>
      <c r="BD17" s="192" t="str">
        <f aca="false">IF(Model!BB25=0,"",Model!BB25)</f>
        <v/>
      </c>
      <c r="BE17" s="192" t="str">
        <f aca="false">IF(Model!BC25=0,"",Model!BC25)</f>
        <v/>
      </c>
      <c r="BF17" s="192" t="str">
        <f aca="false">IF(Model!BD25=0,"",Model!BD25)</f>
        <v/>
      </c>
      <c r="BG17" s="192" t="str">
        <f aca="false">IF(Model!BE25=0,"",Model!BE25)</f>
        <v/>
      </c>
      <c r="BH17" s="192" t="str">
        <f aca="false">IF(Model!BF25=0,"",Model!BF25)</f>
        <v/>
      </c>
      <c r="BI17" s="192" t="str">
        <f aca="false">IF(Model!BG25=0,"",Model!BG25)</f>
        <v/>
      </c>
      <c r="BJ17" s="192" t="str">
        <f aca="false">IF(Model!BH25=0,"",Model!BH25)</f>
        <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0</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str">
        <f aca="false">IF(Model!V26=0,"",Model!V26)</f>
        <v/>
      </c>
      <c r="Y18" s="192" t="str">
        <f aca="false">IF(Model!W26=0,"",Model!W26)</f>
        <v/>
      </c>
      <c r="Z18" s="192" t="str">
        <f aca="false">IF(Model!X26=0,"",Model!X26)</f>
        <v/>
      </c>
      <c r="AA18" s="192" t="str">
        <f aca="false">IF(Model!Y26=0,"",Model!Y26)</f>
        <v/>
      </c>
      <c r="AB18" s="192" t="str">
        <f aca="false">IF(Model!Z26=0,"",Model!Z26)</f>
        <v/>
      </c>
      <c r="AC18" s="192" t="str">
        <f aca="false">IF(Model!AA26=0,"",Model!AA26)</f>
        <v/>
      </c>
      <c r="AD18" s="192" t="str">
        <f aca="false">IF(Model!AB26=0,"",Model!AB26)</f>
        <v/>
      </c>
      <c r="AE18" s="192" t="str">
        <f aca="false">IF(Model!AC26=0,"",Model!AC26)</f>
        <v/>
      </c>
      <c r="AF18" s="192" t="str">
        <f aca="false">IF(Model!AD26=0,"",Model!AD26)</f>
        <v/>
      </c>
      <c r="AG18" s="192" t="str">
        <f aca="false">IF(Model!AE26=0,"",Model!AE26)</f>
        <v/>
      </c>
      <c r="AH18" s="192" t="str">
        <f aca="false">IF(Model!AF26=0,"",Model!AF26)</f>
        <v/>
      </c>
      <c r="AI18" s="192" t="str">
        <f aca="false">IF(Model!AG26=0,"",Model!AG26)</f>
        <v/>
      </c>
      <c r="AJ18" s="192" t="str">
        <f aca="false">IF(Model!AH26=0,"",Model!AH26)</f>
        <v/>
      </c>
      <c r="AK18" s="192" t="str">
        <f aca="false">IF(Model!AI26=0,"",Model!AI26)</f>
        <v/>
      </c>
      <c r="AL18" s="192" t="str">
        <f aca="false">IF(Model!AJ26=0,"",Model!AJ26)</f>
        <v/>
      </c>
      <c r="AM18" s="192" t="str">
        <f aca="false">IF(Model!AK26=0,"",Model!AK26)</f>
        <v/>
      </c>
      <c r="AN18" s="192" t="str">
        <f aca="false">IF(Model!AL26=0,"",Model!AL26)</f>
        <v/>
      </c>
      <c r="AO18" s="192" t="str">
        <f aca="false">IF(Model!AM26=0,"",Model!AM26)</f>
        <v/>
      </c>
      <c r="AP18" s="192" t="str">
        <f aca="false">IF(Model!AN26=0,"",Model!AN26)</f>
        <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0</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str">
        <f aca="false">IF(Model!R27=0,"",Model!R27)</f>
        <v/>
      </c>
      <c r="U19" s="192" t="str">
        <f aca="false">IF(Model!S27=0,"",Model!S27)</f>
        <v/>
      </c>
      <c r="V19" s="192" t="str">
        <f aca="false">IF(Model!T27=0,"",Model!T27)</f>
        <v/>
      </c>
      <c r="W19" s="192" t="str">
        <f aca="false">IF(Model!U27=0,"",Model!U27)</f>
        <v/>
      </c>
      <c r="X19" s="192" t="str">
        <f aca="false">IF(Model!V27=0,"",Model!V27)</f>
        <v/>
      </c>
      <c r="Y19" s="192" t="str">
        <f aca="false">IF(Model!W27=0,"",Model!W27)</f>
        <v/>
      </c>
      <c r="Z19" s="192" t="str">
        <f aca="false">IF(Model!X27=0,"",Model!X27)</f>
        <v/>
      </c>
      <c r="AA19" s="192" t="str">
        <f aca="false">IF(Model!Y27=0,"",Model!Y27)</f>
        <v/>
      </c>
      <c r="AB19" s="192" t="str">
        <f aca="false">IF(Model!Z27=0,"",Model!Z27)</f>
        <v/>
      </c>
      <c r="AC19" s="192" t="str">
        <f aca="false">IF(Model!AA27=0,"",Model!AA27)</f>
        <v/>
      </c>
      <c r="AD19" s="192" t="str">
        <f aca="false">IF(Model!AB27=0,"",Model!AB27)</f>
        <v/>
      </c>
      <c r="AE19" s="192" t="str">
        <f aca="false">IF(Model!AC27=0,"",Model!AC27)</f>
        <v/>
      </c>
      <c r="AF19" s="192" t="str">
        <f aca="false">IF(Model!AD27=0,"",Model!AD27)</f>
        <v/>
      </c>
      <c r="AG19" s="192" t="str">
        <f aca="false">IF(Model!AE27=0,"",Model!AE27)</f>
        <v/>
      </c>
      <c r="AH19" s="192" t="str">
        <f aca="false">IF(Model!AF27=0,"",Model!AF27)</f>
        <v/>
      </c>
      <c r="AI19" s="192" t="str">
        <f aca="false">IF(Model!AG27=0,"",Model!AG27)</f>
        <v/>
      </c>
      <c r="AJ19" s="192" t="str">
        <f aca="false">IF(Model!AH27=0,"",Model!AH27)</f>
        <v/>
      </c>
      <c r="AK19" s="192" t="str">
        <f aca="false">IF(Model!AI27=0,"",Model!AI27)</f>
        <v/>
      </c>
      <c r="AL19" s="192" t="str">
        <f aca="false">IF(Model!AJ27=0,"",Model!AJ27)</f>
        <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0</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str">
        <f aca="false">IF(Model!Q28=0,"",Model!Q28)</f>
        <v/>
      </c>
      <c r="T20" s="192" t="str">
        <f aca="false">IF(Model!R28=0,"",Model!R28)</f>
        <v/>
      </c>
      <c r="U20" s="192" t="str">
        <f aca="false">IF(Model!S28=0,"",Model!S28)</f>
        <v/>
      </c>
      <c r="V20" s="192" t="str">
        <f aca="false">IF(Model!T28=0,"",Model!T28)</f>
        <v/>
      </c>
      <c r="W20" s="192" t="str">
        <f aca="false">IF(Model!U28=0,"",Model!U28)</f>
        <v/>
      </c>
      <c r="X20" s="192" t="str">
        <f aca="false">IF(Model!V28=0,"",Model!V28)</f>
        <v/>
      </c>
      <c r="Y20" s="192" t="str">
        <f aca="false">IF(Model!W28=0,"",Model!W28)</f>
        <v/>
      </c>
      <c r="Z20" s="192" t="str">
        <f aca="false">IF(Model!X28=0,"",Model!X28)</f>
        <v/>
      </c>
      <c r="AA20" s="192" t="str">
        <f aca="false">IF(Model!Y28=0,"",Model!Y28)</f>
        <v/>
      </c>
      <c r="AB20" s="192" t="str">
        <f aca="false">IF(Model!Z28=0,"",Model!Z28)</f>
        <v/>
      </c>
      <c r="AC20" s="192" t="str">
        <f aca="false">IF(Model!AA28=0,"",Model!AA28)</f>
        <v/>
      </c>
      <c r="AD20" s="192" t="str">
        <f aca="false">IF(Model!AB28=0,"",Model!AB28)</f>
        <v/>
      </c>
      <c r="AE20" s="192" t="str">
        <f aca="false">IF(Model!AC28=0,"",Model!AC28)</f>
        <v/>
      </c>
      <c r="AF20" s="192" t="str">
        <f aca="false">IF(Model!AD28=0,"",Model!AD28)</f>
        <v/>
      </c>
      <c r="AG20" s="192" t="str">
        <f aca="false">IF(Model!AE28=0,"",Model!AE28)</f>
        <v/>
      </c>
      <c r="AH20" s="192" t="str">
        <f aca="false">IF(Model!AF28=0,"",Model!AF28)</f>
        <v/>
      </c>
      <c r="AI20" s="192" t="str">
        <f aca="false">IF(Model!AG28=0,"",Model!AG28)</f>
        <v/>
      </c>
      <c r="AJ20" s="192" t="str">
        <f aca="false">IF(Model!AH28=0,"",Model!AH28)</f>
        <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599</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6414406.43797818</v>
      </c>
      <c r="T21" s="193" t="n">
        <f aca="false">SUM(T7:T20)+SUM(T24:T27)</f>
        <v>6376373.07906584</v>
      </c>
      <c r="U21" s="193" t="n">
        <f aca="false">SUM(U7:U20)+SUM(U24:U27)</f>
        <v>7227567.30404204</v>
      </c>
      <c r="V21" s="193" t="n">
        <f aca="false">SUM(V7:V20)+SUM(V24:V27)</f>
        <v>8259389.59358842</v>
      </c>
      <c r="W21" s="193" t="n">
        <f aca="false">SUM(W7:W20)+SUM(W24:W27)</f>
        <v>7719984.66176024</v>
      </c>
      <c r="X21" s="193" t="n">
        <f aca="false">SUM(X7:X20)+SUM(X24:X27)</f>
        <v>8277570.75484072</v>
      </c>
      <c r="Y21" s="193" t="n">
        <f aca="false">SUM(Y7:Y20)+SUM(Y24:Y27)</f>
        <v>7057370.96941777</v>
      </c>
      <c r="Z21" s="193" t="n">
        <f aca="false">SUM(Z7:Z20)+SUM(Z24:Z27)</f>
        <v>8231619.50215594</v>
      </c>
      <c r="AA21" s="193" t="n">
        <f aca="false">SUM(AA7:AA20)+SUM(AA24:AA27)</f>
        <v>6949210.47463082</v>
      </c>
      <c r="AB21" s="193" t="n">
        <f aca="false">SUM(AB7:AB20)+SUM(AB24:AB27)</f>
        <v>7642361.98099884</v>
      </c>
      <c r="AC21" s="193" t="n">
        <f aca="false">SUM(AC7:AC20)+SUM(AC24:AC27)</f>
        <v>6894122.56932453</v>
      </c>
      <c r="AD21" s="193" t="n">
        <f aca="false">SUM(AD7:AD20)+SUM(AD24:AD27)</f>
        <v>5739897.27708637</v>
      </c>
      <c r="AE21" s="193" t="n">
        <f aca="false">SUM(AE7:AE20)+SUM(AE24:AE27)</f>
        <v>4859576.47607795</v>
      </c>
      <c r="AF21" s="193" t="n">
        <f aca="false">SUM(AF7:AF20)+SUM(AF24:AF27)</f>
        <v>4810135.64449745</v>
      </c>
      <c r="AG21" s="193" t="n">
        <f aca="false">SUM(AG7:AG20)+SUM(AG24:AG27)</f>
        <v>4511866.89638973</v>
      </c>
      <c r="AH21" s="193" t="n">
        <f aca="false">SUM(AH7:AH20)+SUM(AH24:AH27)</f>
        <v>4374307.47792775</v>
      </c>
      <c r="AI21" s="193" t="n">
        <f aca="false">SUM(AI7:AI20)+SUM(AI24:AI27)</f>
        <v>4751349.15266775</v>
      </c>
      <c r="AJ21" s="193" t="n">
        <f aca="false">SUM(AJ7:AJ20)+SUM(AJ24:AJ27)</f>
        <v>4369722.42882665</v>
      </c>
      <c r="AK21" s="193" t="n">
        <f aca="false">SUM(AK7:AK20)+SUM(AK24:AK27)</f>
        <v>4217920.91379165</v>
      </c>
      <c r="AL21" s="193" t="n">
        <f aca="false">SUM(AL7:AL20)+SUM(AL24:AL27)</f>
        <v>3097741.7394289</v>
      </c>
      <c r="AM21" s="193" t="n">
        <f aca="false">SUM(AM7:AM20)+SUM(AM24:AM27)</f>
        <v>2654181.90309278</v>
      </c>
      <c r="AN21" s="193" t="n">
        <f aca="false">SUM(AN7:AN20)+SUM(AN24:AN27)</f>
        <v>2678914.67117278</v>
      </c>
      <c r="AO21" s="193" t="n">
        <f aca="false">SUM(AO7:AO20)+SUM(AO24:AO27)</f>
        <v>2671439.63838278</v>
      </c>
      <c r="AP21" s="193" t="n">
        <f aca="false">SUM(AP7:AP20)+SUM(AP24:AP27)</f>
        <v>1797697.51707278</v>
      </c>
      <c r="AQ21" s="193" t="n">
        <f aca="false">SUM(AQ7:AQ20)+SUM(AQ24:AQ27)</f>
        <v>1400536.58698278</v>
      </c>
      <c r="AR21" s="193" t="n">
        <f aca="false">SUM(AR7:AR20)+SUM(AR24:AR27)</f>
        <v>1279674.31108278</v>
      </c>
      <c r="AS21" s="193" t="n">
        <f aca="false">SUM(AS7:AS20)+SUM(AS24:AS27)</f>
        <v>1154783.29265278</v>
      </c>
      <c r="AT21" s="193" t="n">
        <f aca="false">SUM(AT7:AT20)+SUM(AT24:AT27)</f>
        <v>1028579.53789278</v>
      </c>
      <c r="AU21" s="193" t="n">
        <f aca="false">SUM(AU7:AU20)+SUM(AU24:AU27)</f>
        <v>903552.719152783</v>
      </c>
      <c r="AV21" s="193" t="n">
        <f aca="false">SUM(AV7:AV20)+SUM(AV24:AV27)</f>
        <v>781966.174932784</v>
      </c>
      <c r="AW21" s="193" t="n">
        <f aca="false">SUM(AW7:AW20)+SUM(AW24:AW27)</f>
        <v>665675.842802783</v>
      </c>
      <c r="AX21" s="193" t="n">
        <f aca="false">SUM(AX7:AX20)+SUM(AX24:AX27)</f>
        <v>283780.474359283</v>
      </c>
      <c r="AY21" s="193" t="n">
        <f aca="false">SUM(AY7:AY20)+SUM(AY24:AY27)</f>
        <v>0</v>
      </c>
      <c r="AZ21" s="193" t="n">
        <f aca="false">SUM(AZ7:AZ20)+SUM(AZ24:AZ27)</f>
        <v>0</v>
      </c>
      <c r="BA21" s="193" t="n">
        <f aca="false">SUM(BA7:BA20)+SUM(BA24:BA27)</f>
        <v>0</v>
      </c>
      <c r="BB21" s="193" t="n">
        <f aca="false">SUM(BB7:BB20)+SUM(BB24:BB27)</f>
        <v>0</v>
      </c>
      <c r="BC21" s="193" t="n">
        <f aca="false">SUM(BC7:BC20)+SUM(BC24:BC27)</f>
        <v>0</v>
      </c>
      <c r="BD21" s="193" t="n">
        <f aca="false">SUM(BD7:BD20)+SUM(BD24:BD27)</f>
        <v>0</v>
      </c>
      <c r="BE21" s="193" t="n">
        <f aca="false">SUM(BE7:BE20)+SUM(BE24:BE27)</f>
        <v>0</v>
      </c>
      <c r="BF21" s="193" t="n">
        <f aca="false">SUM(BF7:BF20)+SUM(BF24:BF27)</f>
        <v>0</v>
      </c>
      <c r="BG21" s="193" t="n">
        <f aca="false">SUM(BG7:BG20)+SUM(BG24:BG27)</f>
        <v>0</v>
      </c>
      <c r="BH21" s="193" t="n">
        <f aca="false">SUM(BH7:BH20)+SUM(BH24:BH27)</f>
        <v>0</v>
      </c>
      <c r="BI21" s="193" t="n">
        <f aca="false">SUM(BI7:BI20)+SUM(BI24:BI27)</f>
        <v>0</v>
      </c>
      <c r="BJ21" s="193" t="n">
        <f aca="false">SUM(BJ7:BJ20)+SUM(BJ24:BJ27)</f>
        <v>0</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600</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11</v>
      </c>
      <c r="T22" s="194" t="n">
        <f aca="false">COUNT(T7:T20)+COUNT(T24:T27)</f>
        <v>11</v>
      </c>
      <c r="U22" s="194" t="n">
        <f aca="false">COUNT(U7:U20)+COUNT(U24:U27)</f>
        <v>12</v>
      </c>
      <c r="V22" s="194" t="n">
        <f aca="false">COUNT(V7:V20)+COUNT(V24:V27)</f>
        <v>11</v>
      </c>
      <c r="W22" s="194" t="n">
        <f aca="false">COUNT(W7:W20)+COUNT(W24:W27)</f>
        <v>11</v>
      </c>
      <c r="X22" s="194" t="n">
        <f aca="false">COUNT(X7:X20)+COUNT(X24:X27)</f>
        <v>10</v>
      </c>
      <c r="Y22" s="194" t="n">
        <f aca="false">COUNT(Y7:Y20)+COUNT(Y24:Y27)</f>
        <v>9</v>
      </c>
      <c r="Z22" s="194" t="n">
        <f aca="false">COUNT(Z7:Z20)+COUNT(Z24:Z27)</f>
        <v>8</v>
      </c>
      <c r="AA22" s="194" t="n">
        <f aca="false">COUNT(AA7:AA20)+COUNT(AA24:AA27)</f>
        <v>8</v>
      </c>
      <c r="AB22" s="194" t="n">
        <f aca="false">COUNT(AB7:AB20)+COUNT(AB24:AB27)</f>
        <v>8</v>
      </c>
      <c r="AC22" s="194" t="n">
        <f aca="false">COUNT(AC7:AC20)+COUNT(AC24:AC27)</f>
        <v>8</v>
      </c>
      <c r="AD22" s="194" t="n">
        <f aca="false">COUNT(AD7:AD20)+COUNT(AD24:AD27)</f>
        <v>7</v>
      </c>
      <c r="AE22" s="194" t="n">
        <f aca="false">COUNT(AE7:AE20)+COUNT(AE24:AE27)</f>
        <v>6</v>
      </c>
      <c r="AF22" s="194" t="n">
        <f aca="false">COUNT(AF7:AF20)+COUNT(AF24:AF27)</f>
        <v>6</v>
      </c>
      <c r="AG22" s="194" t="n">
        <f aca="false">COUNT(AG7:AG20)+COUNT(AG24:AG27)</f>
        <v>6</v>
      </c>
      <c r="AH22" s="194" t="n">
        <f aca="false">COUNT(AH7:AH20)+COUNT(AH24:AH27)</f>
        <v>6</v>
      </c>
      <c r="AI22" s="194" t="n">
        <f aca="false">COUNT(AI7:AI20)+COUNT(AI24:AI27)</f>
        <v>4</v>
      </c>
      <c r="AJ22" s="194" t="n">
        <f aca="false">COUNT(AJ7:AJ20)+COUNT(AJ24:AJ27)</f>
        <v>3</v>
      </c>
      <c r="AK22" s="194" t="n">
        <f aca="false">COUNT(AK7:AK20)+COUNT(AK24:AK27)</f>
        <v>3</v>
      </c>
      <c r="AL22" s="194" t="n">
        <f aca="false">COUNT(AL7:AL20)+COUNT(AL24:AL27)</f>
        <v>3</v>
      </c>
      <c r="AM22" s="194" t="n">
        <f aca="false">COUNT(AM7:AM20)+COUNT(AM24:AM27)</f>
        <v>2</v>
      </c>
      <c r="AN22" s="194" t="n">
        <f aca="false">COUNT(AN7:AN20)+COUNT(AN24:AN27)</f>
        <v>2</v>
      </c>
      <c r="AO22" s="194" t="n">
        <f aca="false">COUNT(AO7:AO20)+COUNT(AO24:AO27)</f>
        <v>2</v>
      </c>
      <c r="AP22" s="194" t="n">
        <f aca="false">COUNT(AP7:AP20)+COUNT(AP24:AP27)</f>
        <v>2</v>
      </c>
      <c r="AQ22" s="194" t="n">
        <f aca="false">COUNT(AQ7:AQ20)+COUNT(AQ24:AQ27)</f>
        <v>1</v>
      </c>
      <c r="AR22" s="194" t="n">
        <f aca="false">COUNT(AR7:AR20)+COUNT(AR24:AR27)</f>
        <v>1</v>
      </c>
      <c r="AS22" s="194" t="n">
        <f aca="false">COUNT(AS7:AS20)+COUNT(AS24:AS27)</f>
        <v>1</v>
      </c>
      <c r="AT22" s="194" t="n">
        <f aca="false">COUNT(AT7:AT20)+COUNT(AT24:AT27)</f>
        <v>1</v>
      </c>
      <c r="AU22" s="194" t="n">
        <f aca="false">COUNT(AU7:AU20)+COUNT(AU24:AU27)</f>
        <v>1</v>
      </c>
      <c r="AV22" s="194" t="n">
        <f aca="false">COUNT(AV7:AV20)+COUNT(AV24:AV27)</f>
        <v>1</v>
      </c>
      <c r="AW22" s="194" t="n">
        <f aca="false">COUNT(AW7:AW20)+COUNT(AW24:AW27)</f>
        <v>1</v>
      </c>
      <c r="AX22" s="194" t="n">
        <f aca="false">COUNT(AX7:AX20)+COUNT(AX24:AX27)</f>
        <v>1</v>
      </c>
      <c r="AY22" s="194" t="n">
        <f aca="false">COUNT(AY7:AY20)+COUNT(AY24:AY27)</f>
        <v>0</v>
      </c>
      <c r="AZ22" s="194" t="n">
        <f aca="false">COUNT(AZ7:AZ20)+COUNT(AZ24:AZ27)</f>
        <v>0</v>
      </c>
      <c r="BA22" s="194" t="n">
        <f aca="false">COUNT(BA7:BA20)+COUNT(BA24:BA27)</f>
        <v>0</v>
      </c>
      <c r="BB22" s="194" t="n">
        <f aca="false">COUNT(BB7:BB20)+COUNT(BB24:BB27)</f>
        <v>0</v>
      </c>
      <c r="BC22" s="194" t="n">
        <f aca="false">COUNT(BC7:BC20)+COUNT(BC24:BC27)</f>
        <v>0</v>
      </c>
      <c r="BD22" s="194" t="n">
        <f aca="false">COUNT(BD7:BD20)+COUNT(BD24:BD27)</f>
        <v>0</v>
      </c>
      <c r="BE22" s="194" t="n">
        <f aca="false">COUNT(BE7:BE20)+COUNT(BE24:BE27)</f>
        <v>0</v>
      </c>
      <c r="BF22" s="194" t="n">
        <f aca="false">COUNT(BF7:BF20)+COUNT(BF24:BF27)</f>
        <v>0</v>
      </c>
      <c r="BG22" s="194" t="n">
        <f aca="false">COUNT(BG7:BG20)+COUNT(BG24:BG27)</f>
        <v>0</v>
      </c>
      <c r="BH22" s="194" t="n">
        <f aca="false">COUNT(BH7:BH20)+COUNT(BH24:BH27)</f>
        <v>0</v>
      </c>
      <c r="BI22" s="194" t="n">
        <f aca="false">COUNT(BI7:BI20)+COUNT(BI24:BI27)</f>
        <v>0</v>
      </c>
      <c r="BJ22" s="194" t="n">
        <f aca="false">COUNT(BJ7:BJ20)+COUNT(BJ24:BJ27)</f>
        <v>0</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601</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0</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str">
        <f aca="false">IF(Model!W31=0,"",Model!W31)</f>
        <v/>
      </c>
      <c r="Z28" s="192" t="str">
        <f aca="false">IF(Model!X31=0,"",Model!X31)</f>
        <v/>
      </c>
      <c r="AA28" s="192" t="str">
        <f aca="false">IF(Model!Y31=0,"",Model!Y31)</f>
        <v/>
      </c>
      <c r="AB28" s="192" t="str">
        <f aca="false">IF(Model!Z31=0,"",Model!Z31)</f>
        <v/>
      </c>
      <c r="AC28" s="192" t="str">
        <f aca="false">IF(Model!AA31=0,"",Model!AA31)</f>
        <v/>
      </c>
      <c r="AD28" s="192" t="str">
        <f aca="false">IF(Model!AB31=0,"",Model!AB31)</f>
        <v/>
      </c>
      <c r="AE28" s="192" t="str">
        <f aca="false">IF(Model!AC31=0,"",Model!AC31)</f>
        <v/>
      </c>
      <c r="AF28" s="192" t="str">
        <f aca="false">IF(Model!AD31=0,"",Model!AD31)</f>
        <v/>
      </c>
      <c r="AG28" s="192" t="str">
        <f aca="false">IF(Model!AE31=0,"",Model!AE31)</f>
        <v/>
      </c>
      <c r="AH28" s="192" t="str">
        <f aca="false">IF(Model!AF31=0,"",Model!AF31)</f>
        <v/>
      </c>
      <c r="AI28" s="192" t="str">
        <f aca="false">IF(Model!AG31=0,"",Model!AG31)</f>
        <v/>
      </c>
      <c r="AJ28" s="192" t="str">
        <f aca="false">IF(Model!AH31=0,"",Model!AH31)</f>
        <v/>
      </c>
      <c r="AK28" s="192" t="str">
        <f aca="false">IF(Model!AI31=0,"",Model!AI31)</f>
        <v/>
      </c>
      <c r="AL28" s="192" t="str">
        <f aca="false">IF(Model!AJ31=0,"",Model!AJ31)</f>
        <v/>
      </c>
      <c r="AM28" s="192" t="str">
        <f aca="false">IF(Model!AK31=0,"",Model!AK31)</f>
        <v/>
      </c>
      <c r="AN28" s="192" t="str">
        <f aca="false">IF(Model!AL31=0,"",Model!AL31)</f>
        <v/>
      </c>
      <c r="AO28" s="192" t="str">
        <f aca="false">IF(Model!AM31=0,"",Model!AM31)</f>
        <v/>
      </c>
      <c r="AP28" s="192" t="str">
        <f aca="false">IF(Model!AN31=0,"",Model!AN31)</f>
        <v/>
      </c>
      <c r="AQ28" s="192" t="str">
        <f aca="false">IF(Model!AO31=0,"",Model!AO31)</f>
        <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602</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0</v>
      </c>
      <c r="Z53" s="193" t="n">
        <f aca="false">SUM(Z28:Z52)</f>
        <v>0</v>
      </c>
      <c r="AA53" s="193" t="n">
        <f aca="false">SUM(AA28:AA52)</f>
        <v>0</v>
      </c>
      <c r="AB53" s="193" t="n">
        <f aca="false">SUM(AB28:AB52)</f>
        <v>0</v>
      </c>
      <c r="AC53" s="193" t="n">
        <f aca="false">SUM(AC28:AC52)</f>
        <v>0</v>
      </c>
      <c r="AD53" s="193" t="n">
        <f aca="false">SUM(AD28:AD52)</f>
        <v>0</v>
      </c>
      <c r="AE53" s="193" t="n">
        <f aca="false">SUM(AE28:AE52)</f>
        <v>0</v>
      </c>
      <c r="AF53" s="193" t="n">
        <f aca="false">SUM(AF28:AF52)</f>
        <v>0</v>
      </c>
      <c r="AG53" s="193" t="n">
        <f aca="false">SUM(AG28:AG52)</f>
        <v>0</v>
      </c>
      <c r="AH53" s="193" t="n">
        <f aca="false">SUM(AH28:AH52)</f>
        <v>0</v>
      </c>
      <c r="AI53" s="193" t="n">
        <f aca="false">SUM(AI28:AI52)</f>
        <v>0</v>
      </c>
      <c r="AJ53" s="193" t="n">
        <f aca="false">SUM(AJ28:AJ52)</f>
        <v>0</v>
      </c>
      <c r="AK53" s="193" t="n">
        <f aca="false">SUM(AK28:AK52)</f>
        <v>0</v>
      </c>
      <c r="AL53" s="193" t="n">
        <f aca="false">SUM(AL28:AL52)</f>
        <v>0</v>
      </c>
      <c r="AM53" s="193" t="n">
        <f aca="false">SUM(AM28:AM52)</f>
        <v>0</v>
      </c>
      <c r="AN53" s="193" t="n">
        <f aca="false">SUM(AN28:AN52)</f>
        <v>0</v>
      </c>
      <c r="AO53" s="193" t="n">
        <f aca="false">SUM(AO28:AO52)</f>
        <v>0</v>
      </c>
      <c r="AP53" s="193" t="n">
        <f aca="false">SUM(AP28:AP52)</f>
        <v>0</v>
      </c>
      <c r="AQ53" s="193" t="n">
        <f aca="false">SUM(AQ28:AQ52)</f>
        <v>0</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603</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0</v>
      </c>
      <c r="Z54" s="194" t="n">
        <f aca="false">COUNT(Z28:Z52)</f>
        <v>0</v>
      </c>
      <c r="AA54" s="194" t="n">
        <f aca="false">COUNT(AA28:AA52)</f>
        <v>0</v>
      </c>
      <c r="AB54" s="194" t="n">
        <f aca="false">COUNT(AB28:AB52)</f>
        <v>0</v>
      </c>
      <c r="AC54" s="194" t="n">
        <f aca="false">COUNT(AC28:AC52)</f>
        <v>0</v>
      </c>
      <c r="AD54" s="194" t="n">
        <f aca="false">COUNT(AD28:AD52)</f>
        <v>0</v>
      </c>
      <c r="AE54" s="194" t="n">
        <f aca="false">COUNT(AE28:AE52)</f>
        <v>0</v>
      </c>
      <c r="AF54" s="194" t="n">
        <f aca="false">COUNT(AF28:AF52)</f>
        <v>0</v>
      </c>
      <c r="AG54" s="194" t="n">
        <f aca="false">COUNT(AG28:AG52)</f>
        <v>0</v>
      </c>
      <c r="AH54" s="194" t="n">
        <f aca="false">COUNT(AH28:AH52)</f>
        <v>0</v>
      </c>
      <c r="AI54" s="194" t="n">
        <f aca="false">COUNT(AI28:AI52)</f>
        <v>0</v>
      </c>
      <c r="AJ54" s="194" t="n">
        <f aca="false">COUNT(AJ28:AJ52)</f>
        <v>0</v>
      </c>
      <c r="AK54" s="194" t="n">
        <f aca="false">COUNT(AK28:AK52)</f>
        <v>0</v>
      </c>
      <c r="AL54" s="194" t="n">
        <f aca="false">COUNT(AL28:AL52)</f>
        <v>0</v>
      </c>
      <c r="AM54" s="194" t="n">
        <f aca="false">COUNT(AM28:AM52)</f>
        <v>0</v>
      </c>
      <c r="AN54" s="194" t="n">
        <f aca="false">COUNT(AN28:AN52)</f>
        <v>0</v>
      </c>
      <c r="AO54" s="194" t="n">
        <f aca="false">COUNT(AO28:AO52)</f>
        <v>0</v>
      </c>
      <c r="AP54" s="194" t="n">
        <f aca="false">COUNT(AP28:AP52)</f>
        <v>0</v>
      </c>
      <c r="AQ54" s="194" t="n">
        <f aca="false">COUNT(AQ28:AQ52)</f>
        <v>0</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604</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802409.260423653</v>
      </c>
      <c r="T55" s="196" t="n">
        <f aca="false">Model!R10+Model!R11+Model!R56</f>
        <v>759089.990423653</v>
      </c>
      <c r="U55" s="196" t="n">
        <f aca="false">Model!S10+Model!S11+Model!S56</f>
        <v>944046.78448087</v>
      </c>
      <c r="V55" s="196" t="n">
        <f aca="false">Model!T10+Model!T11+Model!T56</f>
        <v>1038121.58448087</v>
      </c>
      <c r="W55" s="196" t="n">
        <f aca="false">Model!U10+Model!U11+Model!U56</f>
        <v>929680.61448087</v>
      </c>
      <c r="X55" s="196" t="n">
        <f aca="false">Model!V10+Model!V11+Model!V56</f>
        <v>1003967.98448087</v>
      </c>
      <c r="Y55" s="196" t="n">
        <f aca="false">Model!W10+Model!W11+Model!W56</f>
        <v>824910.41448087</v>
      </c>
      <c r="Z55" s="196" t="n">
        <f aca="false">Model!X10+Model!X11+Model!X56</f>
        <v>999525.95448087</v>
      </c>
      <c r="AA55" s="196" t="n">
        <f aca="false">Model!Y10+Model!Y11+Model!Y56</f>
        <v>837765.13448087</v>
      </c>
      <c r="AB55" s="196" t="n">
        <f aca="false">Model!Z10+Model!Z11+Model!Z56</f>
        <v>964111.31448087</v>
      </c>
      <c r="AC55" s="196" t="n">
        <f aca="false">Model!AA10+Model!AA11+Model!AA56</f>
        <v>993349.967842009</v>
      </c>
      <c r="AD55" s="196" t="n">
        <f aca="false">Model!AB10+Model!AB11+Model!AB56</f>
        <v>807018.245741507</v>
      </c>
      <c r="AE55" s="196" t="n">
        <f aca="false">Model!AC10+Model!AC11+Model!AC56</f>
        <v>578292.776497952</v>
      </c>
      <c r="AF55" s="196" t="n">
        <f aca="false">Model!AD10+Model!AD11+Model!AD56</f>
        <v>601242.686497952</v>
      </c>
      <c r="AG55" s="196" t="n">
        <f aca="false">Model!AE10+Model!AE11+Model!AE56</f>
        <v>592174.696497952</v>
      </c>
      <c r="AH55" s="196" t="n">
        <f aca="false">Model!AF10+Model!AF11+Model!AF56</f>
        <v>751106.903216602</v>
      </c>
      <c r="AI55" s="196" t="n">
        <f aca="false">Model!AG10+Model!AG11+Model!AG56</f>
        <v>686616.526260252</v>
      </c>
      <c r="AJ55" s="196" t="n">
        <f aca="false">Model!AH10+Model!AH11+Model!AH56</f>
        <v>549923.203298352</v>
      </c>
      <c r="AK55" s="196" t="n">
        <f aca="false">Model!AI10+Model!AI11+Model!AI56</f>
        <v>543756.333298352</v>
      </c>
      <c r="AL55" s="196" t="n">
        <f aca="false">Model!AJ10+Model!AJ11+Model!AJ56</f>
        <v>549127.432866102</v>
      </c>
      <c r="AM55" s="196" t="n">
        <f aca="false">Model!AK10+Model!AK11+Model!AK56</f>
        <v>294793.014057217</v>
      </c>
      <c r="AN55" s="196" t="n">
        <f aca="false">Model!AL10+Model!AL11+Model!AL56</f>
        <v>309103.084057217</v>
      </c>
      <c r="AO55" s="196" t="n">
        <f aca="false">Model!AM10+Model!AM11+Model!AM56</f>
        <v>320984.864057217</v>
      </c>
      <c r="AP55" s="196" t="n">
        <f aca="false">Model!AN10+Model!AN11+Model!AN56</f>
        <v>212502.814057217</v>
      </c>
      <c r="AQ55" s="196" t="n">
        <f aca="false">Model!AO10+Model!AO11+Model!AO56</f>
        <v>172574.204057217</v>
      </c>
      <c r="AR55" s="196" t="n">
        <f aca="false">Model!AP10+Model!AP11+Model!AP56</f>
        <v>172574.204057217</v>
      </c>
      <c r="AS55" s="196" t="n">
        <f aca="false">Model!AQ10+Model!AQ11+Model!AQ56</f>
        <v>172574.204057217</v>
      </c>
      <c r="AT55" s="196" t="n">
        <f aca="false">Model!AR10+Model!AR11+Model!AR56</f>
        <v>172574.204057217</v>
      </c>
      <c r="AU55" s="196" t="n">
        <f aca="false">Model!AS10+Model!AS11+Model!AS56</f>
        <v>172574.204057217</v>
      </c>
      <c r="AV55" s="196" t="n">
        <f aca="false">Model!AT10+Model!AT11+Model!AT56</f>
        <v>172574.204057217</v>
      </c>
      <c r="AW55" s="196" t="n">
        <f aca="false">Model!AU10+Model!AU11+Model!AU56</f>
        <v>172574.204057217</v>
      </c>
      <c r="AX55" s="196" t="n">
        <f aca="false">Model!AV10+Model!AV11+Model!AV56</f>
        <v>445059.789410717</v>
      </c>
      <c r="AY55" s="196" t="n">
        <f aca="false">Model!AW10+Model!AW11+Model!AW56</f>
        <v>0</v>
      </c>
      <c r="AZ55" s="196" t="n">
        <f aca="false">Model!AX10+Model!AX11+Model!AX56</f>
        <v>0</v>
      </c>
      <c r="BA55" s="196" t="n">
        <f aca="false">Model!AY10+Model!AY11+Model!AY56</f>
        <v>0</v>
      </c>
      <c r="BB55" s="196" t="n">
        <f aca="false">Model!AZ10+Model!AZ11+Model!AZ56</f>
        <v>0</v>
      </c>
      <c r="BC55" s="196" t="n">
        <f aca="false">Model!BA10+Model!BA11+Model!BA56</f>
        <v>0</v>
      </c>
      <c r="BD55" s="196" t="n">
        <f aca="false">Model!BB10+Model!BB11+Model!BB56</f>
        <v>0</v>
      </c>
      <c r="BE55" s="196" t="n">
        <f aca="false">Model!BC10+Model!BC11+Model!BC56</f>
        <v>0</v>
      </c>
      <c r="BF55" s="196" t="n">
        <f aca="false">Model!BD10+Model!BD11+Model!BD56</f>
        <v>0</v>
      </c>
      <c r="BG55" s="196" t="n">
        <f aca="false">Model!BE10+Model!BE11+Model!BE56</f>
        <v>0</v>
      </c>
      <c r="BH55" s="196" t="n">
        <f aca="false">Model!BF10+Model!BF11+Model!BF56</f>
        <v>0</v>
      </c>
      <c r="BI55" s="196" t="n">
        <f aca="false">Model!BG10+Model!BG11+Model!BG56</f>
        <v>0</v>
      </c>
      <c r="BJ55" s="196" t="n">
        <f aca="false">Model!BH10+Model!BH11+Model!BH56</f>
        <v>0</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605</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7216815.69840183</v>
      </c>
      <c r="T56" s="199" t="n">
        <f aca="false">T21+T53+T55</f>
        <v>7135463.0694895</v>
      </c>
      <c r="U56" s="199" t="n">
        <f aca="false">U21+U53+U55</f>
        <v>8171614.08852291</v>
      </c>
      <c r="V56" s="199" t="n">
        <f aca="false">V21+V53+V55</f>
        <v>9297511.17806928</v>
      </c>
      <c r="W56" s="199" t="n">
        <f aca="false">W21+W53+W55</f>
        <v>8649665.27624111</v>
      </c>
      <c r="X56" s="199" t="n">
        <f aca="false">X21+X53+X55</f>
        <v>9281538.73932159</v>
      </c>
      <c r="Y56" s="199" t="n">
        <f aca="false">Y21+Y53+Y55</f>
        <v>7882281.38389864</v>
      </c>
      <c r="Z56" s="199" t="n">
        <f aca="false">Z21+Z53+Z55</f>
        <v>9231145.45663681</v>
      </c>
      <c r="AA56" s="199" t="n">
        <f aca="false">AA21+AA53+AA55</f>
        <v>7786975.60911169</v>
      </c>
      <c r="AB56" s="199" t="n">
        <f aca="false">AB21+AB53+AB55</f>
        <v>8606473.2954797</v>
      </c>
      <c r="AC56" s="199" t="n">
        <f aca="false">AC21+AC53+AC55</f>
        <v>7887472.53716654</v>
      </c>
      <c r="AD56" s="199" t="n">
        <f aca="false">AD21+AD53+AD55</f>
        <v>6546915.52282788</v>
      </c>
      <c r="AE56" s="199" t="n">
        <f aca="false">AE21+AE53+AE55</f>
        <v>5437869.2525759</v>
      </c>
      <c r="AF56" s="199" t="n">
        <f aca="false">AF21+AF53+AF55</f>
        <v>5411378.3309954</v>
      </c>
      <c r="AG56" s="199" t="n">
        <f aca="false">AG21+AG53+AG55</f>
        <v>5104041.59288768</v>
      </c>
      <c r="AH56" s="199" t="n">
        <f aca="false">AH21+AH53+AH55</f>
        <v>5125414.38114436</v>
      </c>
      <c r="AI56" s="199" t="n">
        <f aca="false">AI21+AI53+AI55</f>
        <v>5437965.678928</v>
      </c>
      <c r="AJ56" s="199" t="n">
        <f aca="false">AJ21+AJ53+AJ55</f>
        <v>4919645.632125</v>
      </c>
      <c r="AK56" s="199" t="n">
        <f aca="false">AK21+AK53+AK55</f>
        <v>4761677.24709</v>
      </c>
      <c r="AL56" s="199" t="n">
        <f aca="false">AL21+AL53+AL55</f>
        <v>3646869.172295</v>
      </c>
      <c r="AM56" s="199" t="n">
        <f aca="false">AM21+AM53+AM55</f>
        <v>2948974.91715</v>
      </c>
      <c r="AN56" s="199" t="n">
        <f aca="false">AN21+AN53+AN55</f>
        <v>2988017.75523</v>
      </c>
      <c r="AO56" s="199" t="n">
        <f aca="false">AO21+AO53+AO55</f>
        <v>2992424.50244</v>
      </c>
      <c r="AP56" s="199" t="n">
        <f aca="false">AP21+AP53+AP55</f>
        <v>2010200.33113</v>
      </c>
      <c r="AQ56" s="199" t="n">
        <f aca="false">AQ21+AQ53+AQ55</f>
        <v>1573110.79104</v>
      </c>
      <c r="AR56" s="199" t="n">
        <f aca="false">AR21+AR53+AR55</f>
        <v>1452248.51514</v>
      </c>
      <c r="AS56" s="199" t="n">
        <f aca="false">AS21+AS53+AS55</f>
        <v>1327357.49671</v>
      </c>
      <c r="AT56" s="199" t="n">
        <f aca="false">AT21+AT53+AT55</f>
        <v>1201153.74195</v>
      </c>
      <c r="AU56" s="199" t="n">
        <f aca="false">AU21+AU53+AU55</f>
        <v>1076126.92321</v>
      </c>
      <c r="AV56" s="199" t="n">
        <f aca="false">AV21+AV53+AV55</f>
        <v>954540.37899</v>
      </c>
      <c r="AW56" s="199" t="n">
        <f aca="false">AW21+AW53+AW55</f>
        <v>838250.04686</v>
      </c>
      <c r="AX56" s="199" t="n">
        <f aca="false">AX21+AX53+AX55</f>
        <v>728840.26377</v>
      </c>
      <c r="AY56" s="199" t="n">
        <f aca="false">AY21+AY53+AY55</f>
        <v>0</v>
      </c>
      <c r="AZ56" s="199" t="n">
        <f aca="false">AZ21+AZ53+AZ55</f>
        <v>0</v>
      </c>
      <c r="BA56" s="199" t="n">
        <f aca="false">BA21+BA53+BA55</f>
        <v>0</v>
      </c>
      <c r="BB56" s="199" t="n">
        <f aca="false">BB21+BB53+BB55</f>
        <v>0</v>
      </c>
      <c r="BC56" s="199" t="n">
        <f aca="false">BC21+BC53+BC55</f>
        <v>0</v>
      </c>
      <c r="BD56" s="199" t="n">
        <f aca="false">BD21+BD53+BD55</f>
        <v>0</v>
      </c>
      <c r="BE56" s="199" t="n">
        <f aca="false">BE21+BE53+BE55</f>
        <v>0</v>
      </c>
      <c r="BF56" s="199" t="n">
        <f aca="false">BF21+BF53+BF55</f>
        <v>0</v>
      </c>
      <c r="BG56" s="199" t="n">
        <f aca="false">BG21+BG53+BG55</f>
        <v>0</v>
      </c>
      <c r="BH56" s="199" t="n">
        <f aca="false">BH21+BH53+BH55</f>
        <v>0</v>
      </c>
      <c r="BI56" s="199" t="n">
        <f aca="false">BI21+BI53+BI55</f>
        <v>0</v>
      </c>
      <c r="BJ56" s="199" t="n">
        <f aca="false">BJ21+BJ53+BJ55</f>
        <v>0</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606</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11</v>
      </c>
      <c r="T57" s="200" t="n">
        <f aca="false">T22+T54</f>
        <v>11</v>
      </c>
      <c r="U57" s="200" t="n">
        <f aca="false">U22+U54</f>
        <v>12</v>
      </c>
      <c r="V57" s="200" t="n">
        <f aca="false">V22+V54</f>
        <v>11</v>
      </c>
      <c r="W57" s="200" t="n">
        <f aca="false">W22+W54</f>
        <v>11</v>
      </c>
      <c r="X57" s="200" t="n">
        <f aca="false">X22+X54</f>
        <v>10</v>
      </c>
      <c r="Y57" s="200" t="n">
        <f aca="false">Y22+Y54</f>
        <v>9</v>
      </c>
      <c r="Z57" s="200" t="n">
        <f aca="false">Z22+Z54</f>
        <v>8</v>
      </c>
      <c r="AA57" s="200" t="n">
        <f aca="false">AA22+AA54</f>
        <v>8</v>
      </c>
      <c r="AB57" s="200" t="n">
        <f aca="false">AB22+AB54</f>
        <v>8</v>
      </c>
      <c r="AC57" s="200" t="n">
        <f aca="false">AC22+AC54</f>
        <v>8</v>
      </c>
      <c r="AD57" s="200" t="n">
        <f aca="false">AD22+AD54</f>
        <v>7</v>
      </c>
      <c r="AE57" s="200" t="n">
        <f aca="false">AE22+AE54</f>
        <v>6</v>
      </c>
      <c r="AF57" s="200" t="n">
        <f aca="false">AF22+AF54</f>
        <v>6</v>
      </c>
      <c r="AG57" s="200" t="n">
        <f aca="false">AG22+AG54</f>
        <v>6</v>
      </c>
      <c r="AH57" s="200" t="n">
        <f aca="false">AH22+AH54</f>
        <v>6</v>
      </c>
      <c r="AI57" s="200" t="n">
        <f aca="false">AI22+AI54</f>
        <v>4</v>
      </c>
      <c r="AJ57" s="200" t="n">
        <f aca="false">AJ22+AJ54</f>
        <v>3</v>
      </c>
      <c r="AK57" s="200" t="n">
        <f aca="false">AK22+AK54</f>
        <v>3</v>
      </c>
      <c r="AL57" s="200" t="n">
        <f aca="false">AL22+AL54</f>
        <v>3</v>
      </c>
      <c r="AM57" s="200" t="n">
        <f aca="false">AM22+AM54</f>
        <v>2</v>
      </c>
      <c r="AN57" s="200" t="n">
        <f aca="false">AN22+AN54</f>
        <v>2</v>
      </c>
      <c r="AO57" s="200" t="n">
        <f aca="false">AO22+AO54</f>
        <v>2</v>
      </c>
      <c r="AP57" s="200" t="n">
        <f aca="false">AP22+AP54</f>
        <v>2</v>
      </c>
      <c r="AQ57" s="200" t="n">
        <f aca="false">AQ22+AQ54</f>
        <v>1</v>
      </c>
      <c r="AR57" s="200" t="n">
        <f aca="false">AR22+AR54</f>
        <v>1</v>
      </c>
      <c r="AS57" s="200" t="n">
        <f aca="false">AS22+AS54</f>
        <v>1</v>
      </c>
      <c r="AT57" s="200" t="n">
        <f aca="false">AT22+AT54</f>
        <v>1</v>
      </c>
      <c r="AU57" s="200" t="n">
        <f aca="false">AU22+AU54</f>
        <v>1</v>
      </c>
      <c r="AV57" s="200" t="n">
        <f aca="false">AV22+AV54</f>
        <v>1</v>
      </c>
      <c r="AW57" s="200" t="n">
        <f aca="false">AW22+AW54</f>
        <v>1</v>
      </c>
      <c r="AX57" s="200" t="n">
        <f aca="false">AX22+AX54</f>
        <v>1</v>
      </c>
      <c r="AY57" s="200" t="n">
        <f aca="false">AY22+AY54</f>
        <v>0</v>
      </c>
      <c r="AZ57" s="200" t="n">
        <f aca="false">AZ22+AZ54</f>
        <v>0</v>
      </c>
      <c r="BA57" s="200" t="n">
        <f aca="false">BA22+BA54</f>
        <v>0</v>
      </c>
      <c r="BB57" s="200" t="n">
        <f aca="false">BB22+BB54</f>
        <v>0</v>
      </c>
      <c r="BC57" s="200" t="n">
        <f aca="false">BC22+BC54</f>
        <v>0</v>
      </c>
      <c r="BD57" s="200" t="n">
        <f aca="false">BD22+BD54</f>
        <v>0</v>
      </c>
      <c r="BE57" s="200" t="n">
        <f aca="false">BE22+BE54</f>
        <v>0</v>
      </c>
      <c r="BF57" s="200" t="n">
        <f aca="false">BF22+BF54</f>
        <v>0</v>
      </c>
      <c r="BG57" s="200" t="n">
        <f aca="false">BG22+BG54</f>
        <v>0</v>
      </c>
      <c r="BH57" s="200" t="n">
        <f aca="false">BH22+BH54</f>
        <v>0</v>
      </c>
      <c r="BI57" s="200" t="n">
        <f aca="false">BI22+BI54</f>
        <v>0</v>
      </c>
      <c r="BJ57" s="200" t="n">
        <f aca="false">BJ22+BJ54</f>
        <v>0</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607</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684929.15966</v>
      </c>
      <c r="T59" s="196" t="n">
        <f aca="false">-(Model!R236+Model!R292)</f>
        <v>684929.15966</v>
      </c>
      <c r="U59" s="196" t="n">
        <f aca="false">-(Model!S236+Model!S292)</f>
        <v>733266.58466</v>
      </c>
      <c r="V59" s="196" t="n">
        <f aca="false">-(Model!T236+Model!T292)</f>
        <v>711891.58466</v>
      </c>
      <c r="W59" s="196" t="n">
        <f aca="false">-(Model!U236+Model!U292)</f>
        <v>711891.58466</v>
      </c>
      <c r="X59" s="196" t="n">
        <f aca="false">-(Model!V236+Model!V292)</f>
        <v>711891.58466</v>
      </c>
      <c r="Y59" s="196" t="n">
        <f aca="false">-(Model!W236+Model!W292)</f>
        <v>711891.58466</v>
      </c>
      <c r="Z59" s="196" t="n">
        <f aca="false">-(Model!X236+Model!X292)</f>
        <v>711891.58466</v>
      </c>
      <c r="AA59" s="196" t="n">
        <f aca="false">-(Model!Y236+Model!Y292)</f>
        <v>711891.58466</v>
      </c>
      <c r="AB59" s="196" t="n">
        <f aca="false">-(Model!Z236+Model!Z292)</f>
        <v>703669.490429231</v>
      </c>
      <c r="AC59" s="196" t="n">
        <f aca="false">-(Model!AA236+Model!AA292)</f>
        <v>666485.705813846</v>
      </c>
      <c r="AD59" s="196" t="n">
        <f aca="false">-(Model!AB236+Model!AB292)</f>
        <v>657502.751967692</v>
      </c>
      <c r="AE59" s="196" t="n">
        <f aca="false">-(Model!AC236+Model!AC292)</f>
        <v>651877.604276277</v>
      </c>
      <c r="AF59" s="196" t="n">
        <f aca="false">-(Model!AD236+Model!AD292)</f>
        <v>624278.060660892</v>
      </c>
      <c r="AG59" s="196" t="n">
        <f aca="false">-(Model!AE236+Model!AE292)</f>
        <v>601970.3683532</v>
      </c>
      <c r="AH59" s="196" t="n">
        <f aca="false">-(Model!AF236+Model!AF292)</f>
        <v>601970.3683532</v>
      </c>
      <c r="AI59" s="196" t="n">
        <f aca="false">-(Model!AG236+Model!AG292)</f>
        <v>601970.3683532</v>
      </c>
      <c r="AJ59" s="196" t="n">
        <f aca="false">-(Model!AH236+Model!AH292)</f>
        <v>599523.615468585</v>
      </c>
      <c r="AK59" s="196" t="n">
        <f aca="false">-(Model!AI236+Model!AI292)</f>
        <v>589908.2308532</v>
      </c>
      <c r="AL59" s="196" t="n">
        <f aca="false">-(Model!AJ236+Model!AJ292)</f>
        <v>589908.2308532</v>
      </c>
      <c r="AM59" s="196" t="n">
        <f aca="false">-(Model!AK236+Model!AK292)</f>
        <v>589908.2308532</v>
      </c>
      <c r="AN59" s="196" t="n">
        <f aca="false">-(Model!AL236+Model!AL292)</f>
        <v>589908.2308532</v>
      </c>
      <c r="AO59" s="196" t="n">
        <f aca="false">-(Model!AM236+Model!AM292)</f>
        <v>589908.2308532</v>
      </c>
      <c r="AP59" s="196" t="n">
        <f aca="false">-(Model!AN236+Model!AN292)</f>
        <v>589908.2308532</v>
      </c>
      <c r="AQ59" s="196" t="n">
        <f aca="false">-(Model!AO236+Model!AO292)</f>
        <v>601063.635470264</v>
      </c>
      <c r="AR59" s="196" t="n">
        <f aca="false">-(Model!AP236+Model!AP292)</f>
        <v>601063.635470264</v>
      </c>
      <c r="AS59" s="196" t="n">
        <f aca="false">-(Model!AQ236+Model!AQ292)</f>
        <v>601063.635470264</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710526.435766128</v>
      </c>
      <c r="CD59" s="196" t="n">
        <f aca="false">-(Model!CB236+Model!CB292)</f>
        <v>635886.435766128</v>
      </c>
      <c r="CE59" s="196" t="n">
        <f aca="false">-(Model!CC236+Model!CC292)</f>
        <v>635886.435766128</v>
      </c>
      <c r="CF59" s="196" t="n">
        <f aca="false">-(Model!CD236+Model!CD292)</f>
        <v>717249.435766128</v>
      </c>
      <c r="CG59" s="196" t="n">
        <f aca="false">-(Model!CE236+Model!CE292)</f>
        <v>635886.435766128</v>
      </c>
      <c r="CH59" s="196" t="n">
        <f aca="false">-(Model!CF236+Model!CF292)</f>
        <v>635886.435766128</v>
      </c>
      <c r="CI59" s="196" t="n">
        <f aca="false">-(Model!CG236+Model!CG292)</f>
        <v>717248.435766128</v>
      </c>
      <c r="CJ59" s="196" t="n">
        <f aca="false">-(Model!CH236+Model!CH292)</f>
        <v>635886.435766128</v>
      </c>
      <c r="CK59" s="196" t="n">
        <f aca="false">-(Model!CI236+Model!CI292)</f>
        <v>635886.435766128</v>
      </c>
      <c r="CL59" s="196" t="n">
        <f aca="false">-(Model!CJ236+Model!CJ292)</f>
        <v>710640.409159649</v>
      </c>
      <c r="CM59" s="196" t="n">
        <f aca="false">-(Model!CK236+Model!CK292)</f>
        <v>647961.404481451</v>
      </c>
      <c r="CN59" s="196" t="n">
        <f aca="false">-(Model!CL236+Model!CL292)</f>
        <v>647961.404481451</v>
      </c>
      <c r="CO59" s="196" t="n">
        <f aca="false">-(Model!CM236+Model!CM292)</f>
        <v>647961.404481451</v>
      </c>
      <c r="CP59" s="196" t="n">
        <f aca="false">-(Model!CN236+Model!CN292)</f>
        <v>647961.404481451</v>
      </c>
      <c r="CQ59" s="196" t="n">
        <f aca="false">-(Model!CO236+Model!CO292)</f>
        <v>647961.404481451</v>
      </c>
      <c r="CR59" s="196" t="n">
        <f aca="false">-(Model!CP236+Model!CP292)</f>
        <v>647961.404481451</v>
      </c>
      <c r="CS59" s="196" t="n">
        <f aca="false">-(Model!CQ236+Model!CQ292)</f>
        <v>647961.404481451</v>
      </c>
      <c r="CT59" s="196" t="n">
        <f aca="false">-(Model!CR236+Model!CR292)</f>
        <v>647961.404481451</v>
      </c>
      <c r="CU59" s="196" t="n">
        <f aca="false">-(Model!CS236+Model!CS292)</f>
        <v>647961.404481451</v>
      </c>
      <c r="CV59" s="196" t="n">
        <f aca="false">-(Model!CT236+Model!CT292)</f>
        <v>601697.645441313</v>
      </c>
      <c r="CW59" s="196" t="n">
        <f aca="false">-(Model!CU236+Model!CU292)</f>
        <v>601697.645441313</v>
      </c>
      <c r="CX59" s="196" t="n">
        <f aca="false">-(Model!CV236+Model!CV292)</f>
        <v>601697.645441313</v>
      </c>
      <c r="CY59" s="196" t="n">
        <f aca="false">-(Model!CW236+Model!CW292)</f>
        <v>613088.838350139</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608</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784331.530423652</v>
      </c>
      <c r="T60" s="196" t="n">
        <f aca="false">Model!R199</f>
        <v>728413.490423653</v>
      </c>
      <c r="U60" s="196" t="n">
        <f aca="false">Model!S199</f>
        <v>84565.6538158457</v>
      </c>
      <c r="V60" s="196" t="n">
        <f aca="false">Model!T199</f>
        <v>963746.914480871</v>
      </c>
      <c r="W60" s="196" t="n">
        <f aca="false">Model!U199</f>
        <v>858017.624480872</v>
      </c>
      <c r="X60" s="196" t="n">
        <f aca="false">Model!V199</f>
        <v>936596.714480868</v>
      </c>
      <c r="Y60" s="196" t="n">
        <f aca="false">Model!W199</f>
        <v>824910.41448087</v>
      </c>
      <c r="Z60" s="196" t="n">
        <f aca="false">Model!X199</f>
        <v>999525.95448087</v>
      </c>
      <c r="AA60" s="196" t="n">
        <f aca="false">Model!Y199</f>
        <v>837765.134480869</v>
      </c>
      <c r="AB60" s="196" t="n">
        <f aca="false">Model!Z199</f>
        <v>964111.314480869</v>
      </c>
      <c r="AC60" s="196" t="n">
        <f aca="false">Model!AA199</f>
        <v>993349.967842009</v>
      </c>
      <c r="AD60" s="196" t="n">
        <f aca="false">Model!AB199</f>
        <v>807018.245741507</v>
      </c>
      <c r="AE60" s="196" t="n">
        <f aca="false">Model!AC199</f>
        <v>578292.776497952</v>
      </c>
      <c r="AF60" s="196" t="n">
        <f aca="false">Model!AD199</f>
        <v>601242.686497952</v>
      </c>
      <c r="AG60" s="196" t="n">
        <f aca="false">Model!AE199</f>
        <v>592174.696497953</v>
      </c>
      <c r="AH60" s="196" t="n">
        <f aca="false">Model!AF199</f>
        <v>751106.903216602</v>
      </c>
      <c r="AI60" s="196" t="n">
        <f aca="false">Model!AG199</f>
        <v>686616.526260252</v>
      </c>
      <c r="AJ60" s="196" t="n">
        <f aca="false">Model!AH199</f>
        <v>549923.203298352</v>
      </c>
      <c r="AK60" s="196" t="n">
        <f aca="false">Model!AI199</f>
        <v>543756.333298353</v>
      </c>
      <c r="AL60" s="196" t="n">
        <f aca="false">Model!AJ199</f>
        <v>549127.432866102</v>
      </c>
      <c r="AM60" s="196" t="n">
        <f aca="false">Model!AK199</f>
        <v>294793.014057217</v>
      </c>
      <c r="AN60" s="196" t="n">
        <f aca="false">Model!AL199</f>
        <v>309103.084057217</v>
      </c>
      <c r="AO60" s="196" t="n">
        <f aca="false">Model!AM199</f>
        <v>320984.864057217</v>
      </c>
      <c r="AP60" s="196" t="n">
        <f aca="false">Model!AN199</f>
        <v>212502.814057217</v>
      </c>
      <c r="AQ60" s="196" t="n">
        <f aca="false">Model!AO199</f>
        <v>172574.204057217</v>
      </c>
      <c r="AR60" s="196" t="n">
        <f aca="false">Model!AP199</f>
        <v>172574.204057217</v>
      </c>
      <c r="AS60" s="196" t="n">
        <f aca="false">Model!AQ199</f>
        <v>172574.204057217</v>
      </c>
      <c r="AT60" s="196" t="n">
        <f aca="false">Model!AR199</f>
        <v>172574.204057217</v>
      </c>
      <c r="AU60" s="196" t="n">
        <f aca="false">Model!AS199</f>
        <v>172574.204057217</v>
      </c>
      <c r="AV60" s="196" t="n">
        <f aca="false">Model!AT199</f>
        <v>172574.204057217</v>
      </c>
      <c r="AW60" s="196" t="n">
        <f aca="false">Model!AU199</f>
        <v>172574.204057217</v>
      </c>
      <c r="AX60" s="196" t="n">
        <f aca="false">Model!AV199</f>
        <v>445059.789410717</v>
      </c>
      <c r="AY60" s="196" t="n">
        <f aca="false">Model!AW199</f>
        <v>0</v>
      </c>
      <c r="AZ60" s="196" t="n">
        <f aca="false">Model!AX199</f>
        <v>0</v>
      </c>
      <c r="BA60" s="196" t="n">
        <f aca="false">Model!AY199</f>
        <v>0</v>
      </c>
      <c r="BB60" s="196" t="n">
        <f aca="false">Model!AZ199</f>
        <v>0</v>
      </c>
      <c r="BC60" s="196" t="n">
        <f aca="false">Model!BA199</f>
        <v>0</v>
      </c>
      <c r="BD60" s="196" t="n">
        <f aca="false">Model!BB199</f>
        <v>0</v>
      </c>
      <c r="BE60" s="196" t="n">
        <f aca="false">Model!BC199</f>
        <v>0</v>
      </c>
      <c r="BF60" s="196" t="n">
        <f aca="false">Model!BD199</f>
        <v>0</v>
      </c>
      <c r="BG60" s="196" t="n">
        <f aca="false">Model!BE199</f>
        <v>0</v>
      </c>
      <c r="BH60" s="196" t="n">
        <f aca="false">Model!BF199</f>
        <v>0</v>
      </c>
      <c r="BI60" s="196" t="n">
        <f aca="false">Model!BG199</f>
        <v>0</v>
      </c>
      <c r="BJ60" s="196" t="n">
        <f aca="false">Model!BH199</f>
        <v>0</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609</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0.108681108566669</v>
      </c>
      <c r="T61" s="201" t="n">
        <f aca="false">IFERROR(T60/T56,0)</f>
        <v>0.102083562528447</v>
      </c>
      <c r="U61" s="201" t="n">
        <f aca="false">IFERROR(U60/U56,0)</f>
        <v>0.0103487087006004</v>
      </c>
      <c r="V61" s="201" t="n">
        <f aca="false">IFERROR(V60/V56,0)</f>
        <v>0.103656440527238</v>
      </c>
      <c r="W61" s="201" t="n">
        <f aca="false">IFERROR(W60/W56,0)</f>
        <v>0.0991966275085434</v>
      </c>
      <c r="X61" s="201" t="n">
        <f aca="false">IFERROR(X60/X56,0)</f>
        <v>0.100909638022943</v>
      </c>
      <c r="Y61" s="201" t="n">
        <f aca="false">IFERROR(Y60/Y56,0)</f>
        <v>0.104653763841258</v>
      </c>
      <c r="Z61" s="201" t="n">
        <f aca="false">IFERROR(Z60/Z56,0)</f>
        <v>0.108277565246494</v>
      </c>
      <c r="AA61" s="201" t="n">
        <f aca="false">IFERROR(AA60/AA56,0)</f>
        <v>0.107585431948777</v>
      </c>
      <c r="AB61" s="201" t="n">
        <f aca="false">IFERROR(AB60/AB56,0)</f>
        <v>0.11202164712313</v>
      </c>
      <c r="AC61" s="201" t="n">
        <f aca="false">IFERROR(AC60/AC56,0)</f>
        <v>0.125940212553673</v>
      </c>
      <c r="AD61" s="201" t="n">
        <f aca="false">IFERROR(AD60/AD56,0)</f>
        <v>0.123266940428296</v>
      </c>
      <c r="AE61" s="201" t="n">
        <f aca="false">IFERROR(AE60/AE56,0)</f>
        <v>0.106345472764726</v>
      </c>
      <c r="AF61" s="201" t="n">
        <f aca="false">IFERROR(AF60/AF56,0)</f>
        <v>0.111107124603383</v>
      </c>
      <c r="AG61" s="201" t="n">
        <f aca="false">IFERROR(AG60/AG56,0)</f>
        <v>0.1160207427234</v>
      </c>
      <c r="AH61" s="201" t="n">
        <f aca="false">IFERROR(AH60/AH56,0)</f>
        <v>0.146545595606828</v>
      </c>
      <c r="AI61" s="201" t="n">
        <f aca="false">IFERROR(AI60/AI56,0)</f>
        <v>0.126263490209377</v>
      </c>
      <c r="AJ61" s="201" t="n">
        <f aca="false">IFERROR(AJ60/AJ56,0)</f>
        <v>0.111781059942079</v>
      </c>
      <c r="AK61" s="201" t="n">
        <f aca="false">IFERROR(AK60/AK56,0)</f>
        <v>0.114194285979937</v>
      </c>
      <c r="AL61" s="201" t="n">
        <f aca="false">IFERROR(AL60/AL56,0)</f>
        <v>0.150575029408179</v>
      </c>
      <c r="AM61" s="201" t="n">
        <f aca="false">IFERROR(AM60/AM56,0)</f>
        <v>0.0999645715339335</v>
      </c>
      <c r="AN61" s="201" t="n">
        <f aca="false">IFERROR(AN60/AN56,0)</f>
        <v>0.103447539264513</v>
      </c>
      <c r="AO61" s="201" t="n">
        <f aca="false">IFERROR(AO60/AO56,0)</f>
        <v>0.10726581866827</v>
      </c>
      <c r="AP61" s="201" t="n">
        <f aca="false">IFERROR(AP60/AP56,0)</f>
        <v>0.105712257015579</v>
      </c>
      <c r="AQ61" s="201" t="n">
        <f aca="false">IFERROR(AQ60/AQ56,0)</f>
        <v>0.109702511126458</v>
      </c>
      <c r="AR61" s="201" t="n">
        <f aca="false">IFERROR(AR60/AR56,0)</f>
        <v>0.118832419009621</v>
      </c>
      <c r="AS61" s="201" t="n">
        <f aca="false">IFERROR(AS60/AS56,0)</f>
        <v>0.130013356978026</v>
      </c>
      <c r="AT61" s="201" t="n">
        <f aca="false">IFERROR(AT60/AT56,0)</f>
        <v>0.143673701400666</v>
      </c>
      <c r="AU61" s="201" t="n">
        <f aca="false">IFERROR(AU60/AU56,0)</f>
        <v>0.160366031492309</v>
      </c>
      <c r="AV61" s="201" t="n">
        <f aca="false">IFERROR(AV60/AV56,0)</f>
        <v>0.180792984619276</v>
      </c>
      <c r="AW61" s="201" t="n">
        <f aca="false">IFERROR(AW60/AW56,0)</f>
        <v>0.205874374482486</v>
      </c>
      <c r="AX61" s="201" t="n">
        <f aca="false">IFERROR(AX60/AX56,0)</f>
        <v>0.610641057491253</v>
      </c>
      <c r="AY61" s="201" t="n">
        <f aca="false">IFERROR(AY60/AY56,0)</f>
        <v>0</v>
      </c>
      <c r="AZ61" s="201" t="n">
        <f aca="false">IFERROR(AZ60/AZ56,0)</f>
        <v>0</v>
      </c>
      <c r="BA61" s="201" t="n">
        <f aca="false">IFERROR(BA60/BA56,0)</f>
        <v>0</v>
      </c>
      <c r="BB61" s="201" t="n">
        <f aca="false">IFERROR(BB60/BB56,0)</f>
        <v>0</v>
      </c>
      <c r="BC61" s="201" t="n">
        <f aca="false">IFERROR(BC60/BC56,0)</f>
        <v>0</v>
      </c>
      <c r="BD61" s="201" t="n">
        <f aca="false">IFERROR(BD60/BD56,0)</f>
        <v>0</v>
      </c>
      <c r="BE61" s="201" t="n">
        <f aca="false">IFERROR(BE60/BE56,0)</f>
        <v>0</v>
      </c>
      <c r="BF61" s="201" t="n">
        <f aca="false">IFERROR(BF60/BF56,0)</f>
        <v>0</v>
      </c>
      <c r="BG61" s="201" t="n">
        <f aca="false">IFERROR(BG60/BG56,0)</f>
        <v>0</v>
      </c>
      <c r="BH61" s="201" t="n">
        <f aca="false">IFERROR(BH60/BH56,0)</f>
        <v>0</v>
      </c>
      <c r="BI61" s="201" t="n">
        <f aca="false">IFERROR(BI60/BI56,0)</f>
        <v>0</v>
      </c>
      <c r="BJ61" s="201" t="n">
        <f aca="false">IFERROR(BJ60/BJ56,0)</f>
        <v>0</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610</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4604525.96860561</v>
      </c>
      <c r="N62" s="196" t="n">
        <f aca="false">IF(N61&gt;0,N59/N61,"n/m")</f>
        <v>5006444.27459499</v>
      </c>
      <c r="O62" s="196" t="n">
        <f aca="false">IF(O61&gt;0,O59/O61,"n/m")</f>
        <v>13580196.3887086</v>
      </c>
      <c r="P62" s="196" t="n">
        <f aca="false">IF(P61&gt;0,P59/P61,"n/m")</f>
        <v>4543367.23432813</v>
      </c>
      <c r="Q62" s="196" t="n">
        <f aca="false">IF(Q61&gt;0,Q59/Q61,"n/m")</f>
        <v>5733164.47338286</v>
      </c>
      <c r="R62" s="196" t="n">
        <f aca="false">IF(R61&gt;0,R59/R61,"n/m")</f>
        <v>5838621.79519574</v>
      </c>
      <c r="S62" s="196" t="n">
        <f aca="false">IF(S61&gt;0,S59/S61,"n/m")</f>
        <v>6302191.50957443</v>
      </c>
      <c r="T62" s="196" t="n">
        <f aca="false">IF(T61&gt;0,T59/T61,"n/m")</f>
        <v>6709495.07144343</v>
      </c>
      <c r="U62" s="196" t="n">
        <f aca="false">IF(U61&gt;0,U59/U61,"n/m")</f>
        <v>70855853.2155281</v>
      </c>
      <c r="V62" s="196" t="n">
        <f aca="false">IF(V61&gt;0,V59/V61,"n/m")</f>
        <v>6867798.8655508</v>
      </c>
      <c r="W62" s="196" t="n">
        <f aca="false">IF(W61&gt;0,W59/W61,"n/m")</f>
        <v>7176570.43933966</v>
      </c>
      <c r="X62" s="196" t="n">
        <f aca="false">IF(X61&gt;0,X59/X61,"n/m")</f>
        <v>7054743.21985122</v>
      </c>
      <c r="Y62" s="196" t="n">
        <f aca="false">IF(Y61&gt;0,Y59/Y61,"n/m")</f>
        <v>6802350.51784493</v>
      </c>
      <c r="Z62" s="196" t="n">
        <f aca="false">IF(Z61&gt;0,Z59/Z61,"n/m")</f>
        <v>6574691.47038334</v>
      </c>
      <c r="AA62" s="196" t="n">
        <f aca="false">IF(AA61&gt;0,AA59/AA61,"n/m")</f>
        <v>6616988.67369835</v>
      </c>
      <c r="AB62" s="196" t="n">
        <f aca="false">IF(AB61&gt;0,AB59/AB61,"n/m")</f>
        <v>6281549.22285497</v>
      </c>
      <c r="AC62" s="196" t="n">
        <f aca="false">IF(AC61&gt;0,AC59/AC61,"n/m")</f>
        <v>5292080.20456379</v>
      </c>
      <c r="AD62" s="196" t="n">
        <f aca="false">IF(AD61&gt;0,AD59/AD61,"n/m")</f>
        <v>5333974.78418118</v>
      </c>
      <c r="AE62" s="196" t="n">
        <f aca="false">IF(AE61&gt;0,AE59/AE61,"n/m")</f>
        <v>6129810.58176743</v>
      </c>
      <c r="AF62" s="196" t="n">
        <f aca="false">IF(AF61&gt;0,AF59/AF61,"n/m")</f>
        <v>5618704.13701521</v>
      </c>
      <c r="AG62" s="196" t="n">
        <f aca="false">IF(AG61&gt;0,AG59/AG61,"n/m")</f>
        <v>5188471.94236925</v>
      </c>
      <c r="AH62" s="196" t="n">
        <f aca="false">IF(AH61&gt;0,AH59/AH61,"n/m")</f>
        <v>4107734.29157329</v>
      </c>
      <c r="AI62" s="196" t="n">
        <f aca="false">IF(AI61&gt;0,AI59/AI61,"n/m")</f>
        <v>4767572.69544016</v>
      </c>
      <c r="AJ62" s="196" t="n">
        <f aca="false">IF(AJ61&gt;0,AJ59/AJ61,"n/m")</f>
        <v>5363373.8647606</v>
      </c>
      <c r="AK62" s="196" t="n">
        <f aca="false">IF(AK61&gt;0,AK59/AK61,"n/m")</f>
        <v>5165829.67169517</v>
      </c>
      <c r="AL62" s="196" t="n">
        <f aca="false">IF(AL61&gt;0,AL59/AL61,"n/m")</f>
        <v>3917702.90978377</v>
      </c>
      <c r="AM62" s="196" t="n">
        <f aca="false">IF(AM61&gt;0,AM59/AM61,"n/m")</f>
        <v>5901173.00360711</v>
      </c>
      <c r="AN62" s="196" t="n">
        <f aca="false">IF(AN61&gt;0,AN59/AN61,"n/m")</f>
        <v>5702486.83581366</v>
      </c>
      <c r="AO62" s="196" t="n">
        <f aca="false">IF(AO61&gt;0,AO59/AO61,"n/m")</f>
        <v>5499498.70496537</v>
      </c>
      <c r="AP62" s="196" t="n">
        <f aca="false">IF(AP61&gt;0,AP59/AP61,"n/m")</f>
        <v>5580320.08309371</v>
      </c>
      <c r="AQ62" s="196" t="n">
        <f aca="false">IF(AQ61&gt;0,AQ59/AQ61,"n/m")</f>
        <v>5479032.60644049</v>
      </c>
      <c r="AR62" s="196" t="n">
        <f aca="false">IF(AR61&gt;0,AR59/AR61,"n/m")</f>
        <v>5058077.9258697</v>
      </c>
      <c r="AS62" s="196" t="n">
        <f aca="false">IF(AS61&gt;0,AS59/AS61,"n/m")</f>
        <v>4623091.42261322</v>
      </c>
      <c r="AT62" s="196" t="n">
        <f aca="false">IF(AT61&gt;0,AT59/AT61,"n/m")</f>
        <v>4183532.75241421</v>
      </c>
      <c r="AU62" s="196" t="n">
        <f aca="false">IF(AU61&gt;0,AU59/AU61,"n/m")</f>
        <v>3748073.26637056</v>
      </c>
      <c r="AV62" s="196" t="n">
        <f aca="false">IF(AV61&gt;0,AV59/AV61,"n/m")</f>
        <v>3776400.04620772</v>
      </c>
      <c r="AW62" s="196" t="n">
        <f aca="false">IF(AW61&gt;0,AW59/AW61,"n/m")</f>
        <v>2919565.08419847</v>
      </c>
      <c r="AX62" s="196" t="n">
        <f aca="false">IF(AX61&gt;0,AX59/AX61,"n/m")</f>
        <v>984315.790915965</v>
      </c>
      <c r="AY62" s="196" t="str">
        <f aca="false">IF(AY61&gt;0,AY59/AY61,"n/m")</f>
        <v>n/m</v>
      </c>
      <c r="AZ62" s="196" t="str">
        <f aca="false">IF(AZ61&gt;0,AZ59/AZ61,"n/m")</f>
        <v>n/m</v>
      </c>
      <c r="BA62" s="196" t="str">
        <f aca="false">IF(BA61&gt;0,BA59/BA61,"n/m")</f>
        <v>n/m</v>
      </c>
      <c r="BB62" s="196" t="str">
        <f aca="false">IF(BB61&gt;0,BB59/BB61,"n/m")</f>
        <v>n/m</v>
      </c>
      <c r="BC62" s="196" t="str">
        <f aca="false">IF(BC61&gt;0,BC59/BC61,"n/m")</f>
        <v>n/m</v>
      </c>
      <c r="BD62" s="196" t="str">
        <f aca="false">IF(BD61&gt;0,BD59/BD61,"n/m")</f>
        <v>n/m</v>
      </c>
      <c r="BE62" s="196" t="str">
        <f aca="false">IF(BE61&gt;0,BE59/BE61,"n/m")</f>
        <v>n/m</v>
      </c>
      <c r="BF62" s="196" t="str">
        <f aca="false">IF(BF61&gt;0,BF59/BF61,"n/m")</f>
        <v>n/m</v>
      </c>
      <c r="BG62" s="196" t="str">
        <f aca="false">IF(BG61&gt;0,BG59/BG61,"n/m")</f>
        <v>n/m</v>
      </c>
      <c r="BH62" s="196" t="str">
        <f aca="false">IF(BH61&gt;0,BH59/BH61,"n/m")</f>
        <v>n/m</v>
      </c>
      <c r="BI62" s="196" t="str">
        <f aca="false">IF(BI61&gt;0,BI59/BI61,"n/m")</f>
        <v>n/m</v>
      </c>
      <c r="BJ62" s="196" t="str">
        <f aca="false">IF(BJ61&gt;0,BJ59/BJ61,"n/m")</f>
        <v>n/m</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611</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1470224.15987215</v>
      </c>
      <c r="N63" s="201" t="n">
        <f aca="false">IF(ISNUMBER(N62),N56-N62,N60-N59)</f>
        <v>216746.465752528</v>
      </c>
      <c r="O63" s="201" t="n">
        <f aca="false">IF(ISNUMBER(O62),O56-O62,O60-O59)</f>
        <v>-7978219.82063721</v>
      </c>
      <c r="P63" s="201" t="n">
        <f aca="false">IF(ISNUMBER(P62),P56-P62,P60-P59)</f>
        <v>2011208.12018605</v>
      </c>
      <c r="Q63" s="201" t="n">
        <f aca="false">IF(ISNUMBER(Q62),Q56-Q62,Q60-Q59)</f>
        <v>838293.208797239</v>
      </c>
      <c r="R63" s="201" t="n">
        <f aca="false">IF(ISNUMBER(R62),R56-R62,R60-R59)</f>
        <v>1441590.42573421</v>
      </c>
      <c r="S63" s="201" t="n">
        <f aca="false">IF(ISNUMBER(S62),S56-S62,S60-S59)</f>
        <v>914624.188827398</v>
      </c>
      <c r="T63" s="201" t="n">
        <f aca="false">IF(ISNUMBER(T62),T56-T62,T60-T59)</f>
        <v>425967.998046069</v>
      </c>
      <c r="U63" s="201" t="n">
        <f aca="false">IF(ISNUMBER(U62),U56-U62,U60-U59)</f>
        <v>-62684239.1270052</v>
      </c>
      <c r="V63" s="201" t="n">
        <f aca="false">IF(ISNUMBER(V62),V56-V62,V60-V59)</f>
        <v>2429712.31251849</v>
      </c>
      <c r="W63" s="201" t="n">
        <f aca="false">IF(ISNUMBER(W62),W56-W62,W60-W59)</f>
        <v>1473094.83690145</v>
      </c>
      <c r="X63" s="201" t="n">
        <f aca="false">IF(ISNUMBER(X62),X56-X62,X60-X59)</f>
        <v>2226795.51947037</v>
      </c>
      <c r="Y63" s="201" t="n">
        <f aca="false">IF(ISNUMBER(Y62),Y56-Y62,Y60-Y59)</f>
        <v>1079930.86605371</v>
      </c>
      <c r="Z63" s="201" t="n">
        <f aca="false">IF(ISNUMBER(Z62),Z56-Z62,Z60-Z59)</f>
        <v>2656453.98625347</v>
      </c>
      <c r="AA63" s="201" t="n">
        <f aca="false">IF(ISNUMBER(AA62),AA56-AA62,AA60-AA59)</f>
        <v>1169986.93541334</v>
      </c>
      <c r="AB63" s="201" t="n">
        <f aca="false">IF(ISNUMBER(AB62),AB56-AB62,AB60-AB59)</f>
        <v>2324924.07262473</v>
      </c>
      <c r="AC63" s="201" t="n">
        <f aca="false">IF(ISNUMBER(AC62),AC56-AC62,AC60-AC59)</f>
        <v>2595392.33260275</v>
      </c>
      <c r="AD63" s="201" t="n">
        <f aca="false">IF(ISNUMBER(AD62),AD56-AD62,AD60-AD59)</f>
        <v>1212940.73864669</v>
      </c>
      <c r="AE63" s="201" t="n">
        <f aca="false">IF(ISNUMBER(AE62),AE56-AE62,AE60-AE59)</f>
        <v>-691941.329191522</v>
      </c>
      <c r="AF63" s="201" t="n">
        <f aca="false">IF(ISNUMBER(AF62),AF56-AF62,AF60-AF59)</f>
        <v>-207325.806019817</v>
      </c>
      <c r="AG63" s="201" t="n">
        <f aca="false">IF(ISNUMBER(AG62),AG56-AG62,AG60-AG59)</f>
        <v>-84430.3494815659</v>
      </c>
      <c r="AH63" s="201" t="n">
        <f aca="false">IF(ISNUMBER(AH62),AH56-AH62,AH60-AH59)</f>
        <v>1017680.08957107</v>
      </c>
      <c r="AI63" s="201" t="n">
        <f aca="false">IF(ISNUMBER(AI62),AI56-AI62,AI60-AI59)</f>
        <v>670392.983487843</v>
      </c>
      <c r="AJ63" s="201" t="n">
        <f aca="false">IF(ISNUMBER(AJ62),AJ56-AJ62,AJ60-AJ59)</f>
        <v>-443728.232635602</v>
      </c>
      <c r="AK63" s="201" t="n">
        <f aca="false">IF(ISNUMBER(AK62),AK56-AK62,AK60-AK59)</f>
        <v>-404152.42460517</v>
      </c>
      <c r="AL63" s="201" t="n">
        <f aca="false">IF(ISNUMBER(AL62),AL56-AL62,AL60-AL59)</f>
        <v>-270833.737488766</v>
      </c>
      <c r="AM63" s="201" t="n">
        <f aca="false">IF(ISNUMBER(AM62),AM56-AM62,AM60-AM59)</f>
        <v>-2952198.08645711</v>
      </c>
      <c r="AN63" s="201" t="n">
        <f aca="false">IF(ISNUMBER(AN62),AN56-AN62,AN60-AN59)</f>
        <v>-2714469.08058366</v>
      </c>
      <c r="AO63" s="201" t="n">
        <f aca="false">IF(ISNUMBER(AO62),AO56-AO62,AO60-AO59)</f>
        <v>-2507074.20252537</v>
      </c>
      <c r="AP63" s="201" t="n">
        <f aca="false">IF(ISNUMBER(AP62),AP56-AP62,AP60-AP59)</f>
        <v>-3570119.75196371</v>
      </c>
      <c r="AQ63" s="201" t="n">
        <f aca="false">IF(ISNUMBER(AQ62),AQ56-AQ62,AQ60-AQ59)</f>
        <v>-3905921.81540049</v>
      </c>
      <c r="AR63" s="201" t="n">
        <f aca="false">IF(ISNUMBER(AR62),AR56-AR62,AR60-AR59)</f>
        <v>-3605829.4107297</v>
      </c>
      <c r="AS63" s="201" t="n">
        <f aca="false">IF(ISNUMBER(AS62),AS56-AS62,AS60-AS59)</f>
        <v>-3295733.92590322</v>
      </c>
      <c r="AT63" s="201" t="n">
        <f aca="false">IF(ISNUMBER(AT62),AT56-AT62,AT60-AT59)</f>
        <v>-2982379.01046421</v>
      </c>
      <c r="AU63" s="201" t="n">
        <f aca="false">IF(ISNUMBER(AU62),AU56-AU62,AU60-AU59)</f>
        <v>-2671946.34316057</v>
      </c>
      <c r="AV63" s="201" t="n">
        <f aca="false">IF(ISNUMBER(AV62),AV56-AV62,AV60-AV59)</f>
        <v>-2821859.66721772</v>
      </c>
      <c r="AW63" s="201" t="n">
        <f aca="false">IF(ISNUMBER(AW62),AW56-AW62,AW60-AW59)</f>
        <v>-2081315.03733847</v>
      </c>
      <c r="AX63" s="201" t="n">
        <f aca="false">IF(ISNUMBER(AX62),AX56-AX62,AX60-AX59)</f>
        <v>-255475.527145965</v>
      </c>
      <c r="AY63" s="201" t="n">
        <f aca="false">IF(ISNUMBER(AY62),AY56-AY62,AY60-AY59)</f>
        <v>-682745.635470264</v>
      </c>
      <c r="AZ63" s="201" t="n">
        <f aca="false">IF(ISNUMBER(AZ62),AZ56-AZ62,AZ60-AZ59)</f>
        <v>-601063.635470264</v>
      </c>
      <c r="BA63" s="201" t="n">
        <f aca="false">IF(ISNUMBER(BA62),BA56-BA62,BA60-BA59)</f>
        <v>-601063.635470264</v>
      </c>
      <c r="BB63" s="201" t="n">
        <f aca="false">IF(ISNUMBER(BB62),BB56-BB62,BB60-BB59)</f>
        <v>-682745.635470264</v>
      </c>
      <c r="BC63" s="201" t="n">
        <f aca="false">IF(ISNUMBER(BC62),BC56-BC62,BC60-BC59)</f>
        <v>-612442.148179669</v>
      </c>
      <c r="BD63" s="201" t="n">
        <f aca="false">IF(ISNUMBER(BD62),BD56-BD62,BD60-BD59)</f>
        <v>-612442.148179669</v>
      </c>
      <c r="BE63" s="201" t="n">
        <f aca="false">IF(ISNUMBER(BE62),BE56-BE62,BE60-BE59)</f>
        <v>-1545963.14817967</v>
      </c>
      <c r="BF63" s="201" t="n">
        <f aca="false">IF(ISNUMBER(BF62),BF56-BF62,BF60-BF59)</f>
        <v>-612442.148179669</v>
      </c>
      <c r="BG63" s="201" t="n">
        <f aca="false">IF(ISNUMBER(BG62),BG56-BG62,BG60-BG59)</f>
        <v>-612442.148179669</v>
      </c>
      <c r="BH63" s="201" t="n">
        <f aca="false">IF(ISNUMBER(BH62),BH56-BH62,BH60-BH59)</f>
        <v>-743320.148179669</v>
      </c>
      <c r="BI63" s="201" t="n">
        <f aca="false">IF(ISNUMBER(BI62),BI56-BI62,BI60-BI59)</f>
        <v>-612442.148179669</v>
      </c>
      <c r="BJ63" s="201" t="n">
        <f aca="false">IF(ISNUMBER(BJ62),BJ56-BJ62,BJ60-BJ59)</f>
        <v>-612442.148179669</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-710526.435766128</v>
      </c>
      <c r="CD63" s="201" t="n">
        <f aca="false">IF(ISNUMBER(CD62),CD56-CD62,CD60-CD59)</f>
        <v>-635886.435766128</v>
      </c>
      <c r="CE63" s="201" t="n">
        <f aca="false">IF(ISNUMBER(CE62),CE56-CE62,CE60-CE59)</f>
        <v>-635886.435766128</v>
      </c>
      <c r="CF63" s="201" t="n">
        <f aca="false">IF(ISNUMBER(CF62),CF56-CF62,CF60-CF59)</f>
        <v>-717249.435766128</v>
      </c>
      <c r="CG63" s="201" t="n">
        <f aca="false">IF(ISNUMBER(CG62),CG56-CG62,CG60-CG59)</f>
        <v>-635886.435766128</v>
      </c>
      <c r="CH63" s="201" t="n">
        <f aca="false">IF(ISNUMBER(CH62),CH56-CH62,CH60-CH59)</f>
        <v>-635886.435766128</v>
      </c>
      <c r="CI63" s="201" t="n">
        <f aca="false">IF(ISNUMBER(CI62),CI56-CI62,CI60-CI59)</f>
        <v>-717248.435766128</v>
      </c>
      <c r="CJ63" s="201" t="n">
        <f aca="false">IF(ISNUMBER(CJ62),CJ56-CJ62,CJ60-CJ59)</f>
        <v>-635886.435766128</v>
      </c>
      <c r="CK63" s="201" t="n">
        <f aca="false">IF(ISNUMBER(CK62),CK56-CK62,CK60-CK59)</f>
        <v>-635886.435766128</v>
      </c>
      <c r="CL63" s="201" t="n">
        <f aca="false">IF(ISNUMBER(CL62),CL56-CL62,CL60-CL59)</f>
        <v>-710640.409159649</v>
      </c>
      <c r="CM63" s="201" t="n">
        <f aca="false">IF(ISNUMBER(CM62),CM56-CM62,CM60-CM59)</f>
        <v>-647961.404481451</v>
      </c>
      <c r="CN63" s="201" t="n">
        <f aca="false">IF(ISNUMBER(CN62),CN56-CN62,CN60-CN59)</f>
        <v>-647961.404481451</v>
      </c>
      <c r="CO63" s="201" t="n">
        <f aca="false">IF(ISNUMBER(CO62),CO56-CO62,CO60-CO59)</f>
        <v>-647961.404481451</v>
      </c>
      <c r="CP63" s="201" t="n">
        <f aca="false">IF(ISNUMBER(CP62),CP56-CP62,CP60-CP59)</f>
        <v>-647961.404481451</v>
      </c>
      <c r="CQ63" s="201" t="n">
        <f aca="false">IF(ISNUMBER(CQ62),CQ56-CQ62,CQ60-CQ59)</f>
        <v>-647961.404481451</v>
      </c>
      <c r="CR63" s="201" t="n">
        <f aca="false">IF(ISNUMBER(CR62),CR56-CR62,CR60-CR59)</f>
        <v>-647961.404481451</v>
      </c>
      <c r="CS63" s="201" t="n">
        <f aca="false">IF(ISNUMBER(CS62),CS56-CS62,CS60-CS59)</f>
        <v>-647961.404481451</v>
      </c>
      <c r="CT63" s="201" t="n">
        <f aca="false">IF(ISNUMBER(CT62),CT56-CT62,CT60-CT59)</f>
        <v>-647961.404481451</v>
      </c>
      <c r="CU63" s="201" t="n">
        <f aca="false">IF(ISNUMBER(CU62),CU56-CU62,CU60-CU59)</f>
        <v>-647961.404481451</v>
      </c>
      <c r="CV63" s="201" t="n">
        <f aca="false">IF(ISNUMBER(CV62),CV56-CV62,CV60-CV59)</f>
        <v>-601697.645441313</v>
      </c>
      <c r="CW63" s="201" t="n">
        <f aca="false">IF(ISNUMBER(CW62),CW56-CW62,CW60-CW59)</f>
        <v>-601697.645441313</v>
      </c>
      <c r="CX63" s="201" t="n">
        <f aca="false">IF(ISNUMBER(CX62),CX56-CX62,CX60-CX59)</f>
        <v>-601697.645441313</v>
      </c>
      <c r="CY63" s="201" t="n">
        <f aca="false">IF(ISNUMBER(CY62),CY56-CY62,CY60-CY59)</f>
        <v>-613088.838350139</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612</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1.31929978675251</v>
      </c>
      <c r="N64" s="202" t="n">
        <f aca="false">IFERROR(N60/N59,"")</f>
        <v>1.04329349411765</v>
      </c>
      <c r="O64" s="202" t="n">
        <f aca="false">IFERROR(O60/O59,"")</f>
        <v>0.412510718381746</v>
      </c>
      <c r="P64" s="202" t="n">
        <f aca="false">IFERROR(P60/P59,"")</f>
        <v>1.44266906381462</v>
      </c>
      <c r="Q64" s="202" t="n">
        <f aca="false">IFERROR(Q60/Q59,"")</f>
        <v>1.14621823823286</v>
      </c>
      <c r="R64" s="202" t="n">
        <f aca="false">IFERROR(R60/R59,"")</f>
        <v>1.24690594395417</v>
      </c>
      <c r="S64" s="202" t="n">
        <f aca="false">IFERROR(S60/S59,"")</f>
        <v>1.14512795865341</v>
      </c>
      <c r="T64" s="202" t="n">
        <f aca="false">IFERROR(T60/T59,"")</f>
        <v>1.06348734047947</v>
      </c>
      <c r="U64" s="202" t="n">
        <f aca="false">IFERROR(U60/U59,"")</f>
        <v>0.115327297854514</v>
      </c>
      <c r="V64" s="202" t="n">
        <f aca="false">IFERROR(V60/V59,"")</f>
        <v>1.35378326594654</v>
      </c>
      <c r="W64" s="202" t="n">
        <f aca="false">IFERROR(W60/W59,"")</f>
        <v>1.20526445735506</v>
      </c>
      <c r="X64" s="202" t="n">
        <f aca="false">IFERROR(X60/X59,"")</f>
        <v>1.31564515533385</v>
      </c>
      <c r="Y64" s="202" t="n">
        <f aca="false">IFERROR(Y60/Y59,"")</f>
        <v>1.15875848550007</v>
      </c>
      <c r="Z64" s="202" t="n">
        <f aca="false">IFERROR(Z60/Z59,"")</f>
        <v>1.40404237951239</v>
      </c>
      <c r="AA64" s="202" t="n">
        <f aca="false">IFERROR(AA60/AA59,"")</f>
        <v>1.17681561705914</v>
      </c>
      <c r="AB64" s="202" t="n">
        <f aca="false">IFERROR(AB60/AB59,"")</f>
        <v>1.370119534233</v>
      </c>
      <c r="AC64" s="202" t="n">
        <f aca="false">IFERROR(AC60/AC59,"")</f>
        <v>1.4904295158574</v>
      </c>
      <c r="AD64" s="202" t="n">
        <f aca="false">IFERROR(AD60/AD59,"")</f>
        <v>1.22739903875134</v>
      </c>
      <c r="AE64" s="202" t="n">
        <f aca="false">IFERROR(AE60/AE59,"")</f>
        <v>0.887118644212329</v>
      </c>
      <c r="AF64" s="202" t="n">
        <f aca="false">IFERROR(AF60/AF59,"")</f>
        <v>0.963100778940471</v>
      </c>
      <c r="AG64" s="202" t="n">
        <f aca="false">IFERROR(AG60/AG59,"")</f>
        <v>0.983727318867795</v>
      </c>
      <c r="AH64" s="202" t="n">
        <f aca="false">IFERROR(AH60/AH59,"")</f>
        <v>1.24774730236538</v>
      </c>
      <c r="AI64" s="202" t="n">
        <f aca="false">IFERROR(AI60/AI59,"")</f>
        <v>1.14061515708592</v>
      </c>
      <c r="AJ64" s="202" t="n">
        <f aca="false">IFERROR(AJ60/AJ59,"")</f>
        <v>0.917266958480917</v>
      </c>
      <c r="AK64" s="202" t="n">
        <f aca="false">IFERROR(AK60/AK59,"")</f>
        <v>0.921764275965269</v>
      </c>
      <c r="AL64" s="202" t="n">
        <f aca="false">IFERROR(AL60/AL59,"")</f>
        <v>0.930869250750891</v>
      </c>
      <c r="AM64" s="202" t="n">
        <f aca="false">IFERROR(AM60/AM59,"")</f>
        <v>0.499726904354004</v>
      </c>
      <c r="AN64" s="202" t="n">
        <f aca="false">IFERROR(AN60/AN59,"")</f>
        <v>0.523985033418083</v>
      </c>
      <c r="AO64" s="202" t="n">
        <f aca="false">IFERROR(AO60/AO59,"")</f>
        <v>0.544126776452954</v>
      </c>
      <c r="AP64" s="202" t="n">
        <f aca="false">IFERROR(AP60/AP59,"")</f>
        <v>0.360230291667347</v>
      </c>
      <c r="AQ64" s="202" t="n">
        <f aca="false">IFERROR(AQ60/AQ59,"")</f>
        <v>0.287114697801002</v>
      </c>
      <c r="AR64" s="202" t="n">
        <f aca="false">IFERROR(AR60/AR59,"")</f>
        <v>0.287114697801002</v>
      </c>
      <c r="AS64" s="202" t="n">
        <f aca="false">IFERROR(AS60/AS59,"")</f>
        <v>0.287114697801002</v>
      </c>
      <c r="AT64" s="202" t="n">
        <f aca="false">IFERROR(AT60/AT59,"")</f>
        <v>0.287114697801002</v>
      </c>
      <c r="AU64" s="202" t="n">
        <f aca="false">IFERROR(AU60/AU59,"")</f>
        <v>0.287114697801002</v>
      </c>
      <c r="AV64" s="202" t="n">
        <f aca="false">IFERROR(AV60/AV59,"")</f>
        <v>0.252764634919586</v>
      </c>
      <c r="AW64" s="202" t="n">
        <f aca="false">IFERROR(AW60/AW59,"")</f>
        <v>0.287114697801002</v>
      </c>
      <c r="AX64" s="202" t="n">
        <f aca="false">IFERROR(AX60/AX59,"")</f>
        <v>0.740453694328901</v>
      </c>
      <c r="AY64" s="202" t="n">
        <f aca="false">IFERROR(AY60/AY59,"")</f>
        <v>0</v>
      </c>
      <c r="AZ64" s="202" t="n">
        <f aca="false">IFERROR(AZ60/AZ59,"")</f>
        <v>0</v>
      </c>
      <c r="BA64" s="202" t="n">
        <f aca="false">IFERROR(BA60/BA59,"")</f>
        <v>0</v>
      </c>
      <c r="BB64" s="202" t="n">
        <f aca="false">IFERROR(BB60/BB59,"")</f>
        <v>0</v>
      </c>
      <c r="BC64" s="202" t="n">
        <f aca="false">IFERROR(BC60/BC59,"")</f>
        <v>0</v>
      </c>
      <c r="BD64" s="202" t="n">
        <f aca="false">IFERROR(BD60/BD59,"")</f>
        <v>0</v>
      </c>
      <c r="BE64" s="202" t="n">
        <f aca="false">IFERROR(BE60/BE59,"")</f>
        <v>0</v>
      </c>
      <c r="BF64" s="202" t="n">
        <f aca="false">IFERROR(BF60/BF59,"")</f>
        <v>0</v>
      </c>
      <c r="BG64" s="202" t="n">
        <f aca="false">IFERROR(BG60/BG59,"")</f>
        <v>0</v>
      </c>
      <c r="BH64" s="202" t="n">
        <f aca="false">IFERROR(BH60/BH59,"")</f>
        <v>0</v>
      </c>
      <c r="BI64" s="202" t="n">
        <f aca="false">IFERROR(BI60/BI59,"")</f>
        <v>0</v>
      </c>
      <c r="BJ64" s="202" t="n">
        <f aca="false">IFERROR(BJ60/BJ59,"")</f>
        <v>0</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613</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614</v>
      </c>
    </row>
    <row r="2" customFormat="false" ht="13.5" hidden="false" customHeight="true" outlineLevel="0" collapsed="false">
      <c r="A2" s="205" t="s">
        <v>615</v>
      </c>
    </row>
    <row r="3" customFormat="false" ht="13.5" hidden="false" customHeight="true" outlineLevel="0" collapsed="false">
      <c r="C3" s="206" t="s">
        <v>616</v>
      </c>
      <c r="D3" s="206" t="s">
        <v>617</v>
      </c>
    </row>
    <row r="4" customFormat="false" ht="13.5" hidden="false" customHeight="true" outlineLevel="0" collapsed="false">
      <c r="A4" s="123" t="s">
        <v>618</v>
      </c>
      <c r="C4" s="118" t="n">
        <f aca="false">COUNTIFS($F$9:$F$100,"GC",$L$9:$L$100,"Current*")-COUNTIFS($A$9:$A$100,"*(Corporate)*",$F$9:$F$100,"GC")</f>
        <v>25</v>
      </c>
      <c r="D4" s="207" t="n">
        <f aca="false">SUMIFS($C$9:$C$100,$F$9:$F$100,"GC",$L$9:$L$100,"Current*")</f>
        <v>3440572</v>
      </c>
    </row>
    <row r="5" customFormat="false" ht="13.5" hidden="false" customHeight="true" outlineLevel="0" collapsed="false">
      <c r="A5" s="123" t="s">
        <v>619</v>
      </c>
      <c r="C5" s="118" t="n">
        <f aca="false">COUNTIFS($F$9:$F$100,"SixPeak",$L$9:$L$100,"Current*")</f>
        <v>7</v>
      </c>
      <c r="D5" s="207" t="n">
        <f aca="false">SUMIFS($C$9:$C$100,$F$9:$F$100,"SixPeak",$L$9:$L$100,"Current*")</f>
        <v>1787000</v>
      </c>
    </row>
    <row r="6" customFormat="false" ht="13.5" hidden="false" customHeight="true" outlineLevel="0" collapsed="false">
      <c r="A6" s="208" t="s">
        <v>620</v>
      </c>
    </row>
    <row r="8" customFormat="false" ht="27" hidden="false" customHeight="true" outlineLevel="0" collapsed="false">
      <c r="A8" s="173" t="s">
        <v>621</v>
      </c>
      <c r="B8" s="173" t="s">
        <v>622</v>
      </c>
      <c r="C8" s="173" t="s">
        <v>623</v>
      </c>
      <c r="D8" s="173" t="s">
        <v>624</v>
      </c>
      <c r="E8" s="173" t="s">
        <v>564</v>
      </c>
      <c r="F8" s="173" t="s">
        <v>573</v>
      </c>
      <c r="G8" s="173" t="s">
        <v>568</v>
      </c>
      <c r="H8" s="173" t="s">
        <v>625</v>
      </c>
      <c r="I8" s="173" t="s">
        <v>626</v>
      </c>
      <c r="J8" s="173" t="s">
        <v>627</v>
      </c>
      <c r="K8" s="173" t="s">
        <v>582</v>
      </c>
      <c r="L8" s="173" t="s">
        <v>628</v>
      </c>
      <c r="M8" s="173" t="s">
        <v>629</v>
      </c>
      <c r="N8" s="173" t="s">
        <v>630</v>
      </c>
      <c r="O8" s="173" t="s">
        <v>631</v>
      </c>
      <c r="P8" s="173" t="s">
        <v>632</v>
      </c>
      <c r="Q8" s="173" t="s">
        <v>633</v>
      </c>
    </row>
    <row r="9" customFormat="false" ht="13.5" hidden="false" customHeight="true" outlineLevel="0" collapsed="false">
      <c r="A9" s="209" t="s">
        <v>634</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635</v>
      </c>
      <c r="B10" s="109" t="s">
        <v>636</v>
      </c>
      <c r="C10" s="211" t="n">
        <v>70000</v>
      </c>
      <c r="D10" s="211" t="n">
        <f aca="false">C10/12</f>
        <v>5833.33333333333</v>
      </c>
      <c r="E10" s="180" t="n">
        <v>1</v>
      </c>
      <c r="F10" s="109" t="s">
        <v>637</v>
      </c>
      <c r="G10" s="180" t="s">
        <v>585</v>
      </c>
      <c r="H10" s="212" t="n">
        <v>0</v>
      </c>
      <c r="I10" s="212" t="n">
        <v>0</v>
      </c>
      <c r="J10" s="109" t="s">
        <v>638</v>
      </c>
      <c r="K10" s="180"/>
      <c r="L10" s="109" t="s">
        <v>639</v>
      </c>
      <c r="M10" s="109"/>
      <c r="N10" s="109"/>
      <c r="O10" s="109" t="s">
        <v>637</v>
      </c>
      <c r="P10" s="109" t="s">
        <v>640</v>
      </c>
      <c r="Q10" s="1" t="s">
        <v>585</v>
      </c>
    </row>
    <row r="11" customFormat="false" ht="13.5" hidden="false" customHeight="true" outlineLevel="0" collapsed="false">
      <c r="A11" s="213" t="s">
        <v>641</v>
      </c>
      <c r="B11" s="213" t="s">
        <v>642</v>
      </c>
      <c r="C11" s="214" t="n">
        <v>80000</v>
      </c>
      <c r="D11" s="214" t="n">
        <f aca="false">C11/12</f>
        <v>6666.66666666667</v>
      </c>
      <c r="E11" s="215" t="n">
        <v>1</v>
      </c>
      <c r="F11" s="213" t="s">
        <v>637</v>
      </c>
      <c r="G11" s="215" t="s">
        <v>585</v>
      </c>
      <c r="H11" s="216" t="n">
        <v>0.5</v>
      </c>
      <c r="I11" s="216" t="n">
        <v>0</v>
      </c>
      <c r="J11" s="213" t="s">
        <v>638</v>
      </c>
      <c r="K11" s="215"/>
      <c r="L11" s="213" t="s">
        <v>639</v>
      </c>
      <c r="M11" s="213"/>
      <c r="N11" s="213"/>
      <c r="O11" s="213" t="s">
        <v>637</v>
      </c>
      <c r="P11" s="213" t="s">
        <v>640</v>
      </c>
      <c r="Q11" s="1" t="s">
        <v>585</v>
      </c>
    </row>
    <row r="12" customFormat="false" ht="13.5" hidden="false" customHeight="true" outlineLevel="0" collapsed="false">
      <c r="A12" s="109" t="s">
        <v>643</v>
      </c>
      <c r="B12" s="109" t="s">
        <v>644</v>
      </c>
      <c r="C12" s="211" t="n">
        <v>25000</v>
      </c>
      <c r="D12" s="211" t="n">
        <f aca="false">C12/12</f>
        <v>2083.33333333333</v>
      </c>
      <c r="E12" s="180" t="n">
        <v>1</v>
      </c>
      <c r="F12" s="109" t="s">
        <v>637</v>
      </c>
      <c r="G12" s="180" t="s">
        <v>585</v>
      </c>
      <c r="H12" s="212" t="n">
        <v>0.5</v>
      </c>
      <c r="I12" s="212" t="n">
        <v>0</v>
      </c>
      <c r="J12" s="109" t="s">
        <v>638</v>
      </c>
      <c r="K12" s="180" t="n">
        <v>9</v>
      </c>
      <c r="L12" s="109" t="s">
        <v>645</v>
      </c>
      <c r="M12" s="109"/>
      <c r="N12" s="109" t="s">
        <v>646</v>
      </c>
      <c r="O12" s="109" t="s">
        <v>637</v>
      </c>
      <c r="P12" s="109" t="s">
        <v>640</v>
      </c>
      <c r="Q12" s="1" t="s">
        <v>585</v>
      </c>
    </row>
    <row r="13" customFormat="false" ht="13.5" hidden="false" customHeight="true" outlineLevel="0" collapsed="false">
      <c r="A13" s="213" t="s">
        <v>647</v>
      </c>
      <c r="B13" s="213" t="s">
        <v>644</v>
      </c>
      <c r="C13" s="214" t="n">
        <v>10000</v>
      </c>
      <c r="D13" s="214" t="n">
        <f aca="false">C13/12</f>
        <v>833.333333333333</v>
      </c>
      <c r="E13" s="215" t="n">
        <v>1</v>
      </c>
      <c r="F13" s="213" t="s">
        <v>637</v>
      </c>
      <c r="G13" s="215" t="s">
        <v>585</v>
      </c>
      <c r="H13" s="216" t="n">
        <v>0</v>
      </c>
      <c r="I13" s="216" t="n">
        <v>0</v>
      </c>
      <c r="J13" s="213" t="s">
        <v>638</v>
      </c>
      <c r="K13" s="215"/>
      <c r="L13" s="213" t="s">
        <v>639</v>
      </c>
      <c r="M13" s="213"/>
      <c r="N13" s="213"/>
      <c r="O13" s="213" t="s">
        <v>637</v>
      </c>
      <c r="P13" s="213" t="s">
        <v>640</v>
      </c>
      <c r="Q13" s="1" t="s">
        <v>585</v>
      </c>
    </row>
    <row r="14" customFormat="false" ht="13.5" hidden="false" customHeight="true" outlineLevel="0" collapsed="false">
      <c r="A14" s="109" t="s">
        <v>648</v>
      </c>
      <c r="B14" s="109" t="s">
        <v>649</v>
      </c>
      <c r="C14" s="211" t="n">
        <v>20000</v>
      </c>
      <c r="D14" s="211" t="n">
        <f aca="false">C14/12</f>
        <v>1666.66666666667</v>
      </c>
      <c r="E14" s="180" t="n">
        <v>1</v>
      </c>
      <c r="F14" s="109" t="s">
        <v>637</v>
      </c>
      <c r="G14" s="180" t="s">
        <v>585</v>
      </c>
      <c r="H14" s="212" t="n">
        <v>0</v>
      </c>
      <c r="I14" s="212" t="n">
        <v>0</v>
      </c>
      <c r="J14" s="109" t="s">
        <v>638</v>
      </c>
      <c r="K14" s="180"/>
      <c r="L14" s="109" t="s">
        <v>639</v>
      </c>
      <c r="M14" s="109"/>
      <c r="N14" s="109"/>
      <c r="O14" s="109" t="s">
        <v>637</v>
      </c>
      <c r="P14" s="109" t="s">
        <v>640</v>
      </c>
      <c r="Q14" s="1" t="s">
        <v>585</v>
      </c>
    </row>
    <row r="16" customFormat="false" ht="13.5" hidden="false" customHeight="true" outlineLevel="0" collapsed="false">
      <c r="A16" s="209" t="s">
        <v>650</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651</v>
      </c>
      <c r="B17" s="109" t="s">
        <v>642</v>
      </c>
      <c r="C17" s="211" t="n">
        <v>320000</v>
      </c>
      <c r="D17" s="211" t="n">
        <f aca="false">C17/12</f>
        <v>26666.6666666667</v>
      </c>
      <c r="E17" s="180" t="n">
        <v>1</v>
      </c>
      <c r="F17" s="109" t="s">
        <v>637</v>
      </c>
      <c r="G17" s="180" t="s">
        <v>585</v>
      </c>
      <c r="H17" s="212" t="n">
        <v>0.5</v>
      </c>
      <c r="I17" s="212" t="n">
        <v>0</v>
      </c>
      <c r="J17" s="109" t="s">
        <v>652</v>
      </c>
      <c r="K17" s="180"/>
      <c r="L17" s="109" t="s">
        <v>639</v>
      </c>
      <c r="M17" s="109"/>
      <c r="N17" s="109"/>
      <c r="O17" s="109" t="s">
        <v>637</v>
      </c>
      <c r="P17" s="109" t="s">
        <v>640</v>
      </c>
      <c r="Q17" s="1" t="s">
        <v>585</v>
      </c>
    </row>
    <row r="18" customFormat="false" ht="13.5" hidden="false" customHeight="true" outlineLevel="0" collapsed="false">
      <c r="A18" s="213" t="s">
        <v>653</v>
      </c>
      <c r="B18" s="213" t="s">
        <v>644</v>
      </c>
      <c r="C18" s="214" t="n">
        <v>225000</v>
      </c>
      <c r="D18" s="214" t="n">
        <f aca="false">C18/12</f>
        <v>18750</v>
      </c>
      <c r="E18" s="215" t="n">
        <v>1</v>
      </c>
      <c r="F18" s="213" t="s">
        <v>637</v>
      </c>
      <c r="G18" s="215" t="s">
        <v>585</v>
      </c>
      <c r="H18" s="216" t="n">
        <v>0.5</v>
      </c>
      <c r="I18" s="216" t="n">
        <v>0</v>
      </c>
      <c r="J18" s="213" t="s">
        <v>652</v>
      </c>
      <c r="K18" s="215" t="n">
        <v>9</v>
      </c>
      <c r="L18" s="213" t="s">
        <v>645</v>
      </c>
      <c r="M18" s="213"/>
      <c r="N18" s="213" t="s">
        <v>646</v>
      </c>
      <c r="O18" s="213" t="s">
        <v>637</v>
      </c>
      <c r="P18" s="213" t="s">
        <v>640</v>
      </c>
      <c r="Q18" s="1" t="s">
        <v>585</v>
      </c>
    </row>
    <row r="19" customFormat="false" ht="13.5" hidden="false" customHeight="true" outlineLevel="0" collapsed="false">
      <c r="A19" s="109" t="s">
        <v>654</v>
      </c>
      <c r="B19" s="109" t="s">
        <v>644</v>
      </c>
      <c r="C19" s="211" t="n">
        <v>180000</v>
      </c>
      <c r="D19" s="211" t="n">
        <f aca="false">C19/12</f>
        <v>15000</v>
      </c>
      <c r="E19" s="180" t="n">
        <v>1</v>
      </c>
      <c r="F19" s="109" t="s">
        <v>637</v>
      </c>
      <c r="G19" s="180" t="s">
        <v>585</v>
      </c>
      <c r="H19" s="212" t="n">
        <v>0</v>
      </c>
      <c r="I19" s="212" t="n">
        <v>0</v>
      </c>
      <c r="J19" s="109" t="s">
        <v>652</v>
      </c>
      <c r="K19" s="180"/>
      <c r="L19" s="109" t="s">
        <v>639</v>
      </c>
      <c r="M19" s="109"/>
      <c r="N19" s="109"/>
      <c r="O19" s="109" t="s">
        <v>637</v>
      </c>
      <c r="P19" s="109" t="s">
        <v>655</v>
      </c>
      <c r="Q19" s="1" t="s">
        <v>585</v>
      </c>
    </row>
    <row r="20" customFormat="false" ht="13.5" hidden="false" customHeight="true" outlineLevel="0" collapsed="false">
      <c r="A20" s="213" t="s">
        <v>656</v>
      </c>
      <c r="B20" s="213" t="s">
        <v>649</v>
      </c>
      <c r="C20" s="214" t="n">
        <v>180000</v>
      </c>
      <c r="D20" s="214" t="n">
        <f aca="false">C20/12</f>
        <v>15000</v>
      </c>
      <c r="E20" s="215" t="n">
        <v>1</v>
      </c>
      <c r="F20" s="213" t="s">
        <v>637</v>
      </c>
      <c r="G20" s="215" t="s">
        <v>585</v>
      </c>
      <c r="H20" s="216" t="n">
        <v>0</v>
      </c>
      <c r="I20" s="216" t="n">
        <v>0</v>
      </c>
      <c r="J20" s="213" t="s">
        <v>652</v>
      </c>
      <c r="K20" s="215"/>
      <c r="L20" s="213" t="s">
        <v>639</v>
      </c>
      <c r="M20" s="213"/>
      <c r="N20" s="213"/>
      <c r="O20" s="213" t="s">
        <v>637</v>
      </c>
      <c r="P20" s="213" t="s">
        <v>655</v>
      </c>
      <c r="Q20" s="1" t="s">
        <v>585</v>
      </c>
    </row>
    <row r="21" customFormat="false" ht="13.5" hidden="false" customHeight="true" outlineLevel="0" collapsed="false">
      <c r="A21" s="109" t="s">
        <v>657</v>
      </c>
      <c r="B21" s="109" t="s">
        <v>658</v>
      </c>
      <c r="C21" s="211" t="n">
        <v>105000</v>
      </c>
      <c r="D21" s="211" t="n">
        <f aca="false">C21/12</f>
        <v>8750</v>
      </c>
      <c r="E21" s="180" t="n">
        <v>3</v>
      </c>
      <c r="F21" s="109" t="s">
        <v>637</v>
      </c>
      <c r="G21" s="180" t="s">
        <v>585</v>
      </c>
      <c r="H21" s="212" t="n">
        <v>0</v>
      </c>
      <c r="I21" s="212" t="n">
        <v>0</v>
      </c>
      <c r="J21" s="109" t="s">
        <v>652</v>
      </c>
      <c r="K21" s="180"/>
      <c r="L21" s="109" t="s">
        <v>639</v>
      </c>
      <c r="M21" s="109"/>
      <c r="N21" s="109"/>
      <c r="O21" s="109" t="s">
        <v>637</v>
      </c>
      <c r="P21" s="109" t="s">
        <v>659</v>
      </c>
      <c r="Q21" s="1" t="s">
        <v>585</v>
      </c>
    </row>
    <row r="22" customFormat="false" ht="13.5" hidden="false" customHeight="true" outlineLevel="0" collapsed="false">
      <c r="A22" s="213" t="s">
        <v>660</v>
      </c>
      <c r="B22" s="213" t="s">
        <v>661</v>
      </c>
      <c r="C22" s="214" t="n">
        <v>155000</v>
      </c>
      <c r="D22" s="214" t="n">
        <f aca="false">C22/12</f>
        <v>12916.6666666667</v>
      </c>
      <c r="E22" s="215" t="n">
        <v>1</v>
      </c>
      <c r="F22" s="213" t="s">
        <v>637</v>
      </c>
      <c r="G22" s="215" t="s">
        <v>585</v>
      </c>
      <c r="H22" s="216" t="n">
        <v>0</v>
      </c>
      <c r="I22" s="216" t="n">
        <v>0</v>
      </c>
      <c r="J22" s="213" t="s">
        <v>652</v>
      </c>
      <c r="K22" s="215"/>
      <c r="L22" s="213" t="s">
        <v>639</v>
      </c>
      <c r="M22" s="213"/>
      <c r="N22" s="213"/>
      <c r="O22" s="213" t="s">
        <v>637</v>
      </c>
      <c r="P22" s="213" t="s">
        <v>655</v>
      </c>
      <c r="Q22" s="1" t="s">
        <v>585</v>
      </c>
    </row>
    <row r="23" customFormat="false" ht="13.5" hidden="false" customHeight="true" outlineLevel="0" collapsed="false">
      <c r="A23" s="109" t="s">
        <v>662</v>
      </c>
      <c r="B23" s="109" t="s">
        <v>663</v>
      </c>
      <c r="C23" s="211" t="n">
        <v>185000</v>
      </c>
      <c r="D23" s="211" t="n">
        <f aca="false">C23/12</f>
        <v>15416.6666666667</v>
      </c>
      <c r="E23" s="180" t="n">
        <v>1</v>
      </c>
      <c r="F23" s="109" t="s">
        <v>637</v>
      </c>
      <c r="G23" s="180" t="s">
        <v>585</v>
      </c>
      <c r="H23" s="212" t="n">
        <v>0</v>
      </c>
      <c r="I23" s="212" t="n">
        <v>0</v>
      </c>
      <c r="J23" s="109" t="s">
        <v>652</v>
      </c>
      <c r="K23" s="180"/>
      <c r="L23" s="109" t="s">
        <v>639</v>
      </c>
      <c r="M23" s="109"/>
      <c r="N23" s="109"/>
      <c r="O23" s="109" t="s">
        <v>637</v>
      </c>
      <c r="P23" s="109" t="s">
        <v>664</v>
      </c>
      <c r="Q23" s="1" t="s">
        <v>585</v>
      </c>
    </row>
    <row r="24" customFormat="false" ht="13.5" hidden="false" customHeight="true" outlineLevel="0" collapsed="false">
      <c r="A24" s="213" t="s">
        <v>665</v>
      </c>
      <c r="B24" s="213" t="s">
        <v>666</v>
      </c>
      <c r="C24" s="214" t="n">
        <v>90000</v>
      </c>
      <c r="D24" s="214" t="n">
        <f aca="false">C24/12</f>
        <v>7500</v>
      </c>
      <c r="E24" s="215" t="n">
        <v>3</v>
      </c>
      <c r="F24" s="213" t="s">
        <v>637</v>
      </c>
      <c r="G24" s="215" t="s">
        <v>585</v>
      </c>
      <c r="H24" s="216" t="n">
        <v>0</v>
      </c>
      <c r="I24" s="216" t="n">
        <v>0</v>
      </c>
      <c r="J24" s="213" t="s">
        <v>652</v>
      </c>
      <c r="K24" s="215"/>
      <c r="L24" s="213" t="s">
        <v>639</v>
      </c>
      <c r="M24" s="213"/>
      <c r="N24" s="213"/>
      <c r="O24" s="213" t="s">
        <v>637</v>
      </c>
      <c r="P24" s="213" t="s">
        <v>667</v>
      </c>
      <c r="Q24" s="1" t="s">
        <v>585</v>
      </c>
    </row>
    <row r="25" customFormat="false" ht="13.5" hidden="false" customHeight="true" outlineLevel="0" collapsed="false">
      <c r="A25" s="109" t="s">
        <v>668</v>
      </c>
      <c r="B25" s="109" t="s">
        <v>666</v>
      </c>
      <c r="C25" s="211" t="n">
        <v>97500</v>
      </c>
      <c r="D25" s="211" t="n">
        <f aca="false">C25/12</f>
        <v>8125</v>
      </c>
      <c r="E25" s="180" t="n">
        <v>1</v>
      </c>
      <c r="F25" s="109" t="s">
        <v>637</v>
      </c>
      <c r="G25" s="180" t="s">
        <v>585</v>
      </c>
      <c r="H25" s="212" t="n">
        <v>0</v>
      </c>
      <c r="I25" s="212" t="n">
        <v>0</v>
      </c>
      <c r="J25" s="109" t="s">
        <v>652</v>
      </c>
      <c r="K25" s="180"/>
      <c r="L25" s="109" t="s">
        <v>639</v>
      </c>
      <c r="M25" s="109"/>
      <c r="N25" s="109"/>
      <c r="O25" s="109" t="s">
        <v>637</v>
      </c>
      <c r="P25" s="109" t="s">
        <v>667</v>
      </c>
      <c r="Q25" s="1" t="s">
        <v>585</v>
      </c>
    </row>
    <row r="26" customFormat="false" ht="13.5" hidden="false" customHeight="true" outlineLevel="0" collapsed="false">
      <c r="A26" s="213" t="s">
        <v>669</v>
      </c>
      <c r="B26" s="213" t="s">
        <v>663</v>
      </c>
      <c r="C26" s="214" t="n">
        <v>150000</v>
      </c>
      <c r="D26" s="214" t="n">
        <f aca="false">C26/12</f>
        <v>12500</v>
      </c>
      <c r="E26" s="215" t="n">
        <v>1</v>
      </c>
      <c r="F26" s="213" t="s">
        <v>637</v>
      </c>
      <c r="G26" s="215" t="s">
        <v>585</v>
      </c>
      <c r="H26" s="216" t="n">
        <v>0</v>
      </c>
      <c r="I26" s="216" t="n">
        <v>0</v>
      </c>
      <c r="J26" s="213" t="s">
        <v>652</v>
      </c>
      <c r="K26" s="215"/>
      <c r="L26" s="213" t="s">
        <v>639</v>
      </c>
      <c r="M26" s="213"/>
      <c r="N26" s="213"/>
      <c r="O26" s="213" t="s">
        <v>637</v>
      </c>
      <c r="P26" s="213" t="s">
        <v>664</v>
      </c>
      <c r="Q26" s="1" t="s">
        <v>585</v>
      </c>
    </row>
    <row r="27" customFormat="false" ht="13.5" hidden="false" customHeight="true" outlineLevel="0" collapsed="false">
      <c r="A27" s="109" t="s">
        <v>670</v>
      </c>
      <c r="B27" s="109" t="s">
        <v>663</v>
      </c>
      <c r="C27" s="211" t="n">
        <v>150000</v>
      </c>
      <c r="D27" s="211" t="n">
        <f aca="false">C27/12</f>
        <v>12500</v>
      </c>
      <c r="E27" s="180" t="n">
        <v>1</v>
      </c>
      <c r="F27" s="109" t="s">
        <v>637</v>
      </c>
      <c r="G27" s="180" t="s">
        <v>585</v>
      </c>
      <c r="H27" s="212" t="n">
        <v>0</v>
      </c>
      <c r="I27" s="212" t="n">
        <v>0</v>
      </c>
      <c r="J27" s="109" t="s">
        <v>652</v>
      </c>
      <c r="K27" s="180"/>
      <c r="L27" s="109" t="s">
        <v>639</v>
      </c>
      <c r="M27" s="109"/>
      <c r="N27" s="109"/>
      <c r="O27" s="109" t="s">
        <v>637</v>
      </c>
      <c r="P27" s="109" t="s">
        <v>664</v>
      </c>
      <c r="Q27" s="1" t="s">
        <v>585</v>
      </c>
    </row>
    <row r="28" customFormat="false" ht="13.5" hidden="false" customHeight="true" outlineLevel="0" collapsed="false">
      <c r="A28" s="213" t="s">
        <v>671</v>
      </c>
      <c r="B28" s="213" t="s">
        <v>663</v>
      </c>
      <c r="C28" s="214" t="n">
        <v>170000</v>
      </c>
      <c r="D28" s="214" t="n">
        <f aca="false">C28/12</f>
        <v>14166.6666666667</v>
      </c>
      <c r="E28" s="215" t="n">
        <v>2</v>
      </c>
      <c r="F28" s="213" t="s">
        <v>637</v>
      </c>
      <c r="G28" s="215" t="s">
        <v>585</v>
      </c>
      <c r="H28" s="216" t="n">
        <v>0</v>
      </c>
      <c r="I28" s="216" t="n">
        <v>0</v>
      </c>
      <c r="J28" s="213" t="s">
        <v>652</v>
      </c>
      <c r="K28" s="215"/>
      <c r="L28" s="213" t="s">
        <v>639</v>
      </c>
      <c r="M28" s="213"/>
      <c r="N28" s="213"/>
      <c r="O28" s="213" t="s">
        <v>637</v>
      </c>
      <c r="P28" s="213" t="s">
        <v>664</v>
      </c>
      <c r="Q28" s="1" t="s">
        <v>585</v>
      </c>
    </row>
    <row r="29" customFormat="false" ht="13.5" hidden="false" customHeight="true" outlineLevel="0" collapsed="false">
      <c r="A29" s="109" t="s">
        <v>672</v>
      </c>
      <c r="B29" s="109" t="s">
        <v>663</v>
      </c>
      <c r="C29" s="211" t="n">
        <v>170000</v>
      </c>
      <c r="D29" s="211" t="n">
        <f aca="false">C29/12</f>
        <v>14166.6666666667</v>
      </c>
      <c r="E29" s="180" t="n">
        <v>4</v>
      </c>
      <c r="F29" s="109" t="s">
        <v>637</v>
      </c>
      <c r="G29" s="180" t="s">
        <v>585</v>
      </c>
      <c r="H29" s="212" t="n">
        <v>0</v>
      </c>
      <c r="I29" s="212" t="n">
        <v>0</v>
      </c>
      <c r="J29" s="109" t="s">
        <v>652</v>
      </c>
      <c r="K29" s="180"/>
      <c r="L29" s="109" t="s">
        <v>639</v>
      </c>
      <c r="M29" s="109"/>
      <c r="N29" s="109"/>
      <c r="O29" s="109" t="s">
        <v>637</v>
      </c>
      <c r="P29" s="109" t="s">
        <v>664</v>
      </c>
      <c r="Q29" s="1" t="s">
        <v>585</v>
      </c>
    </row>
    <row r="30" customFormat="false" ht="13.5" hidden="false" customHeight="true" outlineLevel="0" collapsed="false">
      <c r="A30" s="213" t="s">
        <v>673</v>
      </c>
      <c r="B30" s="213" t="s">
        <v>663</v>
      </c>
      <c r="C30" s="214" t="n">
        <v>130000</v>
      </c>
      <c r="D30" s="214" t="n">
        <f aca="false">C30/12</f>
        <v>10833.3333333333</v>
      </c>
      <c r="E30" s="215" t="n">
        <v>5</v>
      </c>
      <c r="F30" s="213" t="s">
        <v>637</v>
      </c>
      <c r="G30" s="215" t="s">
        <v>585</v>
      </c>
      <c r="H30" s="216" t="n">
        <v>0</v>
      </c>
      <c r="I30" s="216" t="n">
        <v>0</v>
      </c>
      <c r="J30" s="213" t="s">
        <v>652</v>
      </c>
      <c r="K30" s="215"/>
      <c r="L30" s="213" t="s">
        <v>639</v>
      </c>
      <c r="M30" s="213"/>
      <c r="N30" s="213"/>
      <c r="O30" s="213" t="s">
        <v>637</v>
      </c>
      <c r="P30" s="213" t="s">
        <v>664</v>
      </c>
      <c r="Q30" s="1" t="s">
        <v>585</v>
      </c>
    </row>
    <row r="31" customFormat="false" ht="13.5" hidden="false" customHeight="true" outlineLevel="0" collapsed="false">
      <c r="A31" s="109" t="s">
        <v>674</v>
      </c>
      <c r="B31" s="109" t="s">
        <v>663</v>
      </c>
      <c r="C31" s="211" t="n">
        <v>160000</v>
      </c>
      <c r="D31" s="211" t="n">
        <f aca="false">C31/12</f>
        <v>13333.3333333333</v>
      </c>
      <c r="E31" s="180" t="n">
        <v>6</v>
      </c>
      <c r="F31" s="109" t="s">
        <v>637</v>
      </c>
      <c r="G31" s="180" t="s">
        <v>585</v>
      </c>
      <c r="H31" s="212" t="n">
        <v>0</v>
      </c>
      <c r="I31" s="212" t="n">
        <v>0</v>
      </c>
      <c r="J31" s="109" t="s">
        <v>652</v>
      </c>
      <c r="K31" s="180"/>
      <c r="L31" s="109" t="s">
        <v>639</v>
      </c>
      <c r="M31" s="109" t="s">
        <v>15</v>
      </c>
      <c r="N31" s="109" t="s">
        <v>675</v>
      </c>
      <c r="O31" s="109" t="s">
        <v>637</v>
      </c>
      <c r="P31" s="109" t="s">
        <v>664</v>
      </c>
      <c r="Q31" s="1" t="s">
        <v>584</v>
      </c>
    </row>
    <row r="32" customFormat="false" ht="13.5" hidden="false" customHeight="true" outlineLevel="0" collapsed="false">
      <c r="A32" s="213" t="s">
        <v>676</v>
      </c>
      <c r="B32" s="213" t="s">
        <v>677</v>
      </c>
      <c r="C32" s="214" t="n">
        <v>75000</v>
      </c>
      <c r="D32" s="214" t="n">
        <f aca="false">C32/12</f>
        <v>6250</v>
      </c>
      <c r="E32" s="215" t="n">
        <v>1</v>
      </c>
      <c r="F32" s="213" t="s">
        <v>637</v>
      </c>
      <c r="G32" s="215" t="s">
        <v>585</v>
      </c>
      <c r="H32" s="216" t="n">
        <v>0</v>
      </c>
      <c r="I32" s="216" t="n">
        <v>0</v>
      </c>
      <c r="J32" s="213" t="s">
        <v>652</v>
      </c>
      <c r="K32" s="215"/>
      <c r="L32" s="213" t="s">
        <v>639</v>
      </c>
      <c r="M32" s="213"/>
      <c r="N32" s="213"/>
      <c r="O32" s="213" t="s">
        <v>637</v>
      </c>
      <c r="P32" s="213" t="s">
        <v>659</v>
      </c>
      <c r="Q32" s="1" t="s">
        <v>585</v>
      </c>
    </row>
    <row r="33" customFormat="false" ht="13.5" hidden="false" customHeight="true" outlineLevel="0" collapsed="false">
      <c r="A33" s="109" t="s">
        <v>678</v>
      </c>
      <c r="B33" s="109" t="s">
        <v>658</v>
      </c>
      <c r="C33" s="211" t="n">
        <v>105000</v>
      </c>
      <c r="D33" s="211" t="n">
        <f aca="false">C33/12</f>
        <v>8750</v>
      </c>
      <c r="E33" s="180" t="n">
        <v>3</v>
      </c>
      <c r="F33" s="109" t="s">
        <v>637</v>
      </c>
      <c r="G33" s="180" t="s">
        <v>585</v>
      </c>
      <c r="H33" s="212" t="n">
        <v>0</v>
      </c>
      <c r="I33" s="212" t="n">
        <v>0</v>
      </c>
      <c r="J33" s="109" t="s">
        <v>652</v>
      </c>
      <c r="K33" s="180"/>
      <c r="L33" s="109" t="s">
        <v>639</v>
      </c>
      <c r="M33" s="109"/>
      <c r="N33" s="109"/>
      <c r="O33" s="109" t="s">
        <v>637</v>
      </c>
      <c r="P33" s="109" t="s">
        <v>659</v>
      </c>
      <c r="Q33" s="1" t="s">
        <v>585</v>
      </c>
    </row>
    <row r="34" customFormat="false" ht="13.5" hidden="false" customHeight="true" outlineLevel="0" collapsed="false">
      <c r="A34" s="213" t="s">
        <v>679</v>
      </c>
      <c r="B34" s="213" t="s">
        <v>680</v>
      </c>
      <c r="C34" s="214" t="n">
        <v>62400</v>
      </c>
      <c r="D34" s="214" t="n">
        <f aca="false">C34/12</f>
        <v>5200</v>
      </c>
      <c r="E34" s="215" t="n">
        <v>1</v>
      </c>
      <c r="F34" s="213" t="s">
        <v>637</v>
      </c>
      <c r="G34" s="215" t="s">
        <v>585</v>
      </c>
      <c r="H34" s="216" t="n">
        <v>0</v>
      </c>
      <c r="I34" s="216" t="n">
        <v>0</v>
      </c>
      <c r="J34" s="213" t="s">
        <v>652</v>
      </c>
      <c r="K34" s="215"/>
      <c r="L34" s="213" t="s">
        <v>639</v>
      </c>
      <c r="M34" s="213"/>
      <c r="N34" s="213"/>
      <c r="O34" s="213" t="s">
        <v>637</v>
      </c>
      <c r="P34" s="213" t="s">
        <v>681</v>
      </c>
      <c r="Q34" s="1" t="s">
        <v>585</v>
      </c>
    </row>
    <row r="35" customFormat="false" ht="13.5" hidden="false" customHeight="true" outlineLevel="0" collapsed="false">
      <c r="A35" s="109" t="s">
        <v>682</v>
      </c>
      <c r="B35" s="109" t="s">
        <v>683</v>
      </c>
      <c r="C35" s="211" t="n">
        <v>115000</v>
      </c>
      <c r="D35" s="211" t="n">
        <f aca="false">C35/12</f>
        <v>9583.33333333333</v>
      </c>
      <c r="E35" s="180" t="n">
        <v>1</v>
      </c>
      <c r="F35" s="109" t="s">
        <v>637</v>
      </c>
      <c r="G35" s="180" t="s">
        <v>585</v>
      </c>
      <c r="H35" s="212" t="n">
        <v>0</v>
      </c>
      <c r="I35" s="212" t="n">
        <v>0</v>
      </c>
      <c r="J35" s="109" t="s">
        <v>652</v>
      </c>
      <c r="K35" s="180"/>
      <c r="L35" s="109" t="s">
        <v>639</v>
      </c>
      <c r="M35" s="109"/>
      <c r="N35" s="109"/>
      <c r="O35" s="109" t="s">
        <v>637</v>
      </c>
      <c r="P35" s="109" t="s">
        <v>684</v>
      </c>
      <c r="Q35" s="1" t="s">
        <v>585</v>
      </c>
    </row>
    <row r="36" customFormat="false" ht="13.5" hidden="false" customHeight="true" outlineLevel="0" collapsed="false">
      <c r="A36" s="213" t="s">
        <v>685</v>
      </c>
      <c r="B36" s="213" t="s">
        <v>686</v>
      </c>
      <c r="C36" s="214" t="n">
        <v>69992</v>
      </c>
      <c r="D36" s="214" t="n">
        <f aca="false">C36/12</f>
        <v>5832.66666666667</v>
      </c>
      <c r="E36" s="215" t="n">
        <v>1</v>
      </c>
      <c r="F36" s="213" t="s">
        <v>637</v>
      </c>
      <c r="G36" s="215" t="s">
        <v>585</v>
      </c>
      <c r="H36" s="216" t="n">
        <v>0</v>
      </c>
      <c r="I36" s="216" t="n">
        <v>0</v>
      </c>
      <c r="J36" s="213" t="s">
        <v>652</v>
      </c>
      <c r="K36" s="215"/>
      <c r="L36" s="213" t="s">
        <v>639</v>
      </c>
      <c r="M36" s="213"/>
      <c r="N36" s="213"/>
      <c r="O36" s="213" t="s">
        <v>637</v>
      </c>
      <c r="P36" s="213" t="s">
        <v>687</v>
      </c>
      <c r="Q36" s="1" t="s">
        <v>585</v>
      </c>
    </row>
    <row r="37" customFormat="false" ht="13.5" hidden="false" customHeight="true" outlineLevel="0" collapsed="false">
      <c r="A37" s="109" t="s">
        <v>688</v>
      </c>
      <c r="B37" s="109" t="s">
        <v>686</v>
      </c>
      <c r="C37" s="211" t="n">
        <v>52000</v>
      </c>
      <c r="D37" s="211" t="n">
        <f aca="false">C37/12</f>
        <v>4333.33333333333</v>
      </c>
      <c r="E37" s="180" t="n">
        <v>1</v>
      </c>
      <c r="F37" s="109" t="s">
        <v>637</v>
      </c>
      <c r="G37" s="180" t="s">
        <v>585</v>
      </c>
      <c r="H37" s="212" t="n">
        <v>0</v>
      </c>
      <c r="I37" s="212" t="n">
        <v>0</v>
      </c>
      <c r="J37" s="109" t="s">
        <v>652</v>
      </c>
      <c r="K37" s="180"/>
      <c r="L37" s="109" t="s">
        <v>639</v>
      </c>
      <c r="M37" s="109"/>
      <c r="N37" s="109"/>
      <c r="O37" s="109" t="s">
        <v>637</v>
      </c>
      <c r="P37" s="109" t="s">
        <v>687</v>
      </c>
      <c r="Q37" s="1" t="s">
        <v>585</v>
      </c>
    </row>
    <row r="38" customFormat="false" ht="13.5" hidden="false" customHeight="true" outlineLevel="0" collapsed="false">
      <c r="A38" s="213" t="s">
        <v>689</v>
      </c>
      <c r="B38" s="213" t="s">
        <v>690</v>
      </c>
      <c r="C38" s="214" t="n">
        <v>43680</v>
      </c>
      <c r="D38" s="214" t="n">
        <f aca="false">C38/12</f>
        <v>3640</v>
      </c>
      <c r="E38" s="215" t="n">
        <v>1</v>
      </c>
      <c r="F38" s="213" t="s">
        <v>637</v>
      </c>
      <c r="G38" s="215" t="s">
        <v>585</v>
      </c>
      <c r="H38" s="216" t="n">
        <v>0</v>
      </c>
      <c r="I38" s="216" t="n">
        <v>0</v>
      </c>
      <c r="J38" s="213" t="s">
        <v>652</v>
      </c>
      <c r="K38" s="215"/>
      <c r="L38" s="213" t="s">
        <v>639</v>
      </c>
      <c r="M38" s="213"/>
      <c r="N38" s="213"/>
      <c r="O38" s="213" t="s">
        <v>637</v>
      </c>
      <c r="P38" s="213" t="s">
        <v>687</v>
      </c>
      <c r="Q38" s="1" t="s">
        <v>585</v>
      </c>
    </row>
    <row r="40" customFormat="false" ht="13.5" hidden="false" customHeight="true" outlineLevel="0" collapsed="false">
      <c r="A40" s="209" t="s">
        <v>691</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692</v>
      </c>
      <c r="B41" s="109" t="s">
        <v>666</v>
      </c>
      <c r="C41" s="211" t="n">
        <v>90000</v>
      </c>
      <c r="D41" s="211" t="n">
        <f aca="false">C41/12</f>
        <v>7500</v>
      </c>
      <c r="E41" s="180" t="n">
        <v>10</v>
      </c>
      <c r="F41" s="109" t="s">
        <v>637</v>
      </c>
      <c r="G41" s="180" t="s">
        <v>585</v>
      </c>
      <c r="H41" s="212" t="n">
        <v>0</v>
      </c>
      <c r="I41" s="212" t="n">
        <v>0</v>
      </c>
      <c r="J41" s="109" t="s">
        <v>652</v>
      </c>
      <c r="K41" s="180"/>
      <c r="L41" s="109" t="s">
        <v>693</v>
      </c>
      <c r="M41" s="109" t="s">
        <v>694</v>
      </c>
      <c r="N41" s="109" t="s">
        <v>695</v>
      </c>
      <c r="O41" s="109" t="s">
        <v>637</v>
      </c>
      <c r="P41" s="109" t="s">
        <v>667</v>
      </c>
      <c r="Q41" s="1" t="s">
        <v>585</v>
      </c>
    </row>
    <row r="43" customFormat="false" ht="13.5" hidden="false" customHeight="true" outlineLevel="0" collapsed="false">
      <c r="A43" s="209" t="s">
        <v>696</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697</v>
      </c>
      <c r="B44" s="109" t="s">
        <v>698</v>
      </c>
      <c r="C44" s="211" t="n">
        <v>400000</v>
      </c>
      <c r="D44" s="211" t="n">
        <f aca="false">C44/12</f>
        <v>33333.3333333333</v>
      </c>
      <c r="E44" s="180" t="n">
        <v>1</v>
      </c>
      <c r="F44" s="109" t="s">
        <v>699</v>
      </c>
      <c r="G44" s="180" t="s">
        <v>585</v>
      </c>
      <c r="H44" s="212" t="n">
        <v>1</v>
      </c>
      <c r="I44" s="212" t="n">
        <v>0</v>
      </c>
      <c r="J44" s="109" t="s">
        <v>700</v>
      </c>
      <c r="K44" s="180"/>
      <c r="L44" s="109" t="s">
        <v>639</v>
      </c>
      <c r="M44" s="109"/>
      <c r="N44" s="109"/>
      <c r="O44" s="109" t="s">
        <v>701</v>
      </c>
      <c r="P44" s="109" t="s">
        <v>700</v>
      </c>
      <c r="Q44" s="1" t="s">
        <v>585</v>
      </c>
    </row>
    <row r="45" customFormat="false" ht="13.5" hidden="false" customHeight="true" outlineLevel="0" collapsed="false">
      <c r="A45" s="213" t="s">
        <v>702</v>
      </c>
      <c r="B45" s="213" t="s">
        <v>698</v>
      </c>
      <c r="C45" s="214" t="n">
        <v>400000</v>
      </c>
      <c r="D45" s="214" t="n">
        <f aca="false">C45/12</f>
        <v>33333.3333333333</v>
      </c>
      <c r="E45" s="215" t="n">
        <v>1</v>
      </c>
      <c r="F45" s="213" t="s">
        <v>699</v>
      </c>
      <c r="G45" s="215" t="s">
        <v>585</v>
      </c>
      <c r="H45" s="216" t="n">
        <v>1</v>
      </c>
      <c r="I45" s="216" t="n">
        <v>0</v>
      </c>
      <c r="J45" s="213" t="s">
        <v>700</v>
      </c>
      <c r="K45" s="215"/>
      <c r="L45" s="213" t="s">
        <v>639</v>
      </c>
      <c r="M45" s="213"/>
      <c r="N45" s="213"/>
      <c r="O45" s="213" t="s">
        <v>701</v>
      </c>
      <c r="P45" s="213" t="s">
        <v>700</v>
      </c>
      <c r="Q45" s="1" t="s">
        <v>585</v>
      </c>
    </row>
    <row r="46" customFormat="false" ht="13.5" hidden="false" customHeight="true" outlineLevel="0" collapsed="false">
      <c r="A46" s="109" t="s">
        <v>703</v>
      </c>
      <c r="B46" s="109" t="s">
        <v>704</v>
      </c>
      <c r="C46" s="211" t="n">
        <v>222000</v>
      </c>
      <c r="D46" s="211" t="n">
        <f aca="false">C46/12</f>
        <v>18500</v>
      </c>
      <c r="E46" s="180" t="n">
        <v>1</v>
      </c>
      <c r="F46" s="109" t="s">
        <v>699</v>
      </c>
      <c r="G46" s="180" t="s">
        <v>585</v>
      </c>
      <c r="H46" s="212" t="n">
        <v>1</v>
      </c>
      <c r="I46" s="212" t="n">
        <v>0</v>
      </c>
      <c r="J46" s="109" t="s">
        <v>700</v>
      </c>
      <c r="K46" s="180"/>
      <c r="L46" s="109" t="s">
        <v>639</v>
      </c>
      <c r="M46" s="109"/>
      <c r="N46" s="109"/>
      <c r="O46" s="109" t="s">
        <v>705</v>
      </c>
      <c r="P46" s="109" t="s">
        <v>700</v>
      </c>
      <c r="Q46" s="1" t="s">
        <v>585</v>
      </c>
    </row>
    <row r="47" customFormat="false" ht="13.5" hidden="false" customHeight="true" outlineLevel="0" collapsed="false">
      <c r="A47" s="213" t="s">
        <v>706</v>
      </c>
      <c r="B47" s="213" t="s">
        <v>707</v>
      </c>
      <c r="C47" s="214" t="n">
        <v>115000</v>
      </c>
      <c r="D47" s="214" t="n">
        <f aca="false">C47/12</f>
        <v>9583.33333333333</v>
      </c>
      <c r="E47" s="215" t="n">
        <v>1</v>
      </c>
      <c r="F47" s="213" t="s">
        <v>699</v>
      </c>
      <c r="G47" s="215" t="s">
        <v>585</v>
      </c>
      <c r="H47" s="216" t="n">
        <v>1</v>
      </c>
      <c r="I47" s="216" t="n">
        <v>0</v>
      </c>
      <c r="J47" s="213" t="s">
        <v>700</v>
      </c>
      <c r="K47" s="215" t="str">
        <f aca="false">IF('Uplifters Inputs'!$B$3="Yes",6,"")</f>
        <v/>
      </c>
      <c r="L47" s="213" t="s">
        <v>639</v>
      </c>
      <c r="M47" s="213"/>
      <c r="N47" s="213"/>
      <c r="O47" s="213" t="s">
        <v>705</v>
      </c>
      <c r="P47" s="213" t="s">
        <v>700</v>
      </c>
      <c r="Q47" s="1" t="s">
        <v>585</v>
      </c>
    </row>
    <row r="48" customFormat="false" ht="13.5" hidden="false" customHeight="true" outlineLevel="0" collapsed="false">
      <c r="A48" s="109" t="s">
        <v>708</v>
      </c>
      <c r="B48" s="109" t="s">
        <v>709</v>
      </c>
      <c r="C48" s="211" t="n">
        <v>250000</v>
      </c>
      <c r="D48" s="211" t="n">
        <f aca="false">C48/12</f>
        <v>20833.3333333333</v>
      </c>
      <c r="E48" s="180" t="n">
        <v>1</v>
      </c>
      <c r="F48" s="109" t="s">
        <v>699</v>
      </c>
      <c r="G48" s="180" t="s">
        <v>585</v>
      </c>
      <c r="H48" s="212" t="n">
        <v>0</v>
      </c>
      <c r="I48" s="212" t="n">
        <v>0</v>
      </c>
      <c r="J48" s="109" t="s">
        <v>700</v>
      </c>
      <c r="K48" s="180"/>
      <c r="L48" s="109" t="s">
        <v>639</v>
      </c>
      <c r="M48" s="109"/>
      <c r="N48" s="109"/>
      <c r="O48" s="109" t="s">
        <v>710</v>
      </c>
      <c r="P48" s="109" t="s">
        <v>700</v>
      </c>
      <c r="Q48" s="1" t="s">
        <v>585</v>
      </c>
    </row>
    <row r="49" customFormat="false" ht="13.5" hidden="false" customHeight="true" outlineLevel="0" collapsed="false">
      <c r="A49" s="213" t="s">
        <v>711</v>
      </c>
      <c r="B49" s="213" t="s">
        <v>712</v>
      </c>
      <c r="C49" s="214" t="n">
        <v>150000</v>
      </c>
      <c r="D49" s="214" t="n">
        <f aca="false">C49/12</f>
        <v>12500</v>
      </c>
      <c r="E49" s="215" t="n">
        <v>1</v>
      </c>
      <c r="F49" s="213" t="s">
        <v>699</v>
      </c>
      <c r="G49" s="215" t="s">
        <v>585</v>
      </c>
      <c r="H49" s="216" t="n">
        <v>0</v>
      </c>
      <c r="I49" s="216" t="n">
        <v>0</v>
      </c>
      <c r="J49" s="213" t="s">
        <v>700</v>
      </c>
      <c r="K49" s="215"/>
      <c r="L49" s="213" t="s">
        <v>639</v>
      </c>
      <c r="M49" s="213"/>
      <c r="N49" s="213"/>
      <c r="O49" s="213" t="s">
        <v>710</v>
      </c>
      <c r="P49" s="213" t="s">
        <v>700</v>
      </c>
      <c r="Q49" s="1" t="s">
        <v>585</v>
      </c>
    </row>
    <row r="50" customFormat="false" ht="13.5" hidden="false" customHeight="true" outlineLevel="0" collapsed="false">
      <c r="A50" s="109" t="s">
        <v>713</v>
      </c>
      <c r="B50" s="109" t="s">
        <v>714</v>
      </c>
      <c r="C50" s="211" t="n">
        <v>250000</v>
      </c>
      <c r="D50" s="211" t="n">
        <f aca="false">C50/12</f>
        <v>20833.3333333333</v>
      </c>
      <c r="E50" s="180" t="n">
        <v>1</v>
      </c>
      <c r="F50" s="109" t="s">
        <v>699</v>
      </c>
      <c r="G50" s="180" t="s">
        <v>585</v>
      </c>
      <c r="H50" s="212" t="n">
        <v>0</v>
      </c>
      <c r="I50" s="212" t="n">
        <v>0</v>
      </c>
      <c r="J50" s="109" t="s">
        <v>700</v>
      </c>
      <c r="K50" s="180"/>
      <c r="L50" s="109" t="s">
        <v>639</v>
      </c>
      <c r="M50" s="109"/>
      <c r="N50" s="109"/>
      <c r="O50" s="109" t="s">
        <v>710</v>
      </c>
      <c r="P50" s="109" t="s">
        <v>700</v>
      </c>
      <c r="Q50" s="1" t="s">
        <v>585</v>
      </c>
    </row>
    <row r="52" customFormat="false" ht="13.5" hidden="false" customHeight="true" outlineLevel="0" collapsed="false">
      <c r="A52" s="209" t="s">
        <v>715</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716</v>
      </c>
      <c r="B53" s="109" t="s">
        <v>717</v>
      </c>
      <c r="C53" s="211" t="n">
        <v>125000</v>
      </c>
      <c r="D53" s="211" t="n">
        <f aca="false">C53/12</f>
        <v>10416.6666666667</v>
      </c>
      <c r="E53" s="180" t="n">
        <v>2</v>
      </c>
      <c r="F53" s="109" t="s">
        <v>637</v>
      </c>
      <c r="G53" s="180" t="s">
        <v>585</v>
      </c>
      <c r="H53" s="212" t="n">
        <v>0</v>
      </c>
      <c r="I53" s="212" t="n">
        <v>0</v>
      </c>
      <c r="J53" s="109" t="s">
        <v>652</v>
      </c>
      <c r="K53" s="180" t="n">
        <v>4</v>
      </c>
      <c r="L53" s="109" t="s">
        <v>718</v>
      </c>
      <c r="M53" s="109"/>
      <c r="N53" s="109" t="s">
        <v>719</v>
      </c>
      <c r="O53" s="109" t="s">
        <v>637</v>
      </c>
      <c r="P53" s="109" t="s">
        <v>684</v>
      </c>
      <c r="Q53" s="1" t="s">
        <v>585</v>
      </c>
    </row>
    <row r="54" customFormat="false" ht="13.5" hidden="false" customHeight="true" outlineLevel="0" collapsed="false">
      <c r="A54" s="213" t="s">
        <v>720</v>
      </c>
      <c r="B54" s="213" t="s">
        <v>721</v>
      </c>
      <c r="C54" s="214" t="n">
        <v>110000</v>
      </c>
      <c r="D54" s="214" t="n">
        <f aca="false">C54/12</f>
        <v>9166.66666666667</v>
      </c>
      <c r="E54" s="215" t="n">
        <v>1</v>
      </c>
      <c r="F54" s="213" t="s">
        <v>637</v>
      </c>
      <c r="G54" s="215" t="s">
        <v>585</v>
      </c>
      <c r="H54" s="216" t="n">
        <v>0</v>
      </c>
      <c r="I54" s="216" t="n">
        <v>0</v>
      </c>
      <c r="J54" s="213" t="s">
        <v>652</v>
      </c>
      <c r="K54" s="215" t="n">
        <v>4</v>
      </c>
      <c r="L54" s="213" t="s">
        <v>718</v>
      </c>
      <c r="M54" s="213"/>
      <c r="N54" s="213" t="s">
        <v>719</v>
      </c>
      <c r="O54" s="213" t="s">
        <v>637</v>
      </c>
      <c r="P54" s="213" t="s">
        <v>664</v>
      </c>
      <c r="Q54" s="1" t="s">
        <v>585</v>
      </c>
    </row>
    <row r="56" customFormat="false" ht="13.5" hidden="false" customHeight="true" outlineLevel="0" collapsed="false">
      <c r="A56" s="209" t="s">
        <v>722</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723</v>
      </c>
      <c r="B57" s="213" t="s">
        <v>658</v>
      </c>
      <c r="C57" s="214" t="n">
        <v>120000</v>
      </c>
      <c r="D57" s="214" t="n">
        <f aca="false">C57/12</f>
        <v>10000</v>
      </c>
      <c r="E57" s="215" t="n">
        <v>5</v>
      </c>
      <c r="F57" s="213" t="s">
        <v>637</v>
      </c>
      <c r="G57" s="215" t="s">
        <v>585</v>
      </c>
      <c r="H57" s="216" t="n">
        <v>0</v>
      </c>
      <c r="I57" s="216" t="n">
        <v>0</v>
      </c>
      <c r="J57" s="213" t="s">
        <v>652</v>
      </c>
      <c r="K57" s="215"/>
      <c r="L57" s="213" t="s">
        <v>639</v>
      </c>
      <c r="M57" s="213"/>
      <c r="N57" s="213" t="s">
        <v>724</v>
      </c>
      <c r="O57" s="213" t="s">
        <v>637</v>
      </c>
      <c r="P57" s="213" t="s">
        <v>659</v>
      </c>
      <c r="Q57" s="1" t="s">
        <v>584</v>
      </c>
    </row>
    <row r="58" customFormat="false" ht="13.5" hidden="false" customHeight="true" outlineLevel="0" collapsed="false">
      <c r="A58" s="213" t="s">
        <v>725</v>
      </c>
      <c r="B58" s="213" t="s">
        <v>683</v>
      </c>
      <c r="C58" s="214" t="n">
        <v>125000</v>
      </c>
      <c r="D58" s="214" t="n">
        <f aca="false">C58/12</f>
        <v>10416.6666666667</v>
      </c>
      <c r="E58" s="215" t="n">
        <v>6</v>
      </c>
      <c r="F58" s="213" t="s">
        <v>637</v>
      </c>
      <c r="G58" s="215" t="s">
        <v>585</v>
      </c>
      <c r="H58" s="216" t="n">
        <v>0</v>
      </c>
      <c r="I58" s="216" t="n">
        <v>0</v>
      </c>
      <c r="J58" s="213" t="s">
        <v>652</v>
      </c>
      <c r="K58" s="215"/>
      <c r="L58" s="213" t="s">
        <v>639</v>
      </c>
      <c r="M58" s="213"/>
      <c r="N58" s="213" t="s">
        <v>724</v>
      </c>
      <c r="O58" s="213" t="s">
        <v>637</v>
      </c>
      <c r="P58" s="213" t="s">
        <v>684</v>
      </c>
      <c r="Q58" s="1" t="s">
        <v>584</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728</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729</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728</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729</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730</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728</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729</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730</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728</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729</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730</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728</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729</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730</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311</v>
      </c>
      <c r="B34" s="3"/>
      <c r="C34" s="222" t="n">
        <f aca="false">Model!E382</f>
        <v>0</v>
      </c>
      <c r="D34" s="222" t="n">
        <f aca="false">Model!F382</f>
        <v>0</v>
      </c>
      <c r="E34" s="222" t="n">
        <f aca="false">Model!G382</f>
        <v>0</v>
      </c>
      <c r="F34" s="222" t="n">
        <f aca="false">Model!H382</f>
        <v>0</v>
      </c>
      <c r="G34" s="222" t="n">
        <f aca="false">Model!I382</f>
        <v>0</v>
      </c>
      <c r="H34" s="222" t="n">
        <f aca="false">Model!J382</f>
        <v>0</v>
      </c>
      <c r="I34" s="222" t="n">
        <f aca="false">Model!K382</f>
        <v>0</v>
      </c>
      <c r="J34" s="222" t="n">
        <f aca="false">Model!L382</f>
        <v>0</v>
      </c>
      <c r="K34" s="222" t="n">
        <f aca="false">Model!M382</f>
        <v>0</v>
      </c>
      <c r="L34" s="222" t="n">
        <f aca="false">Model!N382</f>
        <v>0</v>
      </c>
      <c r="M34" s="222" t="n">
        <f aca="false">Model!O382</f>
        <v>0</v>
      </c>
      <c r="N34" s="222" t="n">
        <f aca="false">Model!P382</f>
        <v>0</v>
      </c>
      <c r="O34" s="222" t="n">
        <f aca="false">Model!Q382</f>
        <v>0</v>
      </c>
      <c r="P34" s="222" t="n">
        <f aca="false">Model!R382</f>
        <v>0</v>
      </c>
      <c r="Q34" s="222" t="n">
        <f aca="false">Model!S382</f>
        <v>0</v>
      </c>
      <c r="R34" s="222" t="n">
        <f aca="false">Model!T382</f>
        <v>0</v>
      </c>
      <c r="S34" s="222" t="n">
        <f aca="false">Model!U382</f>
        <v>0</v>
      </c>
      <c r="T34" s="222" t="n">
        <f aca="false">Model!V382</f>
        <v>0</v>
      </c>
      <c r="U34" s="222" t="n">
        <f aca="false">Model!W382</f>
        <v>0</v>
      </c>
      <c r="V34" s="222" t="n">
        <f aca="false">Model!X382</f>
        <v>0</v>
      </c>
      <c r="W34" s="222" t="n">
        <f aca="false">Model!Y382</f>
        <v>0</v>
      </c>
      <c r="X34" s="222" t="n">
        <f aca="false">Model!Z382</f>
        <v>0</v>
      </c>
      <c r="Y34" s="222" t="n">
        <f aca="false">Model!AA382</f>
        <v>0</v>
      </c>
      <c r="Z34" s="222" t="n">
        <f aca="false">Model!AB382</f>
        <v>0</v>
      </c>
      <c r="AA34" s="222" t="n">
        <f aca="false">Model!AC382</f>
        <v>0</v>
      </c>
      <c r="AB34" s="222" t="n">
        <f aca="false">Model!AD382</f>
        <v>0</v>
      </c>
      <c r="AC34" s="222" t="n">
        <f aca="false">Model!AE382</f>
        <v>0</v>
      </c>
      <c r="AD34" s="222" t="n">
        <f aca="false">Model!AF382</f>
        <v>0</v>
      </c>
      <c r="AE34" s="222" t="n">
        <f aca="false">Model!AG382</f>
        <v>0</v>
      </c>
      <c r="AF34" s="222" t="n">
        <f aca="false">Model!AH382</f>
        <v>0</v>
      </c>
      <c r="AG34" s="222" t="n">
        <f aca="false">Model!AI382</f>
        <v>0</v>
      </c>
      <c r="AH34" s="222" t="n">
        <f aca="false">Model!AJ382</f>
        <v>0</v>
      </c>
      <c r="AI34" s="222" t="n">
        <f aca="false">Model!AK382</f>
        <v>0</v>
      </c>
      <c r="AJ34" s="222" t="n">
        <f aca="false">Model!AL382</f>
        <v>0</v>
      </c>
      <c r="AK34" s="222" t="n">
        <f aca="false">Model!AM382</f>
        <v>0</v>
      </c>
      <c r="AL34" s="222" t="n">
        <f aca="false">Model!AN382</f>
        <v>0</v>
      </c>
      <c r="AM34" s="222" t="n">
        <f aca="false">Model!AO382</f>
        <v>0</v>
      </c>
      <c r="AN34" s="222" t="n">
        <f aca="false">Model!AP382</f>
        <v>0</v>
      </c>
      <c r="AO34" s="222" t="n">
        <f aca="false">Model!AQ382</f>
        <v>0</v>
      </c>
      <c r="AP34" s="222" t="n">
        <f aca="false">Model!AR382</f>
        <v>0</v>
      </c>
      <c r="AQ34" s="222" t="n">
        <f aca="false">Model!AS382</f>
        <v>0</v>
      </c>
      <c r="AR34" s="222" t="n">
        <f aca="false">Model!AT382</f>
        <v>0</v>
      </c>
      <c r="AS34" s="222" t="n">
        <f aca="false">Model!AU382</f>
        <v>0</v>
      </c>
      <c r="AT34" s="222" t="n">
        <f aca="false">Model!AV382</f>
        <v>0</v>
      </c>
      <c r="AU34" s="222" t="n">
        <f aca="false">Model!AW382</f>
        <v>0</v>
      </c>
      <c r="AV34" s="222" t="n">
        <f aca="false">Model!AX382</f>
        <v>0</v>
      </c>
      <c r="AW34" s="222" t="n">
        <f aca="false">Model!AY382</f>
        <v>0</v>
      </c>
      <c r="AX34" s="222" t="n">
        <f aca="false">Model!AZ382</f>
        <v>0</v>
      </c>
      <c r="AY34" s="222" t="n">
        <f aca="false">Model!BA382</f>
        <v>0</v>
      </c>
      <c r="AZ34" s="222" t="n">
        <f aca="false">Model!BB382</f>
        <v>0</v>
      </c>
      <c r="BA34" s="222" t="n">
        <f aca="false">Model!BC382</f>
        <v>0</v>
      </c>
      <c r="BB34" s="222" t="n">
        <f aca="false">Model!BD382</f>
        <v>0</v>
      </c>
      <c r="BC34" s="222" t="n">
        <f aca="false">Model!BE382</f>
        <v>0</v>
      </c>
      <c r="BD34" s="222" t="n">
        <f aca="false">Model!BF382</f>
        <v>0</v>
      </c>
      <c r="BE34" s="222" t="n">
        <f aca="false">Model!BG382</f>
        <v>0</v>
      </c>
      <c r="BF34" s="222" t="n">
        <f aca="false">Model!BH382</f>
        <v>0</v>
      </c>
      <c r="BG34" s="222" t="n">
        <f aca="false">Model!BI382</f>
        <v>0</v>
      </c>
      <c r="BH34" s="222" t="n">
        <f aca="false">Model!BJ382</f>
        <v>0</v>
      </c>
      <c r="BI34" s="222" t="n">
        <f aca="false">Model!BK382</f>
        <v>0</v>
      </c>
      <c r="BJ34" s="222" t="n">
        <f aca="false">Model!BL382</f>
        <v>0</v>
      </c>
      <c r="BK34" s="222" t="n">
        <f aca="false">Model!BM382</f>
        <v>0</v>
      </c>
      <c r="BL34" s="222" t="n">
        <f aca="false">Model!BN382</f>
        <v>0</v>
      </c>
      <c r="BM34" s="222" t="n">
        <f aca="false">Model!BO382</f>
        <v>0</v>
      </c>
      <c r="BN34" s="222" t="n">
        <f aca="false">Model!BP382</f>
        <v>0</v>
      </c>
      <c r="BO34" s="222" t="n">
        <f aca="false">Model!BQ382</f>
        <v>0</v>
      </c>
      <c r="BP34" s="222" t="n">
        <f aca="false">Model!BR382</f>
        <v>0</v>
      </c>
      <c r="BQ34" s="222" t="n">
        <f aca="false">Model!BS382</f>
        <v>0</v>
      </c>
      <c r="BR34" s="222" t="n">
        <f aca="false">Model!BT382</f>
        <v>0</v>
      </c>
      <c r="BS34" s="222" t="n">
        <f aca="false">Model!BU382</f>
        <v>0</v>
      </c>
      <c r="BT34" s="222" t="n">
        <f aca="false">Model!BV382</f>
        <v>0</v>
      </c>
      <c r="BU34" s="222" t="n">
        <f aca="false">Model!BW382</f>
        <v>0</v>
      </c>
      <c r="BV34" s="222" t="n">
        <f aca="false">Model!BX382</f>
        <v>0</v>
      </c>
      <c r="BW34" s="222" t="n">
        <f aca="false">Model!BY382</f>
        <v>0</v>
      </c>
      <c r="BX34" s="222" t="n">
        <f aca="false">Model!BZ382</f>
        <v>0</v>
      </c>
      <c r="BY34" s="222" t="n">
        <f aca="false">Model!CA382</f>
        <v>0</v>
      </c>
      <c r="BZ34" s="222" t="n">
        <f aca="false">Model!CB382</f>
        <v>0</v>
      </c>
      <c r="CA34" s="222" t="n">
        <f aca="false">Model!CC382</f>
        <v>0</v>
      </c>
      <c r="CB34" s="222" t="n">
        <f aca="false">Model!CD382</f>
        <v>0</v>
      </c>
      <c r="CC34" s="222" t="n">
        <f aca="false">Model!CE382</f>
        <v>0</v>
      </c>
      <c r="CD34" s="222" t="n">
        <f aca="false">Model!CF382</f>
        <v>0</v>
      </c>
      <c r="CE34" s="222" t="n">
        <f aca="false">Model!CG382</f>
        <v>0</v>
      </c>
      <c r="CF34" s="222" t="n">
        <f aca="false">Model!CH382</f>
        <v>0</v>
      </c>
      <c r="CG34" s="222" t="n">
        <f aca="false">Model!CI382</f>
        <v>0</v>
      </c>
      <c r="CH34" s="222" t="n">
        <f aca="false">Model!CJ382</f>
        <v>0</v>
      </c>
    </row>
    <row r="35" customFormat="false" ht="15" hidden="false" customHeight="true" outlineLevel="0" collapsed="false">
      <c r="A35" s="218" t="s">
        <v>728</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729</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730</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-0</v>
      </c>
      <c r="BZ40" s="222" t="n">
        <f aca="false">Model!CB291</f>
        <v>-0</v>
      </c>
      <c r="CA40" s="222" t="n">
        <f aca="false">Model!CC291</f>
        <v>-0</v>
      </c>
      <c r="CB40" s="222" t="n">
        <f aca="false">Model!CD291</f>
        <v>-0</v>
      </c>
      <c r="CC40" s="222" t="n">
        <f aca="false">Model!CE291</f>
        <v>-0</v>
      </c>
      <c r="CD40" s="222" t="n">
        <f aca="false">Model!CF291</f>
        <v>-0</v>
      </c>
      <c r="CE40" s="222" t="n">
        <f aca="false">Model!CG291</f>
        <v>-0</v>
      </c>
      <c r="CF40" s="222" t="n">
        <f aca="false">Model!CH291</f>
        <v>-0</v>
      </c>
      <c r="CG40" s="222" t="n">
        <f aca="false">Model!CI291</f>
        <v>-0</v>
      </c>
      <c r="CH40" s="222" t="n">
        <f aca="false">Model!CJ291</f>
        <v>-0</v>
      </c>
    </row>
    <row r="41" customFormat="false" ht="15" hidden="false" customHeight="true" outlineLevel="0" collapsed="false">
      <c r="A41" s="218" t="s">
        <v>728</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0</v>
      </c>
      <c r="BZ41" s="219" t="n">
        <f aca="false">BZ39+BZ40</f>
        <v>0</v>
      </c>
      <c r="CA41" s="219" t="n">
        <f aca="false">CA39+CA40</f>
        <v>0</v>
      </c>
      <c r="CB41" s="219" t="n">
        <f aca="false">CB39+CB40</f>
        <v>0</v>
      </c>
      <c r="CC41" s="219" t="n">
        <f aca="false">CC39+CC40</f>
        <v>0</v>
      </c>
      <c r="CD41" s="219" t="n">
        <f aca="false">CD39+CD40</f>
        <v>0</v>
      </c>
      <c r="CE41" s="219" t="n">
        <f aca="false">CE39+CE40</f>
        <v>0</v>
      </c>
      <c r="CF41" s="219" t="n">
        <f aca="false">CF39+CF40</f>
        <v>0</v>
      </c>
      <c r="CG41" s="219" t="n">
        <f aca="false">CG39+CG40</f>
        <v>0</v>
      </c>
      <c r="CH41" s="219" t="n">
        <f aca="false">CH39+CH40</f>
        <v>0</v>
      </c>
    </row>
    <row r="42" customFormat="false" ht="15" hidden="false" customHeight="true" outlineLevel="0" collapsed="false">
      <c r="A42" s="2" t="s">
        <v>729</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0</v>
      </c>
      <c r="BZ42" s="220" t="n">
        <f aca="false">BY42+BZ41</f>
        <v>0</v>
      </c>
      <c r="CA42" s="220" t="n">
        <f aca="false">BZ42+CA41</f>
        <v>0</v>
      </c>
      <c r="CB42" s="220" t="n">
        <f aca="false">CA42+CB41</f>
        <v>0</v>
      </c>
      <c r="CC42" s="220" t="n">
        <f aca="false">CB42+CC41</f>
        <v>0</v>
      </c>
      <c r="CD42" s="220" t="n">
        <f aca="false">CC42+CD41</f>
        <v>0</v>
      </c>
      <c r="CE42" s="220" t="n">
        <f aca="false">CD42+CE41</f>
        <v>0</v>
      </c>
      <c r="CF42" s="220" t="n">
        <f aca="false">CE42+CF41</f>
        <v>0</v>
      </c>
      <c r="CG42" s="220" t="n">
        <f aca="false">CF42+CG41</f>
        <v>0</v>
      </c>
      <c r="CH42" s="220"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732</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67762</v>
      </c>
      <c r="BZ45" s="219" t="n">
        <f aca="false">BZ5+BZ10+BZ16+BZ22+BZ28+BZ35+BZ41</f>
        <v>0</v>
      </c>
      <c r="CA45" s="219" t="n">
        <f aca="false">CA5+CA10+CA16+CA22+CA28+CA35+CA41</f>
        <v>0</v>
      </c>
      <c r="CB45" s="219" t="n">
        <f aca="false">CB5+CB10+CB16+CB22+CB28+CB35+CB41</f>
        <v>76499</v>
      </c>
      <c r="CC45" s="219" t="n">
        <f aca="false">CC5+CC10+CC16+CC22+CC28+CC35+CC41</f>
        <v>0</v>
      </c>
      <c r="CD45" s="219" t="n">
        <f aca="false">CD5+CD10+CD16+CD22+CD28+CD35+CD41</f>
        <v>0</v>
      </c>
      <c r="CE45" s="219" t="n">
        <f aca="false">CE5+CE10+CE16+CE22+CE28+CE35+CE41</f>
        <v>76499</v>
      </c>
      <c r="CF45" s="219" t="n">
        <f aca="false">CF5+CF10+CF16+CF22+CF28+CF35+CF41</f>
        <v>0</v>
      </c>
      <c r="CG45" s="219" t="n">
        <f aca="false">CG5+CG10+CG16+CG22+CG28+CG35+CG41</f>
        <v>0</v>
      </c>
      <c r="CH45" s="219" t="n">
        <f aca="false">CH5+CH10+CH16+CH22+CH28+CH35+CH41</f>
        <v>83107.0266064792</v>
      </c>
    </row>
    <row r="46" customFormat="false" ht="15" hidden="false" customHeight="true" outlineLevel="0" collapsed="false">
      <c r="A46" s="2" t="s">
        <v>733</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809171.1</v>
      </c>
      <c r="BZ46" s="220" t="n">
        <f aca="false">BY46+BZ45</f>
        <v>809171.1</v>
      </c>
      <c r="CA46" s="220" t="n">
        <f aca="false">BZ46+CA45</f>
        <v>809171.1</v>
      </c>
      <c r="CB46" s="220" t="n">
        <f aca="false">CA46+CB45</f>
        <v>885670.1</v>
      </c>
      <c r="CC46" s="220" t="n">
        <f aca="false">CB46+CC45</f>
        <v>885670.1</v>
      </c>
      <c r="CD46" s="220" t="n">
        <f aca="false">CC46+CD45</f>
        <v>885670.1</v>
      </c>
      <c r="CE46" s="220" t="n">
        <f aca="false">CD46+CE45</f>
        <v>962169.1</v>
      </c>
      <c r="CF46" s="220" t="n">
        <f aca="false">CE46+CF45</f>
        <v>962169.1</v>
      </c>
      <c r="CG46" s="220" t="n">
        <f aca="false">CF46+CG45</f>
        <v>962169.1</v>
      </c>
      <c r="CH46" s="220"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4"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6" t="n">
        <f aca="false">Assumptions!B4</f>
        <v>0.06</v>
      </c>
      <c r="C5" s="227" t="n">
        <v>0.06</v>
      </c>
      <c r="D5" s="228" t="n">
        <v>0.04</v>
      </c>
      <c r="E5" s="228" t="n">
        <v>0.08</v>
      </c>
      <c r="F5" s="79" t="s">
        <v>754</v>
      </c>
      <c r="G5" s="69" t="s">
        <v>755</v>
      </c>
      <c r="H5" s="3"/>
      <c r="I5" s="3"/>
    </row>
    <row r="6" customFormat="false" ht="15" hidden="false" customHeight="true" outlineLevel="0" collapsed="false">
      <c r="A6" s="79" t="s">
        <v>756</v>
      </c>
      <c r="B6" s="226" t="n">
        <f aca="false">Assumptions!B5</f>
        <v>0.06</v>
      </c>
      <c r="C6" s="227" t="n">
        <v>0.06</v>
      </c>
      <c r="D6" s="228" t="n">
        <v>0.04</v>
      </c>
      <c r="E6" s="228" t="n">
        <v>0.08</v>
      </c>
      <c r="F6" s="79" t="s">
        <v>754</v>
      </c>
      <c r="G6" s="69" t="s">
        <v>755</v>
      </c>
      <c r="H6" s="3"/>
      <c r="I6" s="3"/>
    </row>
    <row r="7" customFormat="false" ht="15" hidden="false" customHeight="true" outlineLevel="0" collapsed="false">
      <c r="A7" s="79" t="s">
        <v>757</v>
      </c>
      <c r="B7" s="226" t="n">
        <f aca="false">Assumptions!B6</f>
        <v>0.02</v>
      </c>
      <c r="C7" s="227" t="n">
        <v>0.02</v>
      </c>
      <c r="D7" s="228" t="n">
        <v>0.01</v>
      </c>
      <c r="E7" s="228" t="n">
        <v>0.03</v>
      </c>
      <c r="F7" s="79" t="s">
        <v>754</v>
      </c>
      <c r="G7" s="69" t="s">
        <v>758</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759</v>
      </c>
      <c r="B9" s="226" t="n">
        <f aca="false">Assumptions!B26</f>
        <v>0.02</v>
      </c>
      <c r="C9" s="227" t="n">
        <v>0.02</v>
      </c>
      <c r="D9" s="228" t="n">
        <v>0</v>
      </c>
      <c r="E9" s="228" t="n">
        <v>0.04</v>
      </c>
      <c r="F9" s="79" t="s">
        <v>754</v>
      </c>
      <c r="G9" s="69" t="s">
        <v>760</v>
      </c>
      <c r="H9" s="3"/>
      <c r="I9" s="3"/>
    </row>
    <row r="10" customFormat="false" ht="15" hidden="false" customHeight="true" outlineLevel="0" collapsed="false">
      <c r="A10" s="79" t="s">
        <v>761</v>
      </c>
      <c r="B10" s="226" t="n">
        <f aca="false">Assumptions!B15</f>
        <v>0.015</v>
      </c>
      <c r="C10" s="227" t="n">
        <v>0.015</v>
      </c>
      <c r="D10" s="228" t="n">
        <v>0.01</v>
      </c>
      <c r="E10" s="228" t="n">
        <v>0.02</v>
      </c>
      <c r="F10" s="79" t="s">
        <v>754</v>
      </c>
      <c r="G10" s="69" t="s">
        <v>762</v>
      </c>
      <c r="H10" s="3"/>
      <c r="I10" s="3"/>
    </row>
    <row r="11" customFormat="false" ht="15" hidden="false" customHeight="true" outlineLevel="0" collapsed="false">
      <c r="A11" s="79" t="s">
        <v>763</v>
      </c>
      <c r="B11" s="226" t="n">
        <f aca="false">Assumptions!B16</f>
        <v>0.0074</v>
      </c>
      <c r="C11" s="227" t="n">
        <v>0.0074</v>
      </c>
      <c r="D11" s="228" t="n">
        <v>0.005</v>
      </c>
      <c r="E11" s="228" t="n">
        <v>0.015</v>
      </c>
      <c r="F11" s="79" t="s">
        <v>754</v>
      </c>
      <c r="G11" s="69" t="s">
        <v>764</v>
      </c>
      <c r="H11" s="3"/>
      <c r="I11" s="3"/>
    </row>
    <row r="12" customFormat="false" ht="15" hidden="false" customHeight="true" outlineLevel="0" collapsed="false">
      <c r="A12" s="79" t="s">
        <v>765</v>
      </c>
      <c r="B12" s="226" t="n">
        <f aca="false">Assumptions!B17</f>
        <v>0.0325</v>
      </c>
      <c r="C12" s="227" t="n">
        <v>0.0325</v>
      </c>
      <c r="D12" s="228" t="n">
        <v>0.02</v>
      </c>
      <c r="E12" s="228" t="n">
        <v>0.05</v>
      </c>
      <c r="F12" s="79" t="s">
        <v>754</v>
      </c>
      <c r="G12" s="69" t="s">
        <v>766</v>
      </c>
      <c r="H12" s="3"/>
      <c r="I12" s="3"/>
    </row>
    <row r="13" customFormat="false" ht="15" hidden="false" customHeight="true" outlineLevel="0" collapsed="false">
      <c r="A13" s="79" t="s">
        <v>767</v>
      </c>
      <c r="B13" s="226" t="n">
        <f aca="false">Assumptions!B34</f>
        <v>0.15</v>
      </c>
      <c r="C13" s="227" t="n">
        <v>0.15</v>
      </c>
      <c r="D13" s="228" t="n">
        <v>0.1</v>
      </c>
      <c r="E13" s="228" t="n">
        <v>0.2</v>
      </c>
      <c r="F13" s="79" t="s">
        <v>754</v>
      </c>
      <c r="G13" s="69" t="s">
        <v>768</v>
      </c>
      <c r="H13" s="3"/>
      <c r="I13" s="3"/>
    </row>
    <row r="14" customFormat="false" ht="15" hidden="false" customHeight="true" outlineLevel="0" collapsed="false">
      <c r="A14" s="79" t="s">
        <v>769</v>
      </c>
      <c r="B14" s="217" t="n">
        <f aca="false">Assumptions!B36</f>
        <v>112000</v>
      </c>
      <c r="C14" s="229" t="n">
        <v>130000</v>
      </c>
      <c r="D14" s="230" t="n">
        <v>100000</v>
      </c>
      <c r="E14" s="230" t="n">
        <v>175000</v>
      </c>
      <c r="F14" s="79" t="s">
        <v>770</v>
      </c>
      <c r="G14" s="69" t="s">
        <v>771</v>
      </c>
      <c r="H14" s="3"/>
      <c r="I14" s="3"/>
    </row>
    <row r="15" customFormat="false" ht="15" hidden="false" customHeight="true" outlineLevel="0" collapsed="false">
      <c r="A15" s="79" t="s">
        <v>772</v>
      </c>
      <c r="B15" s="226" t="n">
        <f aca="false">Assumptions!B58</f>
        <v>0.15</v>
      </c>
      <c r="C15" s="227" t="n">
        <v>0.15</v>
      </c>
      <c r="D15" s="228" t="n">
        <v>0.1</v>
      </c>
      <c r="E15" s="228" t="n">
        <v>0.2</v>
      </c>
      <c r="F15" s="79" t="s">
        <v>754</v>
      </c>
      <c r="G15" s="69" t="s">
        <v>773</v>
      </c>
      <c r="H15" s="3"/>
      <c r="I15" s="3"/>
    </row>
    <row r="16" customFormat="false" ht="15" hidden="false" customHeight="true" outlineLevel="0" collapsed="false">
      <c r="A16" s="79" t="s">
        <v>774</v>
      </c>
      <c r="B16" s="226" t="n">
        <f aca="false">Assumptions!B47</f>
        <v>0.01</v>
      </c>
      <c r="C16" s="227" t="n">
        <v>0.01</v>
      </c>
      <c r="D16" s="228" t="n">
        <v>0.005</v>
      </c>
      <c r="E16" s="228" t="n">
        <v>0.02</v>
      </c>
      <c r="F16" s="79" t="s">
        <v>754</v>
      </c>
      <c r="G16" s="69" t="s">
        <v>775</v>
      </c>
      <c r="H16" s="3"/>
      <c r="I16" s="3"/>
    </row>
    <row r="17" customFormat="false" ht="15" hidden="false" customHeight="true" outlineLevel="0" collapsed="false">
      <c r="A17" s="79" t="s">
        <v>776</v>
      </c>
      <c r="B17" s="226" t="n">
        <f aca="false">Assumptions!B48</f>
        <v>0.03</v>
      </c>
      <c r="C17" s="227" t="n">
        <v>0.03</v>
      </c>
      <c r="D17" s="228" t="n">
        <v>0.02</v>
      </c>
      <c r="E17" s="228" t="n">
        <v>0.05</v>
      </c>
      <c r="F17" s="79" t="s">
        <v>754</v>
      </c>
      <c r="G17" s="69" t="s">
        <v>777</v>
      </c>
      <c r="H17" s="3"/>
      <c r="I17" s="3"/>
    </row>
    <row r="18" customFormat="false" ht="15" hidden="false" customHeight="true" outlineLevel="0" collapsed="false">
      <c r="A18" s="79" t="s">
        <v>778</v>
      </c>
      <c r="B18" s="231" t="n">
        <v>10</v>
      </c>
      <c r="C18" s="232" t="n">
        <v>10</v>
      </c>
      <c r="D18" s="233" t="n">
        <v>5</v>
      </c>
      <c r="E18" s="233" t="n">
        <v>15</v>
      </c>
      <c r="F18" s="79" t="s">
        <v>779</v>
      </c>
      <c r="G18" s="69" t="s">
        <v>780</v>
      </c>
      <c r="H18" s="3"/>
      <c r="I18" s="3"/>
    </row>
    <row r="19" customFormat="false" ht="15" hidden="false" customHeight="true" outlineLevel="0" collapsed="false">
      <c r="A19" s="79" t="s">
        <v>781</v>
      </c>
      <c r="B19" s="234" t="n">
        <v>18700</v>
      </c>
      <c r="C19" s="229" t="n">
        <v>18700</v>
      </c>
      <c r="D19" s="230" t="n">
        <v>15000</v>
      </c>
      <c r="E19" s="230"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5" t="str">
        <f aca="false">Projects!$G$2</f>
        <v>Yes</v>
      </c>
      <c r="C24" s="234" t="n">
        <v>5321971</v>
      </c>
      <c r="D24" s="79" t="s">
        <v>786</v>
      </c>
      <c r="E24" s="79" t="s">
        <v>787</v>
      </c>
      <c r="F24" s="79" t="s">
        <v>584</v>
      </c>
      <c r="G24" s="79" t="s">
        <v>584</v>
      </c>
      <c r="H24" s="3"/>
      <c r="I24" s="3"/>
    </row>
    <row r="25" customFormat="false" ht="15" hidden="false" customHeight="true" outlineLevel="0" collapsed="false">
      <c r="A25" s="79" t="s">
        <v>8</v>
      </c>
      <c r="B25" s="235" t="str">
        <f aca="false">Projects!$G$3</f>
        <v>Yes</v>
      </c>
      <c r="C25" s="234" t="n">
        <v>19982132</v>
      </c>
      <c r="D25" s="79" t="s">
        <v>786</v>
      </c>
      <c r="E25" s="79" t="s">
        <v>788</v>
      </c>
      <c r="F25" s="79" t="s">
        <v>584</v>
      </c>
      <c r="G25" s="79" t="s">
        <v>584</v>
      </c>
      <c r="H25" s="3"/>
      <c r="I25" s="3"/>
    </row>
    <row r="26" customFormat="false" ht="15" hidden="false" customHeight="true" outlineLevel="0" collapsed="false">
      <c r="A26" s="79" t="s">
        <v>9</v>
      </c>
      <c r="B26" s="235" t="str">
        <f aca="false">Projects!$G$4</f>
        <v>Yes</v>
      </c>
      <c r="C26" s="234" t="n">
        <v>11673185</v>
      </c>
      <c r="D26" s="79" t="s">
        <v>789</v>
      </c>
      <c r="E26" s="79" t="s">
        <v>790</v>
      </c>
      <c r="F26" s="79" t="s">
        <v>584</v>
      </c>
      <c r="G26" s="79" t="s">
        <v>585</v>
      </c>
      <c r="H26" s="3"/>
      <c r="I26" s="3"/>
    </row>
    <row r="27" customFormat="false" ht="15" hidden="false" customHeight="true" outlineLevel="0" collapsed="false">
      <c r="A27" s="79" t="s">
        <v>10</v>
      </c>
      <c r="B27" s="235" t="str">
        <f aca="false">Projects!$G$5</f>
        <v>Yes</v>
      </c>
      <c r="C27" s="234" t="n">
        <v>13492534</v>
      </c>
      <c r="D27" s="79" t="s">
        <v>789</v>
      </c>
      <c r="E27" s="79" t="s">
        <v>790</v>
      </c>
      <c r="F27" s="79" t="s">
        <v>584</v>
      </c>
      <c r="G27" s="79" t="s">
        <v>585</v>
      </c>
      <c r="H27" s="3"/>
      <c r="I27" s="3"/>
    </row>
    <row r="28" customFormat="false" ht="15" hidden="false" customHeight="true" outlineLevel="0" collapsed="false">
      <c r="A28" s="79" t="s">
        <v>11</v>
      </c>
      <c r="B28" s="235" t="str">
        <f aca="false">Projects!$G$6</f>
        <v>Yes</v>
      </c>
      <c r="C28" s="234" t="n">
        <v>4052747</v>
      </c>
      <c r="D28" s="79" t="s">
        <v>789</v>
      </c>
      <c r="E28" s="79" t="s">
        <v>791</v>
      </c>
      <c r="F28" s="79" t="s">
        <v>584</v>
      </c>
      <c r="G28" s="79" t="s">
        <v>585</v>
      </c>
      <c r="H28" s="3"/>
      <c r="I28" s="3"/>
    </row>
    <row r="29" customFormat="false" ht="15" hidden="false" customHeight="true" outlineLevel="0" collapsed="false">
      <c r="A29" s="79" t="s">
        <v>12</v>
      </c>
      <c r="B29" s="235" t="str">
        <f aca="false">Projects!$G$7</f>
        <v>Yes</v>
      </c>
      <c r="C29" s="234" t="n">
        <v>42794765</v>
      </c>
      <c r="D29" s="79" t="s">
        <v>786</v>
      </c>
      <c r="E29" s="79" t="s">
        <v>792</v>
      </c>
      <c r="F29" s="79" t="s">
        <v>585</v>
      </c>
      <c r="G29" s="79" t="s">
        <v>585</v>
      </c>
      <c r="H29" s="3"/>
      <c r="I29" s="3"/>
    </row>
    <row r="30" customFormat="false" ht="15" hidden="false" customHeight="true" outlineLevel="0" collapsed="false">
      <c r="A30" s="79" t="s">
        <v>13</v>
      </c>
      <c r="B30" s="235" t="str">
        <f aca="false">Projects!$G$8</f>
        <v>Yes</v>
      </c>
      <c r="C30" s="234" t="n">
        <v>12993776.05</v>
      </c>
      <c r="D30" s="79" t="s">
        <v>789</v>
      </c>
      <c r="E30" s="79" t="s">
        <v>791</v>
      </c>
      <c r="F30" s="79" t="s">
        <v>584</v>
      </c>
      <c r="G30" s="79" t="s">
        <v>585</v>
      </c>
      <c r="H30" s="3"/>
      <c r="I30" s="3"/>
    </row>
    <row r="31" customFormat="false" ht="15" hidden="false" customHeight="true" outlineLevel="0" collapsed="false">
      <c r="A31" s="79" t="s">
        <v>14</v>
      </c>
      <c r="B31" s="235" t="str">
        <f aca="false">Projects!$G$9</f>
        <v>Yes</v>
      </c>
      <c r="C31" s="234" t="n">
        <v>14337010.8</v>
      </c>
      <c r="D31" s="79" t="s">
        <v>789</v>
      </c>
      <c r="E31" s="79" t="s">
        <v>793</v>
      </c>
      <c r="F31" s="79" t="s">
        <v>584</v>
      </c>
      <c r="G31" s="79" t="s">
        <v>585</v>
      </c>
      <c r="H31" s="3"/>
      <c r="I31" s="3"/>
    </row>
    <row r="32" customFormat="false" ht="15" hidden="false" customHeight="true" outlineLevel="0" collapsed="false">
      <c r="A32" s="79" t="s">
        <v>15</v>
      </c>
      <c r="B32" s="235" t="str">
        <f aca="false">Projects!$G$10</f>
        <v>Yes</v>
      </c>
      <c r="C32" s="234" t="n">
        <v>21263405</v>
      </c>
      <c r="D32" s="79" t="s">
        <v>789</v>
      </c>
      <c r="E32" s="79" t="s">
        <v>791</v>
      </c>
      <c r="F32" s="79" t="s">
        <v>584</v>
      </c>
      <c r="G32" s="79" t="s">
        <v>585</v>
      </c>
      <c r="H32" s="3"/>
      <c r="I32" s="3"/>
    </row>
    <row r="33" customFormat="false" ht="15" hidden="false" customHeight="true" outlineLevel="0" collapsed="false">
      <c r="A33" s="79" t="s">
        <v>16</v>
      </c>
      <c r="B33" s="235" t="str">
        <f aca="false">Projects!$G$11</f>
        <v>Yes</v>
      </c>
      <c r="C33" s="234" t="n">
        <v>9577109</v>
      </c>
      <c r="D33" s="79" t="s">
        <v>786</v>
      </c>
      <c r="E33" s="79" t="s">
        <v>791</v>
      </c>
      <c r="F33" s="79" t="s">
        <v>585</v>
      </c>
      <c r="G33" s="79" t="s">
        <v>584</v>
      </c>
      <c r="H33" s="3"/>
      <c r="I33" s="3"/>
    </row>
    <row r="34" customFormat="false" ht="15" hidden="false" customHeight="true" outlineLevel="0" collapsed="false">
      <c r="A34" s="79" t="s">
        <v>17</v>
      </c>
      <c r="B34" s="235" t="str">
        <f aca="false">Projects!$G$12</f>
        <v>Yes</v>
      </c>
      <c r="C34" s="234" t="n">
        <v>7545203</v>
      </c>
      <c r="D34" s="79" t="s">
        <v>786</v>
      </c>
      <c r="E34" s="79" t="s">
        <v>791</v>
      </c>
      <c r="F34" s="79" t="s">
        <v>585</v>
      </c>
      <c r="G34" s="79" t="s">
        <v>584</v>
      </c>
      <c r="H34" s="3"/>
      <c r="I34" s="3"/>
    </row>
    <row r="35" customFormat="false" ht="15" hidden="false" customHeight="true" outlineLevel="0" collapsed="false">
      <c r="A35" s="79" t="s">
        <v>18</v>
      </c>
      <c r="B35" s="235" t="str">
        <f aca="false">Projects!$G$13</f>
        <v>Yes</v>
      </c>
      <c r="C35" s="234" t="n">
        <v>45266770</v>
      </c>
      <c r="D35" s="79" t="s">
        <v>786</v>
      </c>
      <c r="E35" s="79" t="s">
        <v>793</v>
      </c>
      <c r="F35" s="79" t="s">
        <v>585</v>
      </c>
      <c r="G35" s="79" t="s">
        <v>585</v>
      </c>
      <c r="H35" s="3"/>
      <c r="I35" s="3"/>
    </row>
    <row r="36" customFormat="false" ht="15" hidden="false" customHeight="true" outlineLevel="0" collapsed="false">
      <c r="A36" s="79" t="s">
        <v>19</v>
      </c>
      <c r="B36" s="235" t="str">
        <f aca="false">Projects!$G$14</f>
        <v>No</v>
      </c>
      <c r="C36" s="234"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6" t="s">
        <v>277</v>
      </c>
      <c r="C40" s="236" t="s">
        <v>278</v>
      </c>
      <c r="D40" s="236" t="s">
        <v>279</v>
      </c>
      <c r="E40" s="236" t="s">
        <v>280</v>
      </c>
      <c r="F40" s="236" t="s">
        <v>281</v>
      </c>
      <c r="G40" s="236" t="s">
        <v>282</v>
      </c>
      <c r="H40" s="236" t="s">
        <v>283</v>
      </c>
      <c r="I40" s="236" t="s">
        <v>284</v>
      </c>
    </row>
    <row r="41" customFormat="false" ht="15" hidden="false" customHeight="true" outlineLevel="0" collapsed="false">
      <c r="A41" s="218" t="s">
        <v>796</v>
      </c>
      <c r="B41" s="219" t="n">
        <f aca="false">'Annual Summary'!B7</f>
        <v>57341635.2248811</v>
      </c>
      <c r="C41" s="219" t="n">
        <f aca="false">'Annual Summary'!C7</f>
        <v>95059255.7573176</v>
      </c>
      <c r="D41" s="219" t="n">
        <f aca="false">'Annual Summary'!D7</f>
        <v>65834697.5606655</v>
      </c>
      <c r="E41" s="219" t="n">
        <f aca="false">'Annual Summary'!E7</f>
        <v>17142270.74647</v>
      </c>
      <c r="F41" s="219" t="n">
        <f aca="false">'Annual Summary'!F7</f>
        <v>0</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2245689.46387566</v>
      </c>
      <c r="C42" s="238" t="n">
        <f aca="false">'Annual Summary'!C22</f>
        <v>3569118.22699838</v>
      </c>
      <c r="D42" s="238" t="n">
        <f aca="false">'Annual Summary'!D22</f>
        <v>2853344.0805514</v>
      </c>
      <c r="E42" s="238" t="n">
        <f aca="false">'Annual Summary'!E22</f>
        <v>-2218520.46545245</v>
      </c>
      <c r="F42" s="238" t="n">
        <f aca="false">'Annual Summary'!F22</f>
        <v>-4804874.25434404</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797</v>
      </c>
      <c r="B43" s="226" t="n">
        <f aca="false">'Annual Summary'!B23</f>
        <v>0.0391633314095171</v>
      </c>
      <c r="C43" s="226" t="n">
        <f aca="false">'Annual Summary'!C23</f>
        <v>0.0375462462709596</v>
      </c>
      <c r="D43" s="226" t="n">
        <f aca="false">'Annual Summary'!D23</f>
        <v>0.0433410372687152</v>
      </c>
      <c r="E43" s="226" t="n">
        <f aca="false">'Annual Summary'!E23</f>
        <v>-0.129418120753302</v>
      </c>
      <c r="F43" s="226" t="n">
        <f aca="false">'Annual Summary'!F23</f>
        <v>0</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600527</v>
      </c>
      <c r="I45" s="219" t="n">
        <f aca="false">'Annual Summary'!I25</f>
        <v>1578610</v>
      </c>
    </row>
    <row r="46" customFormat="false" ht="15" hidden="false" customHeight="true" outlineLevel="0" collapsed="false">
      <c r="A46" s="237" t="s">
        <v>138</v>
      </c>
      <c r="B46" s="238" t="n">
        <f aca="false">'Annual Summary'!B27</f>
        <v>-1792019.62</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152</v>
      </c>
      <c r="B48" s="238" t="n">
        <f aca="false">'Annual Summary'!B31</f>
        <v>454949.595408988</v>
      </c>
      <c r="C48" s="238" t="n">
        <f aca="false">'Annual Summary'!C31</f>
        <v>1710502.73745653</v>
      </c>
      <c r="D48" s="238" t="n">
        <f aca="false">'Annual Summary'!D31</f>
        <v>810844.521176149</v>
      </c>
      <c r="E48" s="238" t="n">
        <f aca="false">'Annual Summary'!E31</f>
        <v>-4678043.16062988</v>
      </c>
      <c r="F48" s="238" t="n">
        <f aca="false">'Annual Summary'!F31</f>
        <v>-7315170.24002781</v>
      </c>
      <c r="G48" s="238" t="n">
        <f aca="false">'Annual Summary'!G31</f>
        <v>-7332748.17482837</v>
      </c>
      <c r="H48" s="238" t="n">
        <f aca="false">'Annual Summary'!H31</f>
        <v>-7306600.61532494</v>
      </c>
      <c r="I48" s="238" t="n">
        <f aca="false">'Annual Summary'!I31</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798</v>
      </c>
      <c r="B50" s="240" t="n">
        <f aca="false">'Annual Summary'!B53</f>
        <v>2194441.66598602</v>
      </c>
      <c r="C50" s="240" t="n">
        <f aca="false">'Annual Summary'!C53</f>
        <v>1069721.00042206</v>
      </c>
      <c r="D50" s="240" t="n">
        <f aca="false">'Annual Summary'!D53</f>
        <v>1602292.07660464</v>
      </c>
      <c r="E50" s="240" t="n">
        <f aca="false">'Annual Summary'!E53</f>
        <v>-2375884.08761367</v>
      </c>
      <c r="F50" s="240" t="n">
        <f aca="false">'Annual Summary'!F53</f>
        <v>-9691054.32764148</v>
      </c>
      <c r="G50" s="240" t="n">
        <f aca="false">'Annual Summary'!G53</f>
        <v>-17023802.5024699</v>
      </c>
      <c r="H50" s="240" t="n">
        <f aca="false">'Annual Summary'!H53</f>
        <v>-24330403.1177948</v>
      </c>
      <c r="I50" s="240" t="n">
        <f aca="false">'Annual Summary'!I53</f>
        <v>-30565859.0388198</v>
      </c>
    </row>
    <row r="51" customFormat="false" ht="15" hidden="false" customHeight="true" outlineLevel="0" collapsed="false">
      <c r="A51" s="239" t="s">
        <v>196</v>
      </c>
      <c r="B51" s="240" t="n">
        <f aca="false">'Annual Summary'!B50</f>
        <v>2169280.11445269</v>
      </c>
      <c r="C51" s="240" t="n">
        <f aca="false">'Annual Summary'!C50</f>
        <v>4247174.93843058</v>
      </c>
      <c r="D51" s="240" t="n">
        <f aca="false">'Annual Summary'!D50</f>
        <v>7724227.004267</v>
      </c>
      <c r="E51" s="240" t="n">
        <f aca="false">'Annual Summary'!E50</f>
        <v>6205573.53522612</v>
      </c>
      <c r="F51" s="240" t="n">
        <f aca="false">'Annual Summary'!F50</f>
        <v>1400699.28088207</v>
      </c>
      <c r="G51" s="240" t="n">
        <f aca="false">'Annual Summary'!G50</f>
        <v>-3496672.45854885</v>
      </c>
      <c r="H51" s="240" t="n">
        <f aca="false">'Annual Summary'!H50</f>
        <v>-8488391.6327684</v>
      </c>
      <c r="I51" s="240" t="n">
        <f aca="false">'Annual Summary'!I50</f>
        <v>-13576345.1904723</v>
      </c>
    </row>
    <row r="52" customFormat="false" ht="15" hidden="false" customHeight="true" outlineLevel="0" collapsed="false">
      <c r="A52" s="239" t="s">
        <v>204</v>
      </c>
      <c r="B52" s="240" t="n">
        <f aca="false">'Annual Summary'!B51</f>
        <v>25161.5515333333</v>
      </c>
      <c r="C52" s="240" t="n">
        <f aca="false">'Annual Summary'!C51</f>
        <v>-3177453.93800852</v>
      </c>
      <c r="D52" s="240" t="n">
        <f aca="false">'Annual Summary'!D51</f>
        <v>-6121934.92766236</v>
      </c>
      <c r="E52" s="240" t="n">
        <f aca="false">'Annual Summary'!E51</f>
        <v>-8581457.62283978</v>
      </c>
      <c r="F52" s="240" t="n">
        <f aca="false">'Annual Summary'!F51</f>
        <v>-11091753.6085236</v>
      </c>
      <c r="G52" s="240" t="n">
        <f aca="false">'Annual Summary'!G51</f>
        <v>-13527130.043921</v>
      </c>
      <c r="H52" s="240" t="n">
        <f aca="false">'Annual Summary'!H51</f>
        <v>-15842011.4850264</v>
      </c>
      <c r="I52" s="240" t="n">
        <f aca="false">'Annual Summary'!I51</f>
        <v>-16989513.8483474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17" t="n">
        <f aca="false">'Annual Summary'!B48</f>
        <v>93841157.4299332</v>
      </c>
      <c r="C54" s="217" t="n">
        <f aca="false">'Annual Summary'!C48</f>
        <v>74016619.84339</v>
      </c>
      <c r="D54" s="217" t="n">
        <f aca="false">'Annual Summary'!D48</f>
        <v>17213731.86939</v>
      </c>
      <c r="E54" s="217" t="n">
        <f aca="false">'Annual Summary'!E48</f>
        <v>0</v>
      </c>
      <c r="F54" s="217" t="n">
        <f aca="false">'Annual Summary'!F48</f>
        <v>0</v>
      </c>
      <c r="G54" s="217" t="n">
        <f aca="false">'Annual Summary'!G48</f>
        <v>0</v>
      </c>
      <c r="H54" s="217" t="n">
        <f aca="false">'Annual Summary'!H48</f>
        <v>0</v>
      </c>
      <c r="I54" s="217" t="n">
        <f aca="false">'Annual Summary'!I48</f>
        <v>0</v>
      </c>
    </row>
    <row r="55" customFormat="false" ht="15" hidden="false" customHeight="true" outlineLevel="0" collapsed="false">
      <c r="A55" s="79" t="s">
        <v>799</v>
      </c>
      <c r="B55" s="217" t="n">
        <f aca="false">'Annual Summary'!B46</f>
        <v>1695181.94921875</v>
      </c>
      <c r="C55" s="217" t="n">
        <f aca="false">'Annual Summary'!C46</f>
        <v>630279.327378641</v>
      </c>
      <c r="D55" s="217" t="n">
        <f aca="false">'Annual Summary'!D46</f>
        <v>730273.404257803</v>
      </c>
      <c r="E55" s="217" t="n">
        <f aca="false">'Annual Summary'!E46</f>
        <v>846131.582935293</v>
      </c>
      <c r="F55" s="217" t="n">
        <f aca="false">'Annual Summary'!F46</f>
        <v>566072.415105011</v>
      </c>
      <c r="G55" s="217" t="n">
        <f aca="false">'Annual Summary'!G46</f>
        <v>346547.082648898</v>
      </c>
      <c r="H55" s="217" t="n">
        <f aca="false">'Annual Summary'!H46</f>
        <v>72052.0225479718</v>
      </c>
      <c r="I55" s="217" t="n">
        <f aca="false">'Annual Summary'!I46</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1" t="s">
        <v>802</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4" t="n">
        <f aca="false">'Annual Summary'!B50</f>
        <v>2169280.11445269</v>
      </c>
      <c r="C70" s="230" t="n">
        <f aca="false">'Annual Summary'!C50</f>
        <v>4247174.93843058</v>
      </c>
      <c r="D70" s="230" t="n">
        <f aca="false">'Annual Summary'!E50</f>
        <v>6205573.53522612</v>
      </c>
      <c r="E70" s="230" t="n">
        <f aca="false">'Annual Summary'!G50</f>
        <v>-3496672.45854885</v>
      </c>
      <c r="F70" s="230" t="n">
        <f aca="false">'Annual Summary'!I50</f>
        <v>-13576345.1904723</v>
      </c>
      <c r="G70" s="3"/>
      <c r="H70" s="3"/>
      <c r="I70" s="3"/>
    </row>
    <row r="71" customFormat="false" ht="15" hidden="false" customHeight="true" outlineLevel="0" collapsed="false">
      <c r="A71" s="79" t="s">
        <v>811</v>
      </c>
      <c r="B71" s="234" t="n">
        <f aca="false">'Annual Summary'!B51</f>
        <v>25161.5515333333</v>
      </c>
      <c r="C71" s="230" t="n">
        <f aca="false">'Annual Summary'!C51</f>
        <v>-3177453.93800852</v>
      </c>
      <c r="D71" s="230" t="n">
        <f aca="false">'Annual Summary'!E51</f>
        <v>-8581457.62283978</v>
      </c>
      <c r="E71" s="230" t="n">
        <f aca="false">'Annual Summary'!G51</f>
        <v>-13527130.043921</v>
      </c>
      <c r="F71" s="230" t="n">
        <f aca="false">'Annual Summary'!I51</f>
        <v>-16989513.8483474</v>
      </c>
      <c r="G71" s="3"/>
      <c r="H71" s="3"/>
      <c r="I71" s="3"/>
    </row>
    <row r="72" customFormat="false" ht="15" hidden="false" customHeight="true" outlineLevel="0" collapsed="false">
      <c r="A72" s="239" t="s">
        <v>812</v>
      </c>
      <c r="B72" s="245" t="n">
        <f aca="false">'Annual Summary'!B53</f>
        <v>2194441.66598602</v>
      </c>
      <c r="C72" s="246" t="n">
        <f aca="false">'Annual Summary'!C53</f>
        <v>1069721.00042206</v>
      </c>
      <c r="D72" s="246" t="n">
        <f aca="false">'Annual Summary'!E53</f>
        <v>-2375884.08761367</v>
      </c>
      <c r="E72" s="246" t="n">
        <f aca="false">'Annual Summary'!G53</f>
        <v>-17023802.5024699</v>
      </c>
      <c r="F72" s="246" t="n">
        <f aca="false">'Annual Summary'!I53</f>
        <v>-30565859.0388198</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2" t="n">
        <v>95771</v>
      </c>
      <c r="C77" s="222" t="n">
        <v>60000</v>
      </c>
      <c r="D77" s="222" t="n">
        <v>0</v>
      </c>
      <c r="E77" s="220" t="n">
        <v>155771</v>
      </c>
      <c r="F77" s="69" t="s">
        <v>819</v>
      </c>
      <c r="G77" s="3"/>
      <c r="H77" s="3"/>
      <c r="I77" s="3"/>
    </row>
    <row r="78" customFormat="false" ht="15" hidden="false" customHeight="true" outlineLevel="0" collapsed="false">
      <c r="A78" s="79" t="s">
        <v>17</v>
      </c>
      <c r="B78" s="222" t="n">
        <v>75452</v>
      </c>
      <c r="C78" s="222" t="n">
        <v>60000</v>
      </c>
      <c r="D78" s="222" t="n">
        <v>0</v>
      </c>
      <c r="E78" s="220" t="n">
        <v>135452</v>
      </c>
      <c r="F78" s="69" t="s">
        <v>819</v>
      </c>
      <c r="G78" s="3"/>
      <c r="H78" s="3"/>
      <c r="I78" s="3"/>
    </row>
    <row r="79" customFormat="false" ht="15" hidden="false" customHeight="true" outlineLevel="0" collapsed="false">
      <c r="A79" s="79" t="s">
        <v>12</v>
      </c>
      <c r="B79" s="222" t="n">
        <v>579684</v>
      </c>
      <c r="C79" s="222" t="n">
        <v>150000</v>
      </c>
      <c r="D79" s="222" t="n">
        <v>0</v>
      </c>
      <c r="E79" s="220" t="n">
        <v>729684</v>
      </c>
      <c r="F79" s="69" t="s">
        <v>820</v>
      </c>
      <c r="G79" s="3"/>
      <c r="H79" s="3"/>
      <c r="I79" s="3"/>
    </row>
    <row r="80" customFormat="false" ht="15" hidden="false" customHeight="true" outlineLevel="0" collapsed="false">
      <c r="A80" s="79" t="s">
        <v>18</v>
      </c>
      <c r="B80" s="222" t="n">
        <v>602668</v>
      </c>
      <c r="C80" s="222" t="n">
        <v>150000</v>
      </c>
      <c r="D80" s="222" t="n">
        <v>1450000</v>
      </c>
      <c r="E80" s="220" t="n">
        <v>752668</v>
      </c>
      <c r="F80" s="69" t="s">
        <v>820</v>
      </c>
      <c r="G80" s="3"/>
      <c r="H80" s="3"/>
      <c r="I80" s="3"/>
    </row>
    <row r="81" customFormat="false" ht="15" hidden="false" customHeight="true" outlineLevel="0" collapsed="false">
      <c r="A81" s="79" t="s">
        <v>19</v>
      </c>
      <c r="B81" s="222" t="n">
        <v>563546</v>
      </c>
      <c r="C81" s="222" t="n">
        <v>150000</v>
      </c>
      <c r="D81" s="222" t="n">
        <v>0</v>
      </c>
      <c r="E81" s="220" t="n">
        <v>713546</v>
      </c>
      <c r="F81" s="69" t="s">
        <v>821</v>
      </c>
      <c r="G81" s="3"/>
      <c r="H81" s="3"/>
      <c r="I81" s="3"/>
    </row>
    <row r="82" customFormat="false" ht="15" hidden="false" customHeight="true" outlineLevel="0" collapsed="false">
      <c r="A82" s="218" t="s">
        <v>551</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4" t="n">
        <v>86621402</v>
      </c>
      <c r="C86" s="3"/>
      <c r="D86" s="3"/>
      <c r="E86" s="3"/>
      <c r="F86" s="3"/>
      <c r="G86" s="3"/>
      <c r="H86" s="3"/>
      <c r="I86" s="3"/>
    </row>
    <row r="87" customFormat="false" ht="15" hidden="false" customHeight="true" outlineLevel="0" collapsed="false">
      <c r="A87" s="79" t="s">
        <v>824</v>
      </c>
      <c r="B87" s="247" t="n">
        <v>0.0325</v>
      </c>
      <c r="C87" s="3"/>
      <c r="D87" s="3"/>
      <c r="E87" s="3"/>
      <c r="F87" s="3"/>
      <c r="G87" s="3"/>
      <c r="H87" s="3"/>
      <c r="I87" s="3"/>
    </row>
    <row r="88" customFormat="false" ht="15" hidden="false" customHeight="true" outlineLevel="0" collapsed="false">
      <c r="A88" s="79" t="s">
        <v>825</v>
      </c>
      <c r="B88" s="227"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1" t="s">
        <v>826</v>
      </c>
      <c r="B90" s="222" t="n">
        <v>0</v>
      </c>
      <c r="C90" s="222" t="n">
        <v>-956261</v>
      </c>
      <c r="D90" s="222" t="n">
        <v>-1465718</v>
      </c>
      <c r="E90" s="222" t="n">
        <v>-967911</v>
      </c>
      <c r="F90" s="222" t="n">
        <v>-3389890</v>
      </c>
      <c r="G90" s="3"/>
      <c r="H90" s="3"/>
      <c r="I90" s="3"/>
    </row>
    <row r="91" customFormat="false" ht="15" hidden="false" customHeight="true" outlineLevel="0" collapsed="false">
      <c r="A91" s="235" t="s">
        <v>827</v>
      </c>
      <c r="B91" s="217" t="n">
        <v>0</v>
      </c>
      <c r="C91" s="217" t="n">
        <v>-441351</v>
      </c>
      <c r="D91" s="217" t="n">
        <v>-676485</v>
      </c>
      <c r="E91" s="217" t="n">
        <v>-446728</v>
      </c>
      <c r="F91" s="217" t="n">
        <v>-1564564</v>
      </c>
      <c r="G91" s="3"/>
      <c r="H91" s="3"/>
      <c r="I91" s="3"/>
    </row>
    <row r="92" customFormat="false" ht="15" hidden="false" customHeight="true" outlineLevel="0" collapsed="false">
      <c r="A92" s="218" t="s">
        <v>828</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0" t="n">
        <f aca="false">'Annual Summary'!B48</f>
        <v>93841157.4299332</v>
      </c>
      <c r="C98" s="230" t="n">
        <f aca="false">'Annual Summary'!C48</f>
        <v>74016619.84339</v>
      </c>
      <c r="D98" s="230" t="n">
        <f aca="false">'Annual Summary'!D48</f>
        <v>17213731.86939</v>
      </c>
      <c r="E98" s="230" t="n">
        <f aca="false">'Annual Summary'!E48</f>
        <v>0</v>
      </c>
      <c r="F98" s="3"/>
      <c r="G98" s="3"/>
      <c r="H98" s="3"/>
      <c r="I98" s="3"/>
    </row>
    <row r="99" customFormat="false" ht="15" hidden="false" customHeight="true" outlineLevel="0" collapsed="false">
      <c r="A99" s="221" t="s">
        <v>832</v>
      </c>
      <c r="B99" s="222" t="n">
        <f aca="false">B98*0.025</f>
        <v>2346028.93574833</v>
      </c>
      <c r="C99" s="222" t="n">
        <f aca="false">C98*0.025</f>
        <v>1850415.49608475</v>
      </c>
      <c r="D99" s="222" t="n">
        <f aca="false">D98*0.025</f>
        <v>430343.29673475</v>
      </c>
      <c r="E99" s="222" t="n">
        <f aca="false">E98*0.025</f>
        <v>0</v>
      </c>
      <c r="F99" s="3"/>
      <c r="G99" s="3"/>
      <c r="H99" s="3"/>
      <c r="I99" s="3"/>
    </row>
    <row r="100" customFormat="false" ht="15" hidden="false" customHeight="true" outlineLevel="0" collapsed="false">
      <c r="A100" s="79" t="s">
        <v>833</v>
      </c>
      <c r="B100" s="230" t="n">
        <f aca="false">'Annual Summary'!B53</f>
        <v>2194441.66598602</v>
      </c>
      <c r="C100" s="230" t="n">
        <f aca="false">'Annual Summary'!C53</f>
        <v>1069721.00042206</v>
      </c>
      <c r="D100" s="230" t="n">
        <f aca="false">'Annual Summary'!D53</f>
        <v>1602292.07660464</v>
      </c>
      <c r="E100" s="230" t="n">
        <f aca="false">'Annual Summary'!E53</f>
        <v>-2375884.08761367</v>
      </c>
      <c r="F100" s="3"/>
      <c r="G100" s="3"/>
      <c r="H100" s="3"/>
      <c r="I100" s="3"/>
    </row>
    <row r="101" customFormat="false" ht="15" hidden="false" customHeight="true" outlineLevel="0" collapsed="false">
      <c r="A101" s="79" t="s">
        <v>834</v>
      </c>
      <c r="B101" s="230" t="n">
        <f aca="false">'Annual Summary'!B22*0.05</f>
        <v>112284.473193783</v>
      </c>
      <c r="C101" s="230" t="n">
        <f aca="false">'Annual Summary'!C22*0.05</f>
        <v>178455.911349919</v>
      </c>
      <c r="D101" s="230" t="n">
        <f aca="false">'Annual Summary'!D22*0.05</f>
        <v>142667.20402757</v>
      </c>
      <c r="E101" s="230" t="n">
        <f aca="false">'Annual Summary'!E22*0.05</f>
        <v>-110926.023272623</v>
      </c>
      <c r="F101" s="3"/>
      <c r="G101" s="3"/>
      <c r="H101" s="3"/>
      <c r="I101" s="3"/>
    </row>
    <row r="102" customFormat="false" ht="15" hidden="false" customHeight="true" outlineLevel="0" collapsed="false">
      <c r="A102" s="79" t="s">
        <v>835</v>
      </c>
      <c r="B102" s="230" t="n">
        <f aca="false">B100+B101</f>
        <v>2306726.13917981</v>
      </c>
      <c r="C102" s="230" t="n">
        <f aca="false">C100+C101</f>
        <v>1248176.91177198</v>
      </c>
      <c r="D102" s="230" t="n">
        <f aca="false">D100+D101</f>
        <v>1744959.28063221</v>
      </c>
      <c r="E102" s="230" t="n">
        <f aca="false">E100+E101</f>
        <v>-2486810.11088629</v>
      </c>
      <c r="F102" s="3"/>
      <c r="G102" s="3"/>
      <c r="H102" s="3"/>
      <c r="I102" s="3"/>
    </row>
    <row r="103" customFormat="false" ht="15" hidden="false" customHeight="true" outlineLevel="0" collapsed="false">
      <c r="A103" s="218" t="s">
        <v>836</v>
      </c>
      <c r="B103" s="219" t="n">
        <f aca="false">B102-B99</f>
        <v>-39302.7965685232</v>
      </c>
      <c r="C103" s="219" t="n">
        <f aca="false">C102-C99</f>
        <v>-602238.584312771</v>
      </c>
      <c r="D103" s="219" t="n">
        <f aca="false">D102-D99</f>
        <v>1314615.98389746</v>
      </c>
      <c r="E103" s="219" t="n">
        <f aca="false">E102-E99</f>
        <v>-2486810.11088629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4" t="n">
        <v>15179956</v>
      </c>
      <c r="C107" s="3"/>
      <c r="D107" s="3"/>
      <c r="E107" s="3"/>
      <c r="F107" s="3"/>
      <c r="G107" s="3"/>
      <c r="H107" s="3"/>
      <c r="I107" s="3"/>
    </row>
    <row r="108" customFormat="false" ht="15" hidden="false" customHeight="true" outlineLevel="0" collapsed="false">
      <c r="A108" s="79" t="s">
        <v>839</v>
      </c>
      <c r="B108" s="247" t="n">
        <v>0.1136</v>
      </c>
      <c r="C108" s="3"/>
      <c r="D108" s="3"/>
      <c r="E108" s="3"/>
      <c r="F108" s="3"/>
      <c r="G108" s="3"/>
      <c r="H108" s="3"/>
      <c r="I108" s="3"/>
    </row>
    <row r="109" customFormat="false" ht="15" hidden="false" customHeight="true" outlineLevel="0" collapsed="false">
      <c r="A109" s="79" t="s">
        <v>840</v>
      </c>
      <c r="B109" s="220" t="n">
        <v>1724443</v>
      </c>
      <c r="C109" s="3"/>
      <c r="D109" s="3"/>
      <c r="E109" s="3"/>
      <c r="F109" s="3"/>
      <c r="G109" s="3"/>
      <c r="H109" s="3"/>
      <c r="I109" s="3"/>
    </row>
    <row r="110" customFormat="false" ht="15" hidden="false" customHeight="true" outlineLevel="0" collapsed="false">
      <c r="A110" s="79" t="s">
        <v>841</v>
      </c>
      <c r="B110" s="248" t="n">
        <v>3</v>
      </c>
      <c r="C110" s="3"/>
      <c r="D110" s="3"/>
      <c r="E110" s="3"/>
      <c r="F110" s="3"/>
      <c r="G110" s="3"/>
      <c r="H110" s="3"/>
      <c r="I110" s="3"/>
    </row>
    <row r="111" customFormat="false" ht="15" hidden="false" customHeight="true" outlineLevel="0" collapsed="false">
      <c r="A111" s="218" t="s">
        <v>842</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845</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846</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4" t="n">
        <v>1450000</v>
      </c>
      <c r="C125" s="249" t="s">
        <v>853</v>
      </c>
      <c r="D125" s="69" t="s">
        <v>854</v>
      </c>
      <c r="E125" s="3"/>
      <c r="F125" s="3"/>
      <c r="G125" s="3"/>
      <c r="H125" s="3"/>
      <c r="I125" s="3"/>
    </row>
    <row r="126" customFormat="false" ht="15" hidden="false" customHeight="true" outlineLevel="0" collapsed="false">
      <c r="A126" s="79" t="s">
        <v>855</v>
      </c>
      <c r="B126" s="222" t="n">
        <v>-1450000</v>
      </c>
      <c r="C126" s="249" t="s">
        <v>856</v>
      </c>
      <c r="D126" s="69" t="s">
        <v>857</v>
      </c>
      <c r="E126" s="3"/>
      <c r="F126" s="3"/>
      <c r="G126" s="3"/>
      <c r="H126" s="3"/>
      <c r="I126" s="3"/>
    </row>
    <row r="127" customFormat="false" ht="15" hidden="false" customHeight="true" outlineLevel="0" collapsed="false">
      <c r="A127" s="79" t="s">
        <v>858</v>
      </c>
      <c r="B127" s="3"/>
      <c r="C127" s="249" t="s">
        <v>859</v>
      </c>
      <c r="D127" s="69" t="s">
        <v>860</v>
      </c>
      <c r="E127" s="3"/>
      <c r="F127" s="3"/>
      <c r="G127" s="3"/>
      <c r="H127" s="3"/>
      <c r="I127" s="3"/>
    </row>
    <row r="128" customFormat="false" ht="15" hidden="false" customHeight="true" outlineLevel="0" collapsed="false">
      <c r="A128" s="218" t="s">
        <v>861</v>
      </c>
      <c r="B128" s="219" t="n">
        <v>0</v>
      </c>
      <c r="C128" s="218" t="s">
        <v>862</v>
      </c>
      <c r="D128" s="218"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20" t="n">
        <v>362885</v>
      </c>
      <c r="C130" s="249" t="s">
        <v>865</v>
      </c>
      <c r="D130" s="69" t="s">
        <v>866</v>
      </c>
      <c r="E130" s="3"/>
      <c r="F130" s="3"/>
      <c r="G130" s="3"/>
      <c r="H130" s="3"/>
      <c r="I130" s="3"/>
    </row>
    <row r="131" customFormat="false" ht="15" hidden="false" customHeight="true" outlineLevel="0" collapsed="false">
      <c r="A131" s="218" t="s">
        <v>867</v>
      </c>
      <c r="B131" s="219" t="n">
        <v>1812885</v>
      </c>
      <c r="C131" s="218" t="s">
        <v>868</v>
      </c>
      <c r="D131" s="218"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5" t="s">
        <v>910</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911</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912</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913</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914</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915</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916</v>
      </c>
      <c r="B1" s="252"/>
      <c r="C1" s="252"/>
      <c r="D1" s="252"/>
    </row>
    <row r="3" customFormat="false" ht="15" hidden="false" customHeight="true" outlineLevel="0" collapsed="false">
      <c r="A3" s="23" t="s">
        <v>917</v>
      </c>
      <c r="B3" s="23"/>
      <c r="C3" s="23"/>
      <c r="D3" s="23"/>
    </row>
    <row r="4" customFormat="false" ht="15" hidden="false" customHeight="true" outlineLevel="0" collapsed="false">
      <c r="A4" s="175" t="s">
        <v>918</v>
      </c>
      <c r="B4" s="250" t="n">
        <v>0.06</v>
      </c>
    </row>
    <row r="5" customFormat="false" ht="15" hidden="false" customHeight="true" outlineLevel="0" collapsed="false">
      <c r="A5" s="175" t="s">
        <v>756</v>
      </c>
      <c r="B5" s="250" t="n">
        <v>0.06</v>
      </c>
    </row>
    <row r="6" customFormat="false" ht="15" hidden="false" customHeight="true" outlineLevel="0" collapsed="false">
      <c r="A6" s="175" t="s">
        <v>919</v>
      </c>
      <c r="B6" s="250" t="n">
        <v>0.02</v>
      </c>
    </row>
    <row r="7" customFormat="false" ht="15" hidden="false" customHeight="true" outlineLevel="0" collapsed="false">
      <c r="A7" s="175" t="s">
        <v>920</v>
      </c>
      <c r="B7" s="178" t="n">
        <f aca="false">B4+B5+B6</f>
        <v>0.14</v>
      </c>
    </row>
    <row r="8" customFormat="false" ht="15" hidden="false" customHeight="true" outlineLevel="0" collapsed="false">
      <c r="A8" s="175"/>
      <c r="B8" s="250"/>
    </row>
    <row r="9" customFormat="false" ht="15" hidden="false" customHeight="true" outlineLevel="0" collapsed="false">
      <c r="A9" s="175" t="s">
        <v>921</v>
      </c>
      <c r="B9" s="178" t="n">
        <f aca="false">SUM(B10:B12)</f>
        <v>0.120391</v>
      </c>
      <c r="C9" s="1" t="s">
        <v>922</v>
      </c>
    </row>
    <row r="10" customFormat="false" ht="15" hidden="false" customHeight="true" outlineLevel="0" collapsed="false">
      <c r="A10" s="175" t="s">
        <v>923</v>
      </c>
      <c r="B10" s="178" t="n">
        <v>0.051596</v>
      </c>
    </row>
    <row r="11" customFormat="false" ht="15" hidden="false" customHeight="true" outlineLevel="0" collapsed="false">
      <c r="A11" s="175" t="s">
        <v>924</v>
      </c>
      <c r="B11" s="178" t="n">
        <v>0.051596</v>
      </c>
    </row>
    <row r="12" customFormat="false" ht="15" hidden="false" customHeight="true" outlineLevel="0" collapsed="false">
      <c r="A12" s="175" t="s">
        <v>925</v>
      </c>
      <c r="B12" s="178" t="n">
        <v>0.017199</v>
      </c>
    </row>
    <row r="14" customFormat="false" ht="15" hidden="false" customHeight="true" outlineLevel="0" collapsed="false">
      <c r="A14" s="23" t="s">
        <v>926</v>
      </c>
      <c r="B14" s="23"/>
      <c r="C14" s="23"/>
      <c r="D14" s="23"/>
    </row>
    <row r="15" customFormat="false" ht="15" hidden="false" customHeight="true" outlineLevel="0" collapsed="false">
      <c r="A15" s="175" t="s">
        <v>761</v>
      </c>
      <c r="B15" s="250" t="n">
        <v>0.015</v>
      </c>
    </row>
    <row r="16" customFormat="false" ht="15" hidden="false" customHeight="true" outlineLevel="0" collapsed="false">
      <c r="A16" s="175" t="s">
        <v>763</v>
      </c>
      <c r="B16" s="250" t="n">
        <v>0.0074</v>
      </c>
    </row>
    <row r="17" customFormat="false" ht="15" hidden="false" customHeight="true" outlineLevel="0" collapsed="false">
      <c r="A17" s="175" t="s">
        <v>765</v>
      </c>
      <c r="B17" s="250" t="n">
        <v>0.0325</v>
      </c>
    </row>
    <row r="18" customFormat="false" ht="15" hidden="false" customHeight="true" outlineLevel="0" collapsed="false">
      <c r="A18" s="1" t="s">
        <v>927</v>
      </c>
      <c r="B18" s="253" t="n">
        <f aca="false">103966/14337010.8</f>
        <v>0.00725158134079107</v>
      </c>
      <c r="C18" s="1" t="s">
        <v>928</v>
      </c>
      <c r="D18" s="254"/>
    </row>
    <row r="19" customFormat="false" ht="15" hidden="false" customHeight="true" outlineLevel="0" collapsed="false">
      <c r="A19" s="23" t="s">
        <v>929</v>
      </c>
      <c r="B19" s="23"/>
      <c r="C19" s="23"/>
      <c r="D19" s="23"/>
    </row>
    <row r="20" customFormat="false" ht="15" hidden="false" customHeight="true" outlineLevel="0" collapsed="false">
      <c r="A20" s="175" t="s">
        <v>930</v>
      </c>
      <c r="B20" s="250" t="n">
        <v>0.07</v>
      </c>
    </row>
    <row r="21" customFormat="false" ht="15" hidden="false" customHeight="true" outlineLevel="0" collapsed="false">
      <c r="A21" s="175" t="s">
        <v>931</v>
      </c>
      <c r="B21" s="250" t="n">
        <v>0.005</v>
      </c>
    </row>
    <row r="22" customFormat="false" ht="15" hidden="false" customHeight="true" outlineLevel="0" collapsed="false">
      <c r="A22" s="175" t="s">
        <v>932</v>
      </c>
      <c r="B22" s="250" t="n">
        <v>0.05</v>
      </c>
    </row>
    <row r="23" customFormat="false" ht="15" hidden="false" customHeight="true" outlineLevel="0" collapsed="false">
      <c r="A23" s="175" t="s">
        <v>933</v>
      </c>
      <c r="B23" s="250" t="n">
        <v>0.02</v>
      </c>
    </row>
    <row r="24" customFormat="false" ht="13.5" hidden="false" customHeight="false" outlineLevel="0" collapsed="false">
      <c r="A24" s="175" t="s">
        <v>934</v>
      </c>
      <c r="B24" s="250" t="n">
        <v>0.035</v>
      </c>
    </row>
    <row r="25" customFormat="false" ht="15" hidden="false" customHeight="true" outlineLevel="0" collapsed="false">
      <c r="A25" s="23" t="s">
        <v>935</v>
      </c>
      <c r="B25" s="23"/>
      <c r="C25" s="23"/>
      <c r="D25" s="23"/>
    </row>
    <row r="26" customFormat="false" ht="15" hidden="false" customHeight="true" outlineLevel="0" collapsed="false">
      <c r="A26" s="175" t="s">
        <v>936</v>
      </c>
      <c r="B26" s="227" t="n">
        <v>0.02</v>
      </c>
    </row>
    <row r="27" customFormat="false" ht="13.5" hidden="false" customHeight="false" outlineLevel="0" collapsed="false">
      <c r="A27" s="175" t="s">
        <v>937</v>
      </c>
      <c r="B27" s="250" t="n">
        <v>0.003</v>
      </c>
    </row>
    <row r="28" customFormat="false" ht="15" hidden="false" customHeight="true" outlineLevel="0" collapsed="false">
      <c r="A28" s="23" t="s">
        <v>938</v>
      </c>
      <c r="B28" s="23"/>
      <c r="C28" s="23"/>
      <c r="D28" s="23"/>
    </row>
    <row r="29" customFormat="false" ht="15" hidden="false" customHeight="true" outlineLevel="0" collapsed="false">
      <c r="A29" s="175" t="s">
        <v>939</v>
      </c>
      <c r="B29" s="229" t="n">
        <v>1287106</v>
      </c>
    </row>
    <row r="30" customFormat="false" ht="15" hidden="false" customHeight="true" outlineLevel="0" collapsed="false">
      <c r="A30" s="175" t="s">
        <v>940</v>
      </c>
      <c r="B30" s="229" t="n">
        <v>658190</v>
      </c>
    </row>
    <row r="32" customFormat="false" ht="15" hidden="false" customHeight="true" outlineLevel="0" collapsed="false">
      <c r="A32" s="23" t="s">
        <v>941</v>
      </c>
      <c r="B32" s="23"/>
      <c r="C32" s="23"/>
      <c r="D32" s="23"/>
    </row>
    <row r="33" customFormat="false" ht="15" hidden="false" customHeight="true" outlineLevel="0" collapsed="false">
      <c r="A33" s="175" t="s">
        <v>942</v>
      </c>
      <c r="B33" s="229" t="n">
        <v>1615485</v>
      </c>
    </row>
    <row r="34" customFormat="false" ht="15" hidden="false" customHeight="true" outlineLevel="0" collapsed="false">
      <c r="A34" s="175" t="s">
        <v>943</v>
      </c>
      <c r="B34" s="250" t="n">
        <v>0.15</v>
      </c>
    </row>
    <row r="35" customFormat="false" ht="15" hidden="false" customHeight="true" outlineLevel="0" collapsed="false">
      <c r="A35" s="175" t="s">
        <v>944</v>
      </c>
      <c r="B35" s="178" t="n">
        <f aca="false">B34/4</f>
        <v>0.0375</v>
      </c>
    </row>
    <row r="36" customFormat="false" ht="15" hidden="false" customHeight="true" outlineLevel="0" collapsed="false">
      <c r="A36" s="175" t="s">
        <v>945</v>
      </c>
      <c r="B36" s="229" t="n">
        <v>112000</v>
      </c>
    </row>
    <row r="37" customFormat="false" ht="15" hidden="false" customHeight="true" outlineLevel="0" collapsed="false">
      <c r="A37" s="175" t="s">
        <v>946</v>
      </c>
      <c r="B37" s="255" t="n">
        <v>10</v>
      </c>
    </row>
    <row r="38" customFormat="false" ht="15" hidden="false" customHeight="true" outlineLevel="0" collapsed="false">
      <c r="A38" s="256" t="s">
        <v>947</v>
      </c>
    </row>
    <row r="40" customFormat="false" ht="15" hidden="false" customHeight="true" outlineLevel="0" collapsed="false">
      <c r="A40" s="23" t="s">
        <v>948</v>
      </c>
      <c r="B40" s="23"/>
      <c r="C40" s="23"/>
      <c r="D40" s="23"/>
    </row>
    <row r="41" customFormat="false" ht="15" hidden="false" customHeight="true" outlineLevel="0" collapsed="false">
      <c r="A41" s="175" t="s">
        <v>949</v>
      </c>
      <c r="B41" s="229" t="n">
        <v>1000000</v>
      </c>
    </row>
    <row r="42" customFormat="false" ht="15" hidden="false" customHeight="true" outlineLevel="0" collapsed="false">
      <c r="A42" s="175" t="s">
        <v>950</v>
      </c>
      <c r="B42" s="257" t="n">
        <f aca="false">B41*0.25</f>
        <v>250000</v>
      </c>
    </row>
    <row r="43" customFormat="false" ht="15" hidden="false" customHeight="true" outlineLevel="0" collapsed="false">
      <c r="A43" s="175" t="s">
        <v>951</v>
      </c>
      <c r="B43" s="229" t="n">
        <v>1000000</v>
      </c>
    </row>
    <row r="44" customFormat="false" ht="15" hidden="false" customHeight="true" outlineLevel="0" collapsed="false">
      <c r="A44" s="256" t="s">
        <v>952</v>
      </c>
    </row>
    <row r="46" customFormat="false" ht="15" hidden="false" customHeight="true" outlineLevel="0" collapsed="false">
      <c r="A46" s="23" t="s">
        <v>953</v>
      </c>
      <c r="B46" s="23"/>
      <c r="C46" s="23"/>
      <c r="D46" s="23"/>
    </row>
    <row r="47" customFormat="false" ht="15" hidden="false" customHeight="true" outlineLevel="0" collapsed="false">
      <c r="A47" s="175" t="s">
        <v>954</v>
      </c>
      <c r="B47" s="250" t="n">
        <v>0.01</v>
      </c>
    </row>
    <row r="48" customFormat="false" ht="15" hidden="false" customHeight="true" outlineLevel="0" collapsed="false">
      <c r="A48" s="175" t="s">
        <v>955</v>
      </c>
      <c r="B48" s="250" t="n">
        <v>0.03</v>
      </c>
    </row>
    <row r="50" customFormat="false" ht="15" hidden="false" customHeight="true" outlineLevel="0" collapsed="false">
      <c r="A50" s="23" t="s">
        <v>956</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957</v>
      </c>
      <c r="B57" s="23"/>
      <c r="C57" s="23"/>
      <c r="D57" s="23"/>
    </row>
    <row r="58" customFormat="false" ht="15" hidden="false" customHeight="true" outlineLevel="0" collapsed="false">
      <c r="A58" s="175" t="s">
        <v>958</v>
      </c>
      <c r="B58" s="250" t="n">
        <v>0.15</v>
      </c>
    </row>
    <row r="59" customFormat="false" ht="15" hidden="false" customHeight="true" outlineLevel="0" collapsed="false">
      <c r="A59" s="175" t="s">
        <v>959</v>
      </c>
      <c r="B59" s="178" t="n">
        <f aca="false">B58/4</f>
        <v>0.0375</v>
      </c>
    </row>
    <row r="60" customFormat="false" ht="15" hidden="false" customHeight="true" outlineLevel="0" collapsed="false">
      <c r="A60" s="175" t="s">
        <v>960</v>
      </c>
      <c r="B60" s="229" t="n">
        <v>0</v>
      </c>
    </row>
    <row r="61" customFormat="false" ht="15" hidden="false" customHeight="true" outlineLevel="0" collapsed="false">
      <c r="A61" s="175" t="s">
        <v>961</v>
      </c>
      <c r="B61" s="229" t="n">
        <v>0</v>
      </c>
    </row>
    <row r="62" customFormat="false" ht="15" hidden="false" customHeight="true" outlineLevel="0" collapsed="false">
      <c r="A62" s="175" t="s">
        <v>962</v>
      </c>
      <c r="B62" s="229" t="n">
        <v>1784000</v>
      </c>
    </row>
    <row r="63" customFormat="false" ht="15" hidden="false" customHeight="true" outlineLevel="0" collapsed="false">
      <c r="A63" s="175" t="s">
        <v>963</v>
      </c>
      <c r="B63" s="229" t="n">
        <v>1766181</v>
      </c>
    </row>
    <row r="64" customFormat="false" ht="15" hidden="false" customHeight="true" outlineLevel="0" collapsed="false">
      <c r="A64" s="256" t="s">
        <v>964</v>
      </c>
    </row>
    <row r="65" customFormat="false" ht="13.5" hidden="false" customHeight="true" outlineLevel="0" collapsed="false">
      <c r="A65" s="175" t="s">
        <v>965</v>
      </c>
      <c r="B65" s="232" t="n">
        <v>60000</v>
      </c>
    </row>
    <row r="66" customFormat="false" ht="15" hidden="false" customHeight="true" outlineLevel="0" collapsed="false">
      <c r="A66" s="97" t="s">
        <v>101</v>
      </c>
    </row>
    <row r="67" customFormat="false" ht="15" hidden="false" customHeight="true" outlineLevel="0" collapsed="false">
      <c r="A67" s="90" t="s">
        <v>966</v>
      </c>
      <c r="B67" s="259" t="n">
        <v>833.33</v>
      </c>
    </row>
    <row r="68" customFormat="false" ht="15" hidden="false" customHeight="true" outlineLevel="0" collapsed="false">
      <c r="A68" s="90" t="s">
        <v>967</v>
      </c>
      <c r="B68" s="90" t="n">
        <v>5</v>
      </c>
    </row>
    <row r="70" customFormat="false" ht="15" hidden="false" customHeight="true" outlineLevel="0" collapsed="false">
      <c r="A70" s="260" t="s">
        <v>968</v>
      </c>
      <c r="B70" s="260"/>
    </row>
    <row r="71" customFormat="false" ht="15" hidden="false" customHeight="true" outlineLevel="0" collapsed="false">
      <c r="A71" s="261" t="s">
        <v>969</v>
      </c>
      <c r="B71" s="262" t="n">
        <v>1134000</v>
      </c>
    </row>
    <row r="72" customFormat="false" ht="15" hidden="false" customHeight="true" outlineLevel="0" collapsed="false">
      <c r="A72" s="263" t="s">
        <v>970</v>
      </c>
      <c r="B72" s="264" t="n">
        <v>50000</v>
      </c>
    </row>
    <row r="73" customFormat="false" ht="15" hidden="false" customHeight="true" outlineLevel="0" collapsed="false">
      <c r="A73" s="261" t="s">
        <v>971</v>
      </c>
      <c r="B73" s="265" t="n">
        <v>14</v>
      </c>
    </row>
    <row r="74" customFormat="false" ht="15" hidden="false" customHeight="true" outlineLevel="0" collapsed="false">
      <c r="A74" s="263" t="s">
        <v>180</v>
      </c>
      <c r="B74" s="264" t="n">
        <v>-1450000</v>
      </c>
    </row>
    <row r="75" customFormat="false" ht="15" hidden="false" customHeight="true" outlineLevel="0" collapsed="false">
      <c r="A75" s="261" t="s">
        <v>972</v>
      </c>
      <c r="B75" s="262" t="n">
        <v>264927.15</v>
      </c>
    </row>
    <row r="76" customFormat="false" ht="15" hidden="false" customHeight="true" outlineLevel="0" collapsed="false">
      <c r="A76" s="263" t="s">
        <v>973</v>
      </c>
      <c r="B76" s="264" t="n">
        <v>883090.5</v>
      </c>
    </row>
    <row r="77" customFormat="false" ht="15" hidden="false" customHeight="true" outlineLevel="0" collapsed="false">
      <c r="A77" s="261" t="s">
        <v>175</v>
      </c>
      <c r="B77" s="262" t="n">
        <v>-1800000</v>
      </c>
    </row>
    <row r="79" customFormat="false" ht="19.5" hidden="false" customHeight="true" outlineLevel="0" collapsed="false">
      <c r="A79" s="266" t="s">
        <v>974</v>
      </c>
    </row>
    <row r="80" customFormat="false" ht="15" hidden="false" customHeight="true" outlineLevel="0" collapsed="false">
      <c r="A80" s="267" t="s">
        <v>975</v>
      </c>
      <c r="B80" s="268" t="n">
        <v>1</v>
      </c>
    </row>
    <row r="82" customFormat="false" ht="27.75" hidden="false" customHeight="true" outlineLevel="0" collapsed="false">
      <c r="A82" s="154" t="s">
        <v>976</v>
      </c>
      <c r="B82" s="154" t="s">
        <v>977</v>
      </c>
      <c r="C82" s="154" t="s">
        <v>978</v>
      </c>
    </row>
    <row r="83" customFormat="false" ht="15" hidden="false" customHeight="true" outlineLevel="0" collapsed="false">
      <c r="A83" s="269" t="s">
        <v>979</v>
      </c>
      <c r="B83" s="270" t="n">
        <v>0</v>
      </c>
      <c r="C83" s="271" t="n">
        <v>0.25</v>
      </c>
    </row>
    <row r="84" customFormat="false" ht="15" hidden="false" customHeight="true" outlineLevel="0" collapsed="false">
      <c r="A84" s="269" t="s">
        <v>980</v>
      </c>
      <c r="B84" s="270" t="n">
        <v>20000000</v>
      </c>
      <c r="C84" s="271" t="n">
        <v>0.5</v>
      </c>
    </row>
    <row r="85" customFormat="false" ht="15" hidden="false" customHeight="true" outlineLevel="0" collapsed="false">
      <c r="A85" s="269" t="s">
        <v>981</v>
      </c>
      <c r="B85" s="270" t="n">
        <v>40000000</v>
      </c>
      <c r="C85" s="271" t="n">
        <v>0.75</v>
      </c>
    </row>
    <row r="86" customFormat="false" ht="15" hidden="false" customHeight="true" outlineLevel="0" collapsed="false">
      <c r="A86" s="269" t="s">
        <v>982</v>
      </c>
      <c r="B86" s="270" t="n">
        <v>60000000</v>
      </c>
      <c r="C86" s="271" t="n">
        <v>1</v>
      </c>
    </row>
    <row r="88" customFormat="false" ht="15" hidden="false" customHeight="true" outlineLevel="0" collapsed="false">
      <c r="A88" s="72" t="s">
        <v>983</v>
      </c>
    </row>
    <row r="92" customFormat="false" ht="15" hidden="false" customHeight="true" outlineLevel="0" collapsed="false">
      <c r="A92" s="1" t="s">
        <v>984</v>
      </c>
    </row>
    <row r="93" customFormat="false" ht="15" hidden="false" customHeight="true" outlineLevel="0" collapsed="false">
      <c r="A93" s="1" t="s">
        <v>985</v>
      </c>
    </row>
    <row r="94" customFormat="false" ht="15" hidden="false" customHeight="true" outlineLevel="0" collapsed="false">
      <c r="A94" s="1" t="s">
        <v>986</v>
      </c>
    </row>
    <row r="95" customFormat="false" ht="15" hidden="false" customHeight="true" outlineLevel="0" collapsed="false">
      <c r="A95" s="1" t="s">
        <v>987</v>
      </c>
    </row>
    <row r="96" customFormat="false" ht="15" hidden="false" customHeight="true" outlineLevel="0" collapsed="false">
      <c r="A96" s="1" t="s">
        <v>988</v>
      </c>
    </row>
    <row r="97" customFormat="false" ht="15" hidden="false" customHeight="true" outlineLevel="0" collapsed="false">
      <c r="A97" s="1" t="s">
        <v>989</v>
      </c>
    </row>
    <row r="98" customFormat="false" ht="15" hidden="false" customHeight="true" outlineLevel="0" collapsed="false">
      <c r="A98" s="1" t="s">
        <v>990</v>
      </c>
    </row>
    <row r="99" customFormat="false" ht="15" hidden="false" customHeight="true" outlineLevel="0" collapsed="false">
      <c r="A99" s="1" t="s">
        <v>991</v>
      </c>
    </row>
    <row r="100" customFormat="false" ht="15" hidden="false" customHeight="true" outlineLevel="0" collapsed="false">
      <c r="A100" s="1" t="s">
        <v>992</v>
      </c>
    </row>
    <row r="101" customFormat="false" ht="15" hidden="false" customHeight="true" outlineLevel="0" collapsed="false">
      <c r="A101" s="1" t="s">
        <v>993</v>
      </c>
    </row>
    <row r="102" customFormat="false" ht="15" hidden="false" customHeight="true" outlineLevel="0" collapsed="false">
      <c r="A102" s="1" t="s">
        <v>994</v>
      </c>
    </row>
    <row r="103" customFormat="false" ht="15" hidden="false" customHeight="true" outlineLevel="0" collapsed="false">
      <c r="A103" s="1" t="s">
        <v>995</v>
      </c>
    </row>
    <row r="104" customFormat="false" ht="15" hidden="false" customHeight="true" outlineLevel="0" collapsed="false">
      <c r="A104" s="1" t="s">
        <v>996</v>
      </c>
    </row>
    <row r="105" customFormat="false" ht="15" hidden="false" customHeight="true" outlineLevel="0" collapsed="false">
      <c r="A105" s="1" t="s">
        <v>997</v>
      </c>
    </row>
    <row r="106" customFormat="false" ht="15" hidden="false" customHeight="true" outlineLevel="0" collapsed="false">
      <c r="A106" s="1" t="s">
        <v>998</v>
      </c>
    </row>
    <row r="108" customFormat="false" ht="15" hidden="false" customHeight="true" outlineLevel="0" collapsed="false">
      <c r="A108" s="1" t="s">
        <v>999</v>
      </c>
    </row>
    <row r="109" customFormat="false" ht="15" hidden="false" customHeight="true" outlineLevel="0" collapsed="false">
      <c r="A109" s="1" t="s">
        <v>1000</v>
      </c>
    </row>
    <row r="110" customFormat="false" ht="15" hidden="false" customHeight="true" outlineLevel="0" collapsed="false">
      <c r="A110" s="1" t="s">
        <v>1001</v>
      </c>
    </row>
    <row r="112" customFormat="false" ht="15" hidden="false" customHeight="true" outlineLevel="0" collapsed="false">
      <c r="A112" s="1" t="s">
        <v>1002</v>
      </c>
    </row>
    <row r="113" customFormat="false" ht="15" hidden="false" customHeight="true" outlineLevel="0" collapsed="false">
      <c r="A113" s="1" t="s">
        <v>1003</v>
      </c>
    </row>
    <row r="114" customFormat="false" ht="15" hidden="false" customHeight="true" outlineLevel="0" collapsed="false">
      <c r="A114" s="1" t="s">
        <v>1004</v>
      </c>
    </row>
    <row r="115" customFormat="false" ht="15" hidden="false" customHeight="true" outlineLevel="0" collapsed="false">
      <c r="A115" s="1" t="s">
        <v>1005</v>
      </c>
    </row>
    <row r="117" customFormat="false" ht="15" hidden="false" customHeight="true" outlineLevel="0" collapsed="false">
      <c r="A117" s="1" t="s">
        <v>1006</v>
      </c>
    </row>
    <row r="118" customFormat="false" ht="15" hidden="false" customHeight="true" outlineLevel="0" collapsed="false">
      <c r="A118" s="1" t="s">
        <v>1007</v>
      </c>
    </row>
    <row r="119" customFormat="false" ht="15" hidden="false" customHeight="true" outlineLevel="0" collapsed="false">
      <c r="A119" s="1" t="s">
        <v>1008</v>
      </c>
    </row>
    <row r="120" customFormat="false" ht="15" hidden="false" customHeight="true" outlineLevel="0" collapsed="false">
      <c r="A120" s="1" t="s">
        <v>1009</v>
      </c>
    </row>
    <row r="121" customFormat="false" ht="15" hidden="false" customHeight="true" outlineLevel="0" collapsed="false">
      <c r="A121" s="1" t="s">
        <v>1010</v>
      </c>
    </row>
    <row r="130" customFormat="false" ht="15" hidden="false" customHeight="true" outlineLevel="0" collapsed="false">
      <c r="A130" s="1" t="s">
        <v>1011</v>
      </c>
    </row>
    <row r="131" customFormat="false" ht="15" hidden="false" customHeight="true" outlineLevel="0" collapsed="false">
      <c r="A131" s="1" t="s">
        <v>1012</v>
      </c>
    </row>
    <row r="132" customFormat="false" ht="15" hidden="false" customHeight="true" outlineLevel="0" collapsed="false">
      <c r="A132" s="1" t="s">
        <v>1013</v>
      </c>
    </row>
    <row r="133" customFormat="false" ht="15" hidden="false" customHeight="true" outlineLevel="0" collapsed="false">
      <c r="A133" s="1" t="s">
        <v>1014</v>
      </c>
    </row>
    <row r="134" customFormat="false" ht="15" hidden="false" customHeight="true" outlineLevel="0" collapsed="false">
      <c r="A134" s="1" t="s">
        <v>1015</v>
      </c>
    </row>
    <row r="135" customFormat="false" ht="15" hidden="false" customHeight="true" outlineLevel="0" collapsed="false">
      <c r="A135" s="1" t="s">
        <v>1016</v>
      </c>
    </row>
    <row r="136" customFormat="false" ht="15" hidden="false" customHeight="true" outlineLevel="0" collapsed="false">
      <c r="A136" s="1" t="s">
        <v>1017</v>
      </c>
    </row>
    <row r="137" customFormat="false" ht="15" hidden="false" customHeight="true" outlineLevel="0" collapsed="false">
      <c r="A137" s="1" t="s">
        <v>1018</v>
      </c>
    </row>
    <row r="138" customFormat="false" ht="15" hidden="false" customHeight="true" outlineLevel="0" collapsed="false">
      <c r="A138" s="1" t="s">
        <v>1019</v>
      </c>
    </row>
    <row r="139" customFormat="false" ht="15" hidden="false" customHeight="true" outlineLevel="0" collapsed="false">
      <c r="A139" s="1" t="s">
        <v>1020</v>
      </c>
    </row>
    <row r="141" customFormat="false" ht="15" hidden="false" customHeight="true" outlineLevel="0" collapsed="false">
      <c r="A141" s="1" t="s">
        <v>1021</v>
      </c>
    </row>
    <row r="142" customFormat="false" ht="15" hidden="false" customHeight="true" outlineLevel="0" collapsed="false">
      <c r="A142" s="1" t="s">
        <v>1022</v>
      </c>
    </row>
    <row r="143" customFormat="false" ht="15" hidden="false" customHeight="true" outlineLevel="0" collapsed="false">
      <c r="A143" s="1" t="s">
        <v>1023</v>
      </c>
    </row>
    <row r="144" customFormat="false" ht="15" hidden="false" customHeight="true" outlineLevel="0" collapsed="false">
      <c r="A144" s="1" t="s">
        <v>1024</v>
      </c>
    </row>
    <row r="145" customFormat="false" ht="15" hidden="false" customHeight="true" outlineLevel="0" collapsed="false">
      <c r="A145" s="1" t="s">
        <v>1025</v>
      </c>
    </row>
    <row r="146" customFormat="false" ht="15" hidden="false" customHeight="true" outlineLevel="0" collapsed="false">
      <c r="A146" s="1" t="s">
        <v>1026</v>
      </c>
    </row>
    <row r="147" customFormat="false" ht="15" hidden="false" customHeight="true" outlineLevel="0" collapsed="false">
      <c r="A147" s="1" t="s">
        <v>1027</v>
      </c>
    </row>
    <row r="148" customFormat="false" ht="15" hidden="false" customHeight="true" outlineLevel="0" collapsed="false">
      <c r="A148" s="1" t="s">
        <v>1028</v>
      </c>
    </row>
    <row r="149" customFormat="false" ht="15" hidden="false" customHeight="true" outlineLevel="0" collapsed="false">
      <c r="A149" s="1" t="s">
        <v>1029</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1030</v>
      </c>
      <c r="B1" s="4" t="s">
        <v>1031</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1032</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1033</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412298.62</v>
      </c>
      <c r="P4" s="257" t="n">
        <f aca="false">(SUMPRODUCT((Personnel!$O$9:$O$100&lt;&gt;"")*(Personnel!$G$9:$G$100="Yes")*(14&gt;=Personnel!$E$9:$E$100)*((Personnel!$K$9:$K$100="")+(14&lt;=Personnel!$K$9:$K$100)&gt;0)*Personnel!$D$9:$D$100*(1-Personnel!$H$9:$H$100))+Staffing!R81)*Escalation!$B$15</f>
        <v>412298.62</v>
      </c>
      <c r="Q4" s="257" t="n">
        <f aca="false">(SUMPRODUCT((Personnel!$O$9:$O$100&lt;&gt;"")*(Personnel!$G$9:$G$100="Yes")*(15&gt;=Personnel!$E$9:$E$100)*((Personnel!$K$9:$K$100="")+(15&lt;=Personnel!$K$9:$K$100)&gt;0)*Personnel!$D$9:$D$100*(1-Personnel!$H$9:$H$100))+Staffing!S81)*Escalation!$B$16</f>
        <v>436523.62</v>
      </c>
      <c r="R4" s="257" t="n">
        <f aca="false">(SUMPRODUCT((Personnel!$O$9:$O$100&lt;&gt;"")*(Personnel!$G$9:$G$100="Yes")*(16&gt;=Personnel!$E$9:$E$100)*((Personnel!$K$9:$K$100="")+(16&lt;=Personnel!$K$9:$K$100)&gt;0)*Personnel!$D$9:$D$100*(1-Personnel!$H$9:$H$100))+Staffing!T81)*Escalation!$B$17</f>
        <v>436523.62</v>
      </c>
      <c r="S4" s="257" t="n">
        <f aca="false">(SUMPRODUCT((Personnel!$O$9:$O$100&lt;&gt;"")*(Personnel!$G$9:$G$100="Yes")*(17&gt;=Personnel!$E$9:$E$100)*((Personnel!$K$9:$K$100="")+(17&lt;=Personnel!$K$9:$K$100)&gt;0)*Personnel!$D$9:$D$100*(1-Personnel!$H$9:$H$100))+Staffing!U81)*Escalation!$B$18</f>
        <v>436523.62</v>
      </c>
      <c r="T4" s="257" t="n">
        <f aca="false">(SUMPRODUCT((Personnel!$O$9:$O$100&lt;&gt;"")*(Personnel!$G$9:$G$100="Yes")*(18&gt;=Personnel!$E$9:$E$100)*((Personnel!$K$9:$K$100="")+(18&lt;=Personnel!$K$9:$K$100)&gt;0)*Personnel!$D$9:$D$100*(1-Personnel!$H$9:$H$100))+Staffing!V81)*Escalation!$B$19</f>
        <v>436523.62</v>
      </c>
      <c r="U4" s="257" t="n">
        <f aca="false">(SUMPRODUCT((Personnel!$O$9:$O$100&lt;&gt;"")*(Personnel!$G$9:$G$100="Yes")*(19&gt;=Personnel!$E$9:$E$100)*((Personnel!$K$9:$K$100="")+(19&lt;=Personnel!$K$9:$K$100)&gt;0)*Personnel!$D$9:$D$100*(1-Personnel!$H$9:$H$100))+Staffing!W81)*Escalation!$B$20</f>
        <v>436523.62</v>
      </c>
      <c r="V4" s="257" t="n">
        <f aca="false">(SUMPRODUCT((Personnel!$O$9:$O$100&lt;&gt;"")*(Personnel!$G$9:$G$100="Yes")*(20&gt;=Personnel!$E$9:$E$100)*((Personnel!$K$9:$K$100="")+(20&lt;=Personnel!$K$9:$K$100)&gt;0)*Personnel!$D$9:$D$100*(1-Personnel!$H$9:$H$100))+Staffing!X81)*Escalation!$B$21</f>
        <v>436523.62</v>
      </c>
      <c r="W4" s="257" t="n">
        <f aca="false">(SUMPRODUCT((Personnel!$O$9:$O$100&lt;&gt;"")*(Personnel!$G$9:$G$100="Yes")*(21&gt;=Personnel!$E$9:$E$100)*((Personnel!$K$9:$K$100="")+(21&lt;=Personnel!$K$9:$K$100)&gt;0)*Personnel!$D$9:$D$100*(1-Personnel!$H$9:$H$100))+Staffing!Y81)*Escalation!$B$22</f>
        <v>436523.62</v>
      </c>
      <c r="X4" s="257" t="n">
        <f aca="false">(SUMPRODUCT((Personnel!$O$9:$O$100&lt;&gt;"")*(Personnel!$G$9:$G$100="Yes")*(22&gt;=Personnel!$E$9:$E$100)*((Personnel!$K$9:$K$100="")+(22&lt;=Personnel!$K$9:$K$100)&gt;0)*Personnel!$D$9:$D$100*(1-Personnel!$H$9:$H$100))+Staffing!Z81)*Escalation!$B$23</f>
        <v>396998.62</v>
      </c>
      <c r="Y4" s="257" t="n">
        <f aca="false">(SUMPRODUCT((Personnel!$O$9:$O$100&lt;&gt;"")*(Personnel!$G$9:$G$100="Yes")*(23&gt;=Personnel!$E$9:$E$100)*((Personnel!$K$9:$K$100="")+(23&lt;=Personnel!$K$9:$K$100)&gt;0)*Personnel!$D$9:$D$100*(1-Personnel!$H$9:$H$100))+Staffing!AA81)*Escalation!$B$24</f>
        <v>390198.62</v>
      </c>
      <c r="Z4" s="257" t="n">
        <f aca="false">(SUMPRODUCT((Personnel!$O$9:$O$100&lt;&gt;"")*(Personnel!$G$9:$G$100="Yes")*(24&gt;=Personnel!$E$9:$E$100)*((Personnel!$K$9:$K$100="")+(24&lt;=Personnel!$K$9:$K$100)&gt;0)*Personnel!$D$9:$D$100*(1-Personnel!$H$9:$H$100))+Staffing!AB81)*Escalation!$B$25</f>
        <v>376598.62</v>
      </c>
      <c r="AA4" s="257" t="n">
        <f aca="false">(SUMPRODUCT((Personnel!$O$9:$O$100&lt;&gt;"")*(Personnel!$G$9:$G$100="Yes")*(25&gt;=Personnel!$E$9:$E$100)*((Personnel!$K$9:$K$100="")+(25&lt;=Personnel!$K$9:$K$100)&gt;0)*Personnel!$D$9:$D$100*(1-Personnel!$H$9:$H$100))+Staffing!AC81)*Escalation!$B$26</f>
        <v>359421.0924</v>
      </c>
      <c r="AB4" s="257" t="n">
        <f aca="false">(SUMPRODUCT((Personnel!$O$9:$O$100&lt;&gt;"")*(Personnel!$G$9:$G$100="Yes")*(26&gt;=Personnel!$E$9:$E$100)*((Personnel!$K$9:$K$100="")+(26&lt;=Personnel!$K$9:$K$100)&gt;0)*Personnel!$D$9:$D$100*(1-Personnel!$H$9:$H$100))+Staffing!AD81)*Escalation!$B$27</f>
        <v>334278.0924</v>
      </c>
      <c r="AC4" s="257" t="n">
        <f aca="false">(SUMPRODUCT((Personnel!$O$9:$O$100&lt;&gt;"")*(Personnel!$G$9:$G$100="Yes")*(27&gt;=Personnel!$E$9:$E$100)*((Personnel!$K$9:$K$100="")+(27&lt;=Personnel!$K$9:$K$100)&gt;0)*Personnel!$D$9:$D$100*(1-Personnel!$H$9:$H$100))+Staffing!AE81)*Escalation!$B$28</f>
        <v>334278.0924</v>
      </c>
      <c r="AD4" s="257" t="n">
        <f aca="false">(SUMPRODUCT((Personnel!$O$9:$O$100&lt;&gt;"")*(Personnel!$G$9:$G$100="Yes")*(28&gt;=Personnel!$E$9:$E$100)*((Personnel!$K$9:$K$100="")+(28&lt;=Personnel!$K$9:$K$100)&gt;0)*Personnel!$D$9:$D$100*(1-Personnel!$H$9:$H$100))+Staffing!AF81)*Escalation!$B$29</f>
        <v>334278.0924</v>
      </c>
      <c r="AE4" s="257" t="n">
        <f aca="false">(SUMPRODUCT((Personnel!$O$9:$O$100&lt;&gt;"")*(Personnel!$G$9:$G$100="Yes")*(29&gt;=Personnel!$E$9:$E$100)*((Personnel!$K$9:$K$100="")+(29&lt;=Personnel!$K$9:$K$100)&gt;0)*Personnel!$D$9:$D$100*(1-Personnel!$H$9:$H$100))+Staffing!AG81)*Escalation!$B$30</f>
        <v>334278.0924</v>
      </c>
      <c r="AF4" s="257" t="n">
        <f aca="false">(SUMPRODUCT((Personnel!$O$9:$O$100&lt;&gt;"")*(Personnel!$G$9:$G$100="Yes")*(30&gt;=Personnel!$E$9:$E$100)*((Personnel!$K$9:$K$100="")+(30&lt;=Personnel!$K$9:$K$100)&gt;0)*Personnel!$D$9:$D$100*(1-Personnel!$H$9:$H$100))+Staffing!AH81)*Escalation!$B$31</f>
        <v>323440.5924</v>
      </c>
      <c r="AG4" s="257" t="n">
        <f aca="false">(SUMPRODUCT((Personnel!$O$9:$O$100&lt;&gt;"")*(Personnel!$G$9:$G$100="Yes")*(31&gt;=Personnel!$E$9:$E$100)*((Personnel!$K$9:$K$100="")+(31&lt;=Personnel!$K$9:$K$100)&gt;0)*Personnel!$D$9:$D$100*(1-Personnel!$H$9:$H$100))+Staffing!AI81)*Escalation!$B$32</f>
        <v>323440.5924</v>
      </c>
      <c r="AH4" s="257" t="n">
        <f aca="false">(SUMPRODUCT((Personnel!$O$9:$O$100&lt;&gt;"")*(Personnel!$G$9:$G$100="Yes")*(32&gt;=Personnel!$E$9:$E$100)*((Personnel!$K$9:$K$100="")+(32&lt;=Personnel!$K$9:$K$100)&gt;0)*Personnel!$D$9:$D$100*(1-Personnel!$H$9:$H$100))+Staffing!AJ81)*Escalation!$B$33</f>
        <v>323440.5924</v>
      </c>
      <c r="AI4" s="257" t="n">
        <f aca="false">(SUMPRODUCT((Personnel!$O$9:$O$100&lt;&gt;"")*(Personnel!$G$9:$G$100="Yes")*(33&gt;=Personnel!$E$9:$E$100)*((Personnel!$K$9:$K$100="")+(33&lt;=Personnel!$K$9:$K$100)&gt;0)*Personnel!$D$9:$D$100*(1-Personnel!$H$9:$H$100))+Staffing!AK81)*Escalation!$B$34</f>
        <v>323440.5924</v>
      </c>
      <c r="AJ4" s="257" t="n">
        <f aca="false">(SUMPRODUCT((Personnel!$O$9:$O$100&lt;&gt;"")*(Personnel!$G$9:$G$100="Yes")*(34&gt;=Personnel!$E$9:$E$100)*((Personnel!$K$9:$K$100="")+(34&lt;=Personnel!$K$9:$K$100)&gt;0)*Personnel!$D$9:$D$100*(1-Personnel!$H$9:$H$100))+Staffing!AL81)*Escalation!$B$35</f>
        <v>323440.5924</v>
      </c>
      <c r="AK4" s="257" t="n">
        <f aca="false">(SUMPRODUCT((Personnel!$O$9:$O$100&lt;&gt;"")*(Personnel!$G$9:$G$100="Yes")*(35&gt;=Personnel!$E$9:$E$100)*((Personnel!$K$9:$K$100="")+(35&lt;=Personnel!$K$9:$K$100)&gt;0)*Personnel!$D$9:$D$100*(1-Personnel!$H$9:$H$100))+Staffing!AM81)*Escalation!$B$36</f>
        <v>323440.5924</v>
      </c>
      <c r="AL4" s="257" t="n">
        <f aca="false">(SUMPRODUCT((Personnel!$O$9:$O$100&lt;&gt;"")*(Personnel!$G$9:$G$100="Yes")*(36&gt;=Personnel!$E$9:$E$100)*((Personnel!$K$9:$K$100="")+(36&lt;=Personnel!$K$9:$K$100)&gt;0)*Personnel!$D$9:$D$100*(1-Personnel!$H$9:$H$100))+Staffing!AN81)*Escalation!$B$37</f>
        <v>323440.5924</v>
      </c>
      <c r="AM4" s="257" t="n">
        <f aca="false">(SUMPRODUCT((Personnel!$O$9:$O$100&lt;&gt;"")*(Personnel!$G$9:$G$100="Yes")*(37&gt;=Personnel!$E$9:$E$100)*((Personnel!$K$9:$K$100="")+(37&lt;=Personnel!$K$9:$K$100)&gt;0)*Personnel!$D$9:$D$100*(1-Personnel!$H$9:$H$100))+Staffing!AO81)*Escalation!$B$38</f>
        <v>329909.404248</v>
      </c>
      <c r="AN4" s="257" t="n">
        <f aca="false">(SUMPRODUCT((Personnel!$O$9:$O$100&lt;&gt;"")*(Personnel!$G$9:$G$100="Yes")*(38&gt;=Personnel!$E$9:$E$100)*((Personnel!$K$9:$K$100="")+(38&lt;=Personnel!$K$9:$K$100)&gt;0)*Personnel!$D$9:$D$100*(1-Personnel!$H$9:$H$100))+Staffing!AP81)*Escalation!$B$39</f>
        <v>329909.404248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1034</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1035</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0</v>
      </c>
      <c r="AD15" s="257" t="n">
        <f aca="false">IF(AND(Projects!$G$14="Yes",Projects!$F$14="Yes",28&gt;=Projects!$C$14,28&lt;Projects!$C$14+Projects!$D$14),Projects!$B$14*(1-SUMPRODUCT((Curves!$B$2:$AO$2)*(COLUMN(Curves!$B$2:$AO$2)-COLUMN(Curves!$B$2)+1&lt;=28-Projects!$C$14+1))),0)</f>
        <v>0</v>
      </c>
      <c r="AE15" s="257" t="n">
        <f aca="false">IF(AND(Projects!$G$14="Yes",Projects!$F$14="Yes",29&gt;=Projects!$C$14,29&lt;Projects!$C$14+Projects!$D$14),Projects!$B$14*(1-SUMPRODUCT((Curves!$B$2:$AO$2)*(COLUMN(Curves!$B$2:$AO$2)-COLUMN(Curves!$B$2)+1&lt;=29-Projects!$C$14+1))),0)</f>
        <v>0</v>
      </c>
      <c r="AF15" s="257" t="n">
        <f aca="false">IF(AND(Projects!$G$14="Yes",Projects!$F$14="Yes",30&gt;=Projects!$C$14,30&lt;Projects!$C$14+Projects!$D$14),Projects!$B$14*(1-SUMPRODUCT((Curves!$B$2:$AO$2)*(COLUMN(Curves!$B$2:$AO$2)-COLUMN(Curves!$B$2)+1&lt;=30-Projects!$C$14+1))),0)</f>
        <v>0</v>
      </c>
      <c r="AG15" s="257" t="n">
        <f aca="false">IF(AND(Projects!$G$14="Yes",Projects!$F$14="Yes",31&gt;=Projects!$C$14,31&lt;Projects!$C$14+Projects!$D$14),Projects!$B$14*(1-SUMPRODUCT((Curves!$B$2:$AO$2)*(COLUMN(Curves!$B$2:$AO$2)-COLUMN(Curves!$B$2)+1&lt;=31-Projects!$C$14+1))),0)</f>
        <v>0</v>
      </c>
      <c r="AH15" s="257" t="n">
        <f aca="false">IF(AND(Projects!$G$14="Yes",Projects!$F$14="Yes",32&gt;=Projects!$C$14,32&lt;Projects!$C$14+Projects!$D$14),Projects!$B$14*(1-SUMPRODUCT((Curves!$B$2:$AO$2)*(COLUMN(Curves!$B$2:$AO$2)-COLUMN(Curves!$B$2)+1&lt;=32-Projects!$C$14+1))),0)</f>
        <v>0</v>
      </c>
      <c r="AI15" s="257" t="n">
        <f aca="false">IF(AND(Projects!$G$14="Yes",Projects!$F$14="Yes",33&gt;=Projects!$C$14,33&lt;Projects!$C$14+Projects!$D$14),Projects!$B$14*(1-SUMPRODUCT((Curves!$B$2:$AO$2)*(COLUMN(Curves!$B$2:$AO$2)-COLUMN(Curves!$B$2)+1&lt;=33-Projects!$C$14+1))),0)</f>
        <v>0</v>
      </c>
      <c r="AJ15" s="257" t="n">
        <f aca="false">IF(AND(Projects!$G$14="Yes",Projects!$F$14="Yes",34&gt;=Projects!$C$14,34&lt;Projects!$C$14+Projects!$D$14),Projects!$B$14*(1-SUMPRODUCT((Curves!$B$2:$AO$2)*(COLUMN(Curves!$B$2:$AO$2)-COLUMN(Curves!$B$2)+1&lt;=34-Projects!$C$14+1))),0)</f>
        <v>0</v>
      </c>
      <c r="AK15" s="257" t="n">
        <f aca="false">IF(AND(Projects!$G$14="Yes",Projects!$F$14="Yes",35&gt;=Projects!$C$14,35&lt;Projects!$C$14+Projects!$D$14),Projects!$B$14*(1-SUMPRODUCT((Curves!$B$2:$AO$2)*(COLUMN(Curves!$B$2:$AO$2)-COLUMN(Curves!$B$2)+1&lt;=35-Projects!$C$14+1))),0)</f>
        <v>0</v>
      </c>
      <c r="AL15" s="257" t="n">
        <f aca="false">IF(AND(Projects!$G$14="Yes",Projects!$F$14="Yes",36&gt;=Projects!$C$14,36&lt;Projects!$C$14+Projects!$D$14),Projects!$B$14*(1-SUMPRODUCT((Curves!$B$2:$AO$2)*(COLUMN(Curves!$B$2:$AO$2)-COLUMN(Curves!$B$2)+1&lt;=36-Projects!$C$14+1))),0)</f>
        <v>0</v>
      </c>
      <c r="AM15" s="257" t="n">
        <f aca="false">IF(AND(Projects!$G$14="Yes",Projects!$F$14="Yes",37&gt;=Projects!$C$14,37&lt;Projects!$C$14+Projects!$D$14),Projects!$B$14*(1-SUMPRODUCT((Curves!$B$2:$AO$2)*(COLUMN(Curves!$B$2:$AO$2)-COLUMN(Curves!$B$2)+1&lt;=37-Projects!$C$14+1))),0)</f>
        <v>0</v>
      </c>
      <c r="AN15" s="257" t="n">
        <f aca="false">IF(AND(Projects!$G$14="Yes",Projects!$F$14="Yes",38&gt;=Projects!$C$14,38&lt;Projects!$C$14+Projects!$D$14),Projects!$B$14*(1-SUMPRODUCT((Curves!$B$2:$AO$2)*(COLUMN(Curves!$B$2:$AO$2)-COLUMN(Curves!$B$2)+1&lt;=38-Projects!$C$14+1))),0)</f>
        <v>0</v>
      </c>
      <c r="AO15" s="257" t="n">
        <f aca="false">IF(AND(Projects!$G$14="Yes",Projects!$F$14="Yes",39&gt;=Projects!$C$14,39&lt;Projects!$C$14+Projects!$D$14),Projects!$B$14*(1-SUMPRODUCT((Curves!$B$2:$AO$2)*(COLUMN(Curves!$B$2:$AO$2)-COLUMN(Curves!$B$2)+1&lt;=39-Projects!$C$14+1))),0)</f>
        <v>0</v>
      </c>
      <c r="AP15" s="257" t="n">
        <f aca="false">IF(AND(Projects!$G$14="Yes",Projects!$F$14="Yes",40&gt;=Projects!$C$14,40&lt;Projects!$C$14+Projects!$D$14),Projects!$B$14*(1-SUMPRODUCT((Curves!$B$2:$AO$2)*(COLUMN(Curves!$B$2:$AO$2)-COLUMN(Curves!$B$2)+1&lt;=40-Projects!$C$14+1))),0)</f>
        <v>0</v>
      </c>
      <c r="AQ15" s="257" t="n">
        <f aca="false">IF(AND(Projects!$G$14="Yes",Projects!$F$14="Yes",41&gt;=Projects!$C$14,41&lt;Projects!$C$14+Projects!$D$14),Projects!$B$14*(1-SUMPRODUCT((Curves!$B$2:$AO$2)*(COLUMN(Curves!$B$2:$AO$2)-COLUMN(Curves!$B$2)+1&lt;=41-Projects!$C$14+1))),0)</f>
        <v>0</v>
      </c>
      <c r="AR15" s="257" t="n">
        <f aca="false">IF(AND(Projects!$G$14="Yes",Projects!$F$14="Yes",42&gt;=Projects!$C$14,42&lt;Projects!$C$14+Projects!$D$14),Projects!$B$14*(1-SUMPRODUCT((Curves!$B$2:$AO$2)*(COLUMN(Curves!$B$2:$AO$2)-COLUMN(Curves!$B$2)+1&lt;=42-Projects!$C$14+1))),0)</f>
        <v>0</v>
      </c>
      <c r="AS15" s="257" t="n">
        <f aca="false">IF(AND(Projects!$G$14="Yes",Projects!$F$14="Yes",43&gt;=Projects!$C$14,43&lt;Projects!$C$14+Projects!$D$14),Projects!$B$14*(1-SUMPRODUCT((Curves!$B$2:$AO$2)*(COLUMN(Curves!$B$2:$AO$2)-COLUMN(Curves!$B$2)+1&lt;=43-Projects!$C$14+1))),0)</f>
        <v>0</v>
      </c>
      <c r="AT15" s="257" t="n">
        <f aca="false">IF(AND(Projects!$G$14="Yes",Projects!$F$14="Yes",44&gt;=Projects!$C$14,44&lt;Projects!$C$14+Projects!$D$14),Projects!$B$14*(1-SUMPRODUCT((Curves!$B$2:$AO$2)*(COLUMN(Curves!$B$2:$AO$2)-COLUMN(Curves!$B$2)+1&lt;=44-Projects!$C$14+1))),0)</f>
        <v>0</v>
      </c>
      <c r="AU15" s="257" t="n">
        <f aca="false">IF(AND(Projects!$G$14="Yes",Projects!$F$14="Yes",45&gt;=Projects!$C$14,45&lt;Projects!$C$14+Projects!$D$14),Projects!$B$14*(1-SUMPRODUCT((Curves!$B$2:$AO$2)*(COLUMN(Curves!$B$2:$AO$2)-COLUMN(Curves!$B$2)+1&lt;=45-Projects!$C$14+1))),0)</f>
        <v>0</v>
      </c>
      <c r="AV15" s="257" t="n">
        <f aca="false">IF(AND(Projects!$G$14="Yes",Projects!$F$14="Yes",46&gt;=Projects!$C$14,46&lt;Projects!$C$14+Projects!$D$14),Projects!$B$14*(1-SUMPRODUCT((Curves!$B$2:$AO$2)*(COLUMN(Curves!$B$2:$AO$2)-COLUMN(Curves!$B$2)+1&lt;=46-Projects!$C$14+1))),0)</f>
        <v>0</v>
      </c>
      <c r="AW15" s="257" t="n">
        <f aca="false">IF(AND(Projects!$G$14="Yes",Projects!$F$14="Yes",47&gt;=Projects!$C$14,47&lt;Projects!$C$14+Projects!$D$14),Projects!$B$14*(1-SUMPRODUCT((Curves!$B$2:$AO$2)*(COLUMN(Curves!$B$2:$AO$2)-COLUMN(Curves!$B$2)+1&lt;=47-Projects!$C$14+1))),0)</f>
        <v>0</v>
      </c>
      <c r="AX15" s="257" t="n">
        <f aca="false">IF(AND(Projects!$G$14="Yes",Projects!$F$14="Yes",48&gt;=Projects!$C$14,48&lt;Projects!$C$14+Projects!$D$14),Projects!$B$14*(1-SUMPRODUCT((Curves!$B$2:$AO$2)*(COLUMN(Curves!$B$2:$AO$2)-COLUMN(Curves!$B$2)+1&lt;=48-Projects!$C$14+1))),0)</f>
        <v>0</v>
      </c>
      <c r="AY15" s="257" t="n">
        <f aca="false">IF(AND(Projects!$G$14="Yes",Projects!$F$14="Yes",49&gt;=Projects!$C$14,49&lt;Projects!$C$14+Projects!$D$14),Projects!$B$14*(1-SUMPRODUCT((Curves!$B$2:$AO$2)*(COLUMN(Curves!$B$2:$AO$2)-COLUMN(Curves!$B$2)+1&lt;=49-Projects!$C$14+1))),0)</f>
        <v>0</v>
      </c>
      <c r="AZ15" s="257" t="n">
        <f aca="false">IF(AND(Projects!$G$14="Yes",Projects!$F$14="Yes",50&gt;=Projects!$C$14,50&lt;Projects!$C$14+Projects!$D$14),Projects!$B$14*(1-SUMPRODUCT((Curves!$B$2:$AO$2)*(COLUMN(Curves!$B$2:$AO$2)-COLUMN(Curves!$B$2)+1&lt;=50-Projects!$C$14+1))),0)</f>
        <v>0</v>
      </c>
      <c r="BA15" s="257" t="n">
        <f aca="false">IF(AND(Projects!$G$14="Yes",Projects!$F$14="Yes",51&gt;=Projects!$C$14,51&lt;Projects!$C$14+Projects!$D$14),Projects!$B$14*(1-SUMPRODUCT((Curves!$B$2:$AO$2)*(COLUMN(Curves!$B$2:$AO$2)-COLUMN(Curves!$B$2)+1&lt;=51-Projects!$C$14+1))),0)</f>
        <v>0</v>
      </c>
      <c r="BB15" s="257" t="n">
        <f aca="false">IF(AND(Projects!$G$14="Yes",Projects!$F$14="Yes",52&gt;=Projects!$C$14,52&lt;Projects!$C$14+Projects!$D$14),Projects!$B$14*(1-SUMPRODUCT((Curves!$B$2:$AO$2)*(COLUMN(Curves!$B$2:$AO$2)-COLUMN(Curves!$B$2)+1&lt;=52-Projects!$C$14+1))),0)</f>
        <v>0</v>
      </c>
      <c r="BC15" s="257" t="n">
        <f aca="false">IF(AND(Projects!$G$14="Yes",Projects!$F$14="Yes",53&gt;=Projects!$C$14,53&lt;Projects!$C$14+Projects!$D$14),Projects!$B$14*(1-SUMPRODUCT((Curves!$B$2:$AO$2)*(COLUMN(Curves!$B$2:$AO$2)-COLUMN(Curves!$B$2)+1&lt;=53-Projects!$C$14+1))),0)</f>
        <v>0</v>
      </c>
      <c r="BD15" s="257" t="n">
        <f aca="false">IF(AND(Projects!$G$14="Yes",Projects!$F$14="Yes",54&gt;=Projects!$C$14,54&lt;Projects!$C$14+Projects!$D$14),Projects!$B$14*(1-SUMPRODUCT((Curves!$B$2:$AO$2)*(COLUMN(Curves!$B$2:$AO$2)-COLUMN(Curves!$B$2)+1&lt;=54-Projects!$C$14+1))),0)</f>
        <v>0</v>
      </c>
      <c r="BE15" s="257" t="n">
        <f aca="false">IF(AND(Projects!$G$14="Yes",Projects!$F$14="Yes",55&gt;=Projects!$C$14,55&lt;Projects!$C$14+Projects!$D$14),Projects!$B$14*(1-SUMPRODUCT((Curves!$B$2:$AO$2)*(COLUMN(Curves!$B$2:$AO$2)-COLUMN(Curves!$B$2)+1&lt;=55-Projects!$C$14+1))),0)</f>
        <v>0</v>
      </c>
      <c r="BF15" s="257" t="n">
        <f aca="false">IF(AND(Projects!$G$14="Yes",Projects!$F$14="Yes",56&gt;=Projects!$C$14,56&lt;Projects!$C$14+Projects!$D$14),Projects!$B$14*(1-SUMPRODUCT((Curves!$B$2:$AO$2)*(COLUMN(Curves!$B$2:$AO$2)-COLUMN(Curves!$B$2)+1&lt;=56-Projects!$C$14+1))),0)</f>
        <v>0</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40150142.13637</v>
      </c>
      <c r="AD16" s="273" t="n">
        <f aca="false">SUM(AD8:AD15)</f>
        <v>36666097.63336</v>
      </c>
      <c r="AE16" s="273" t="n">
        <f aca="false">SUM(AE8:AE15)</f>
        <v>32112558.27646</v>
      </c>
      <c r="AF16" s="273" t="n">
        <f aca="false">SUM(AF8:AF15)</f>
        <v>27736880.61956</v>
      </c>
      <c r="AG16" s="273" t="n">
        <f aca="false">SUM(AG8:AG15)</f>
        <v>23433159.97655</v>
      </c>
      <c r="AH16" s="273" t="n">
        <f aca="false">SUM(AH8:AH15)</f>
        <v>20189659.33654</v>
      </c>
      <c r="AI16" s="273" t="n">
        <f aca="false">SUM(AI8:AI15)</f>
        <v>17213731.86939</v>
      </c>
      <c r="AJ16" s="273" t="n">
        <f aca="false">SUM(AJ8:AJ15)</f>
        <v>14195605.80416</v>
      </c>
      <c r="AK16" s="273" t="n">
        <f aca="false">SUM(AK8:AK15)</f>
        <v>11170452.74172</v>
      </c>
      <c r="AL16" s="273" t="n">
        <f aca="false">SUM(AL8:AL15)</f>
        <v>9151447.09059</v>
      </c>
      <c r="AM16" s="273" t="n">
        <f aca="false">SUM(AM8:AM15)</f>
        <v>7578336.29955</v>
      </c>
      <c r="AN16" s="273" t="n">
        <f aca="false">SUM(AN8:AN15)</f>
        <v>6126087.78441</v>
      </c>
      <c r="AO16" s="273" t="n">
        <f aca="false">SUM(AO8:AO15)</f>
        <v>4798730.2877</v>
      </c>
      <c r="AP16" s="273" t="n">
        <f aca="false">SUM(AP8:AP15)</f>
        <v>3597576.54575</v>
      </c>
      <c r="AQ16" s="273" t="n">
        <f aca="false">SUM(AQ8:AQ15)</f>
        <v>2521449.62254</v>
      </c>
      <c r="AR16" s="273" t="n">
        <f aca="false">SUM(AR8:AR15)</f>
        <v>1566909.24355</v>
      </c>
      <c r="AS16" s="273" t="n">
        <f aca="false">SUM(AS8:AS15)</f>
        <v>728659.196690001</v>
      </c>
      <c r="AT16" s="273" t="n">
        <f aca="false">SUM(AT8:AT15)</f>
        <v>-181.067079995155</v>
      </c>
      <c r="AU16" s="273" t="n">
        <f aca="false">SUM(AU8:AU15)</f>
        <v>0</v>
      </c>
      <c r="AV16" s="273" t="n">
        <f aca="false">SUM(AV8:AV15)</f>
        <v>0</v>
      </c>
      <c r="AW16" s="273" t="n">
        <f aca="false">SUM(AW8:AW15)</f>
        <v>0</v>
      </c>
      <c r="AX16" s="273" t="n">
        <f aca="false">SUM(AX8:AX15)</f>
        <v>0</v>
      </c>
      <c r="AY16" s="273" t="n">
        <f aca="false">SUM(AY8:AY15)</f>
        <v>0</v>
      </c>
      <c r="AZ16" s="273" t="n">
        <f aca="false">SUM(AZ8:AZ15)</f>
        <v>0</v>
      </c>
      <c r="BA16" s="273" t="n">
        <f aca="false">SUM(BA8:BA15)</f>
        <v>0</v>
      </c>
      <c r="BB16" s="273" t="n">
        <f aca="false">SUM(BB8:BB15)</f>
        <v>0</v>
      </c>
      <c r="BC16" s="273" t="n">
        <f aca="false">SUM(BC8:BC15)</f>
        <v>0</v>
      </c>
      <c r="BD16" s="273" t="n">
        <f aca="false">SUM(BD8:BD15)</f>
        <v>0</v>
      </c>
      <c r="BE16" s="273" t="n">
        <f aca="false">SUM(BE8:BE15)</f>
        <v>0</v>
      </c>
      <c r="BF16" s="273" t="n">
        <f aca="false">SUM(BF8:BF15)</f>
        <v>0</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1037</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1038</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1039</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1040</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1041</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1042</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1043</v>
      </c>
      <c r="B25" s="1" t="s">
        <v>1044</v>
      </c>
      <c r="C25" s="276"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1045</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1046</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1047</v>
      </c>
      <c r="B30" s="260"/>
      <c r="C30" s="260"/>
      <c r="D30" s="260"/>
      <c r="E30" s="260"/>
      <c r="F30" s="260"/>
      <c r="G30" s="260"/>
      <c r="H30" s="260"/>
      <c r="I30" s="260"/>
    </row>
    <row r="31" customFormat="false" ht="15" hidden="false" customHeight="true" outlineLevel="0" collapsed="false">
      <c r="A31" s="277" t="s">
        <v>1048</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0</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1049</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0</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1050</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40</v>
      </c>
    </row>
    <row r="44" customFormat="false" ht="15" hidden="false" customHeight="true" outlineLevel="0" collapsed="false">
      <c r="A44" s="278" t="s">
        <v>18</v>
      </c>
      <c r="B44" s="90" t="n">
        <f aca="false">40-B39</f>
        <v>29</v>
      </c>
    </row>
    <row r="46" customFormat="false" ht="15" hidden="false" customHeight="true" outlineLevel="0" collapsed="false">
      <c r="A46" s="277" t="s">
        <v>1051</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0</v>
      </c>
    </row>
    <row r="49" customFormat="false" ht="15" hidden="false" customHeight="true" outlineLevel="0" collapsed="false">
      <c r="A49" s="278" t="s">
        <v>18</v>
      </c>
      <c r="B49" s="279" t="n">
        <f aca="false">B34*B44</f>
        <v>2359498</v>
      </c>
    </row>
    <row r="51" customFormat="false" ht="15" hidden="false" customHeight="true" outlineLevel="0" collapsed="false">
      <c r="A51" s="260" t="s">
        <v>1052</v>
      </c>
      <c r="B51" s="260"/>
      <c r="C51" s="260"/>
      <c r="D51" s="260"/>
      <c r="E51" s="260"/>
      <c r="F51" s="260"/>
      <c r="G51" s="260"/>
    </row>
    <row r="52" customFormat="false" ht="15" hidden="false" customHeight="true" outlineLevel="0" collapsed="false">
      <c r="A52" s="277" t="s">
        <v>1053</v>
      </c>
      <c r="B52" s="277" t="s">
        <v>1054</v>
      </c>
      <c r="C52" s="277" t="s">
        <v>1055</v>
      </c>
      <c r="D52" s="277" t="s">
        <v>1056</v>
      </c>
      <c r="E52" s="277" t="s">
        <v>1057</v>
      </c>
      <c r="F52" s="277" t="s">
        <v>1058</v>
      </c>
      <c r="G52" s="277" t="s">
        <v>1059</v>
      </c>
    </row>
    <row r="53" customFormat="false" ht="15" hidden="false" customHeight="true" outlineLevel="0" collapsed="false">
      <c r="A53" s="90" t="n">
        <v>1</v>
      </c>
      <c r="B53" s="279" t="n">
        <f aca="false">IFERROR($B$33,0)</f>
        <v>0</v>
      </c>
      <c r="C53" s="279" t="n">
        <f aca="false">CH27</f>
        <v>0</v>
      </c>
      <c r="D53" s="279" t="n">
        <f aca="false">IFERROR(MIN(C53,B53),0)</f>
        <v>0</v>
      </c>
      <c r="E53" s="279" t="n">
        <f aca="false">Model!CJ343</f>
        <v>0</v>
      </c>
      <c r="F53" s="279" t="n">
        <f aca="false">E53*Assumptions!$B$59</f>
        <v>0</v>
      </c>
      <c r="G53" s="279" t="n">
        <f aca="false">IFERROR(MIN(E53+F53,MAX(0,B53-D53)),0)</f>
        <v>0</v>
      </c>
    </row>
    <row r="54" customFormat="false" ht="15" hidden="false" customHeight="true" outlineLevel="0" collapsed="false">
      <c r="A54" s="90" t="n">
        <v>2</v>
      </c>
      <c r="B54" s="279" t="n">
        <f aca="false">IFERROR($B$33,0)</f>
        <v>0</v>
      </c>
      <c r="C54" s="279" t="n">
        <f aca="false">IFERROR(MAX(0,C53-D53),0)</f>
        <v>0</v>
      </c>
      <c r="D54" s="279" t="n">
        <f aca="false">IFERROR(MIN(C54,B54),0)</f>
        <v>0</v>
      </c>
      <c r="E54" s="279" t="n">
        <f aca="false">IFERROR(MAX(0,E53+F53-G53),0)</f>
        <v>0</v>
      </c>
      <c r="F54" s="279" t="n">
        <f aca="false">IFERROR(E54*Assumptions!$B$59,0)</f>
        <v>0</v>
      </c>
      <c r="G54" s="279" t="n">
        <f aca="false">IFERROR(MIN(E54+F54,MAX(0,B54-D54)),0)</f>
        <v>0</v>
      </c>
    </row>
    <row r="55" customFormat="false" ht="15" hidden="false" customHeight="true" outlineLevel="0" collapsed="false">
      <c r="A55" s="90" t="n">
        <v>3</v>
      </c>
      <c r="B55" s="279" t="n">
        <f aca="false">IFERROR($B$33,0)</f>
        <v>0</v>
      </c>
      <c r="C55" s="279" t="n">
        <f aca="false">IFERROR(MAX(0,C54-D54),0)</f>
        <v>0</v>
      </c>
      <c r="D55" s="279" t="n">
        <f aca="false">IFERROR(MIN(C55,B55),0)</f>
        <v>0</v>
      </c>
      <c r="E55" s="279" t="n">
        <f aca="false">IFERROR(MAX(0,E54+F54-G54),0)</f>
        <v>0</v>
      </c>
      <c r="F55" s="279" t="n">
        <f aca="false">IFERROR(E55*Assumptions!$B$59,0)</f>
        <v>0</v>
      </c>
      <c r="G55" s="279" t="n">
        <f aca="false">IFERROR(MIN(E55+F55,MAX(0,B55-D55)),0)</f>
        <v>0</v>
      </c>
    </row>
    <row r="56" customFormat="false" ht="15" hidden="false" customHeight="true" outlineLevel="0" collapsed="false">
      <c r="A56" s="90" t="n">
        <v>4</v>
      </c>
      <c r="B56" s="279" t="n">
        <f aca="false">IFERROR($B$33,0)</f>
        <v>0</v>
      </c>
      <c r="C56" s="279" t="n">
        <f aca="false">IFERROR(MAX(0,C55-D55),0)</f>
        <v>0</v>
      </c>
      <c r="D56" s="279" t="n">
        <f aca="false">IFERROR(MIN(C56,B56),0)</f>
        <v>0</v>
      </c>
      <c r="E56" s="279" t="n">
        <f aca="false">IFERROR(MAX(0,E55+F55-G55),0)</f>
        <v>0</v>
      </c>
      <c r="F56" s="279" t="n">
        <f aca="false">IFERROR(E56*Assumptions!$B$59,0)</f>
        <v>0</v>
      </c>
      <c r="G56" s="279" t="n">
        <f aca="false">IFERROR(MIN(E56+F56,MAX(0,B56-D56)),0)</f>
        <v>0</v>
      </c>
    </row>
    <row r="57" customFormat="false" ht="15" hidden="false" customHeight="true" outlineLevel="0" collapsed="false">
      <c r="A57" s="90" t="n">
        <v>5</v>
      </c>
      <c r="B57" s="279" t="n">
        <f aca="false">IFERROR($B$33,0)</f>
        <v>0</v>
      </c>
      <c r="C57" s="279" t="n">
        <f aca="false">IFERROR(MAX(0,C56-D56),0)</f>
        <v>0</v>
      </c>
      <c r="D57" s="279" t="n">
        <f aca="false">IFERROR(MIN(C57,B57),0)</f>
        <v>0</v>
      </c>
      <c r="E57" s="279" t="n">
        <f aca="false">IFERROR(MAX(0,E56+F56-G56),0)</f>
        <v>0</v>
      </c>
      <c r="F57" s="279" t="n">
        <f aca="false">IFERROR(E57*Assumptions!$B$59,0)</f>
        <v>0</v>
      </c>
      <c r="G57" s="279" t="n">
        <f aca="false">IFERROR(MIN(E57+F57,MAX(0,B57-D57)),0)</f>
        <v>0</v>
      </c>
    </row>
    <row r="58" customFormat="false" ht="15" hidden="false" customHeight="true" outlineLevel="0" collapsed="false">
      <c r="A58" s="90" t="n">
        <v>6</v>
      </c>
      <c r="B58" s="279" t="n">
        <f aca="false">IFERROR($B$33,0)</f>
        <v>0</v>
      </c>
      <c r="C58" s="279" t="n">
        <f aca="false">IFERROR(MAX(0,C57-D57),0)</f>
        <v>0</v>
      </c>
      <c r="D58" s="279" t="n">
        <f aca="false">IFERROR(MIN(C58,B58),0)</f>
        <v>0</v>
      </c>
      <c r="E58" s="279" t="n">
        <f aca="false">IFERROR(MAX(0,E57+F57-G57),0)</f>
        <v>0</v>
      </c>
      <c r="F58" s="279" t="n">
        <f aca="false">IFERROR(E58*Assumptions!$B$59,0)</f>
        <v>0</v>
      </c>
      <c r="G58" s="279" t="n">
        <f aca="false">IFERROR(MIN(E58+F58,MAX(0,B58-D58)),0)</f>
        <v>0</v>
      </c>
    </row>
    <row r="59" customFormat="false" ht="15" hidden="false" customHeight="true" outlineLevel="0" collapsed="false">
      <c r="A59" s="90" t="n">
        <v>7</v>
      </c>
      <c r="B59" s="279" t="n">
        <f aca="false">IFERROR($B$33,0)</f>
        <v>0</v>
      </c>
      <c r="C59" s="279" t="n">
        <f aca="false">IFERROR(MAX(0,C58-D58),0)</f>
        <v>0</v>
      </c>
      <c r="D59" s="279" t="n">
        <f aca="false">IFERROR(MIN(C59,B59),0)</f>
        <v>0</v>
      </c>
      <c r="E59" s="279" t="n">
        <f aca="false">IFERROR(MAX(0,E58+F58-G58),0)</f>
        <v>0</v>
      </c>
      <c r="F59" s="279" t="n">
        <f aca="false">IFERROR(E59*Assumptions!$B$59,0)</f>
        <v>0</v>
      </c>
      <c r="G59" s="279" t="n">
        <f aca="false">IFERROR(MIN(E59+F59,MAX(0,B59-D59)),0)</f>
        <v>0</v>
      </c>
    </row>
    <row r="60" customFormat="false" ht="15" hidden="false" customHeight="true" outlineLevel="0" collapsed="false">
      <c r="A60" s="90" t="n">
        <v>8</v>
      </c>
      <c r="B60" s="279" t="n">
        <f aca="false">IFERROR($B$33,0)</f>
        <v>0</v>
      </c>
      <c r="C60" s="279" t="n">
        <f aca="false">IFERROR(MAX(0,C59-D59),0)</f>
        <v>0</v>
      </c>
      <c r="D60" s="279" t="n">
        <f aca="false">IFERROR(MIN(C60,B60),0)</f>
        <v>0</v>
      </c>
      <c r="E60" s="279" t="n">
        <f aca="false">IFERROR(MAX(0,E59+F59-G59),0)</f>
        <v>0</v>
      </c>
      <c r="F60" s="279" t="n">
        <f aca="false">IFERROR(E60*Assumptions!$B$59,0)</f>
        <v>0</v>
      </c>
      <c r="G60" s="279" t="n">
        <f aca="false">IFERROR(MIN(E60+F60,MAX(0,B60-D60)),0)</f>
        <v>0</v>
      </c>
    </row>
    <row r="61" customFormat="false" ht="15" hidden="false" customHeight="true" outlineLevel="0" collapsed="false">
      <c r="A61" s="90" t="n">
        <v>9</v>
      </c>
      <c r="B61" s="279" t="n">
        <f aca="false">IFERROR($B$33,0)</f>
        <v>0</v>
      </c>
      <c r="C61" s="279" t="n">
        <f aca="false">IFERROR(MAX(0,C60-D60),0)</f>
        <v>0</v>
      </c>
      <c r="D61" s="279" t="n">
        <f aca="false">IFERROR(MIN(C61,B61),0)</f>
        <v>0</v>
      </c>
      <c r="E61" s="279" t="n">
        <f aca="false">IFERROR(MAX(0,E60+F60-G60),0)</f>
        <v>0</v>
      </c>
      <c r="F61" s="279" t="n">
        <f aca="false">IFERROR(E61*Assumptions!$B$59,0)</f>
        <v>0</v>
      </c>
      <c r="G61" s="279" t="n">
        <f aca="false">IFERROR(MIN(E61+F61,MAX(0,B61-D61)),0)</f>
        <v>0</v>
      </c>
    </row>
    <row r="62" customFormat="false" ht="15" hidden="false" customHeight="true" outlineLevel="0" collapsed="false">
      <c r="A62" s="90" t="n">
        <v>10</v>
      </c>
      <c r="B62" s="279" t="n">
        <f aca="false">IFERROR($B$33,0)</f>
        <v>0</v>
      </c>
      <c r="C62" s="279" t="n">
        <f aca="false">IFERROR(MAX(0,C61-D61),0)</f>
        <v>0</v>
      </c>
      <c r="D62" s="279" t="n">
        <f aca="false">IFERROR(MIN(C62,B62),0)</f>
        <v>0</v>
      </c>
      <c r="E62" s="279" t="n">
        <f aca="false">IFERROR(MAX(0,E61+F61-G61),0)</f>
        <v>0</v>
      </c>
      <c r="F62" s="279" t="n">
        <f aca="false">IFERROR(E62*Assumptions!$B$59,0)</f>
        <v>0</v>
      </c>
      <c r="G62" s="279" t="n">
        <f aca="false">IFERROR(MIN(E62+F62,MAX(0,B62-D62)),0)</f>
        <v>0</v>
      </c>
    </row>
    <row r="63" customFormat="false" ht="15" hidden="false" customHeight="true" outlineLevel="0" collapsed="false">
      <c r="A63" s="90" t="n">
        <v>11</v>
      </c>
      <c r="B63" s="279" t="n">
        <f aca="false">IFERROR($B$33,0)</f>
        <v>0</v>
      </c>
      <c r="C63" s="279" t="n">
        <f aca="false">IFERROR(MAX(0,C62-D62),0)</f>
        <v>0</v>
      </c>
      <c r="D63" s="279" t="n">
        <f aca="false">IFERROR(MIN(C63,B63),0)</f>
        <v>0</v>
      </c>
      <c r="E63" s="279" t="n">
        <f aca="false">IFERROR(MAX(0,E62+F62-G62),0)</f>
        <v>0</v>
      </c>
      <c r="F63" s="279" t="n">
        <f aca="false">IFERROR(E63*Assumptions!$B$59,0)</f>
        <v>0</v>
      </c>
      <c r="G63" s="279" t="n">
        <f aca="false">IFERROR(MIN(E63+F63,MAX(0,B63-D63)),0)</f>
        <v>0</v>
      </c>
    </row>
    <row r="64" customFormat="false" ht="15" hidden="false" customHeight="true" outlineLevel="0" collapsed="false">
      <c r="A64" s="90" t="n">
        <v>12</v>
      </c>
      <c r="B64" s="279" t="n">
        <f aca="false">IFERROR($B$33,0)</f>
        <v>0</v>
      </c>
      <c r="C64" s="279" t="n">
        <f aca="false">IFERROR(MAX(0,C63-D63),0)</f>
        <v>0</v>
      </c>
      <c r="D64" s="279" t="n">
        <f aca="false">IFERROR(MIN(C64,B64),0)</f>
        <v>0</v>
      </c>
      <c r="E64" s="279" t="n">
        <f aca="false">IFERROR(MAX(0,E63+F63-G63),0)</f>
        <v>0</v>
      </c>
      <c r="F64" s="279" t="n">
        <f aca="false">IFERROR(E64*Assumptions!$B$59,0)</f>
        <v>0</v>
      </c>
      <c r="G64" s="279" t="n">
        <f aca="false">IFERROR(MIN(E64+F64,MAX(0,B64-D64)),0)</f>
        <v>0</v>
      </c>
    </row>
    <row r="65" customFormat="false" ht="15" hidden="false" customHeight="true" outlineLevel="0" collapsed="false">
      <c r="A65" s="90" t="n">
        <v>13</v>
      </c>
      <c r="B65" s="279" t="n">
        <f aca="false">IFERROR($B$33,0)</f>
        <v>0</v>
      </c>
      <c r="C65" s="279" t="n">
        <f aca="false">IFERROR(MAX(0,C64-D64),0)</f>
        <v>0</v>
      </c>
      <c r="D65" s="279" t="n">
        <f aca="false">IFERROR(MIN(C65,B65),0)</f>
        <v>0</v>
      </c>
      <c r="E65" s="279" t="n">
        <f aca="false">IFERROR(MAX(0,E64+F64-G64),0)</f>
        <v>0</v>
      </c>
      <c r="F65" s="279" t="n">
        <f aca="false">IFERROR(E65*Assumptions!$B$59,0)</f>
        <v>0</v>
      </c>
      <c r="G65" s="279" t="n">
        <f aca="false">IFERROR(MIN(E65+F65,MAX(0,B65-D65)),0)</f>
        <v>0</v>
      </c>
    </row>
    <row r="66" customFormat="false" ht="15" hidden="false" customHeight="true" outlineLevel="0" collapsed="false">
      <c r="A66" s="90" t="n">
        <v>14</v>
      </c>
      <c r="B66" s="279" t="n">
        <f aca="false">IFERROR($B$33,0)</f>
        <v>0</v>
      </c>
      <c r="C66" s="279" t="n">
        <f aca="false">IFERROR(MAX(0,C65-D65),0)</f>
        <v>0</v>
      </c>
      <c r="D66" s="279" t="n">
        <f aca="false">IFERROR(MIN(C66,B66),0)</f>
        <v>0</v>
      </c>
      <c r="E66" s="279" t="n">
        <f aca="false">IFERROR(MAX(0,E65+F65-G65),0)</f>
        <v>0</v>
      </c>
      <c r="F66" s="279" t="n">
        <f aca="false">IFERROR(E66*Assumptions!$B$59,0)</f>
        <v>0</v>
      </c>
      <c r="G66" s="279" t="n">
        <f aca="false">IFERROR(MIN(E66+F66,MAX(0,B66-D66)),0)</f>
        <v>0</v>
      </c>
    </row>
    <row r="67" customFormat="false" ht="15" hidden="false" customHeight="true" outlineLevel="0" collapsed="false">
      <c r="A67" s="90" t="n">
        <v>15</v>
      </c>
      <c r="B67" s="279" t="n">
        <f aca="false">IFERROR($B$33,0)</f>
        <v>0</v>
      </c>
      <c r="C67" s="279" t="n">
        <f aca="false">IFERROR(MAX(0,C66-D66),0)</f>
        <v>0</v>
      </c>
      <c r="D67" s="279" t="n">
        <f aca="false">IFERROR(MIN(C67,B67),0)</f>
        <v>0</v>
      </c>
      <c r="E67" s="279" t="n">
        <f aca="false">IFERROR(MAX(0,E66+F66-G66),0)</f>
        <v>0</v>
      </c>
      <c r="F67" s="279" t="n">
        <f aca="false">IFERROR(E67*Assumptions!$B$59,0)</f>
        <v>0</v>
      </c>
      <c r="G67" s="279" t="n">
        <f aca="false">IFERROR(MIN(E67+F67,MAX(0,B67-D67)),0)</f>
        <v>0</v>
      </c>
    </row>
    <row r="68" customFormat="false" ht="15" hidden="false" customHeight="true" outlineLevel="0" collapsed="false">
      <c r="A68" s="90" t="n">
        <v>16</v>
      </c>
      <c r="B68" s="279" t="n">
        <f aca="false">IFERROR($B$33,0)</f>
        <v>0</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0</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0</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0</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0</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0</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0</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0</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0</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0</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0</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0</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0</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0</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0</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0</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0</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0</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0</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0</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0</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0</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0</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0</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0</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1060</v>
      </c>
      <c r="D93" s="280" t="n">
        <f aca="false">IFERROR(SUM(D53:D92),0)</f>
        <v>0</v>
      </c>
      <c r="F93" s="280" t="n">
        <f aca="false">IFERROR(SUM(F53:F92),0)</f>
        <v>0</v>
      </c>
      <c r="G93" s="280" t="n">
        <f aca="false">IFERROR(SUM(G53:G92),0)</f>
        <v>0</v>
      </c>
    </row>
    <row r="94" customFormat="false" ht="15" hidden="false" customHeight="true" outlineLevel="0" collapsed="false">
      <c r="A94" s="1" t="s">
        <v>1061</v>
      </c>
    </row>
    <row r="95" customFormat="false" ht="15" hidden="false" customHeight="true" outlineLevel="0" collapsed="false">
      <c r="A95" s="1" t="s">
        <v>1062</v>
      </c>
    </row>
    <row r="96" customFormat="false" ht="15" hidden="false" customHeight="true" outlineLevel="0" collapsed="false">
      <c r="A96" s="72" t="s">
        <v>1063</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1064</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1065</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1066</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298408.023163652</v>
      </c>
      <c r="S99" s="282" t="n">
        <f aca="false">Model!R199+SUM(Model!R203:R233)+Model!R235-(Model!R196)</f>
        <v>242489.983163653</v>
      </c>
      <c r="T99" s="282" t="n">
        <f aca="false">Model!S199+SUM(Model!S203:S233)+Model!S235-(Model!S196)</f>
        <v>352507.70222087</v>
      </c>
      <c r="U99" s="282" t="n">
        <f aca="false">Model!T199+SUM(Model!T203:T233)+Model!T235-(Model!T196)</f>
        <v>450860.982220871</v>
      </c>
      <c r="V99" s="282" t="n">
        <f aca="false">Model!U199+SUM(Model!U203:U233)+Model!U235-(Model!U196)</f>
        <v>345131.692220871</v>
      </c>
      <c r="W99" s="282" t="n">
        <f aca="false">Model!V199+SUM(Model!V203:V233)+Model!V235-(Model!V196)</f>
        <v>423710.782220868</v>
      </c>
      <c r="X99" s="282" t="n">
        <f aca="false">Model!W199+SUM(Model!W203:W233)+Model!W235-(Model!W196)</f>
        <v>312024.48222087</v>
      </c>
      <c r="Y99" s="282" t="n">
        <f aca="false">Model!X199+SUM(Model!X203:X233)+Model!X235-(Model!X196)</f>
        <v>486640.02222087</v>
      </c>
      <c r="Z99" s="282" t="n">
        <f aca="false">Model!Y199+SUM(Model!Y203:Y233)+Model!Y235-(Model!Y196)</f>
        <v>324879.202220869</v>
      </c>
      <c r="AA99" s="282" t="n">
        <f aca="false">Model!Z199+SUM(Model!Z203:Z233)+Model!Z235-(Model!Z196)</f>
        <v>459447.476451638</v>
      </c>
      <c r="AB99" s="282" t="n">
        <f aca="false">Model!AA199+SUM(Model!AA203:AA233)+Model!AA235-(Model!AA196)</f>
        <v>525869.914428163</v>
      </c>
      <c r="AC99" s="282" t="n">
        <f aca="false">Model!AB199+SUM(Model!AB203:AB233)+Model!AB235-(Model!AB196)</f>
        <v>348521.146173815</v>
      </c>
      <c r="AD99" s="282" t="n">
        <f aca="false">Model!AC199+SUM(Model!AC203:AC233)+Model!AC235-(Model!AC196)</f>
        <v>129058.177669675</v>
      </c>
      <c r="AE99" s="282" t="n">
        <f aca="false">Model!AD199+SUM(Model!AD203:AD233)+Model!AD235-(Model!AD196)</f>
        <v>179607.63128506</v>
      </c>
      <c r="AF99" s="282" t="n">
        <f aca="false">Model!AE199+SUM(Model!AE203:AE233)+Model!AE235-(Model!AE196)</f>
        <v>192847.333592753</v>
      </c>
      <c r="AG99" s="282" t="n">
        <f aca="false">Model!AF199+SUM(Model!AF203:AF233)+Model!AF235-(Model!AF196)</f>
        <v>351779.540311402</v>
      </c>
      <c r="AH99" s="282" t="n">
        <f aca="false">Model!AG199+SUM(Model!AG203:AG233)+Model!AG235-(Model!AG196)</f>
        <v>287289.163355052</v>
      </c>
      <c r="AI99" s="282" t="n">
        <f aca="false">Model!AH199+SUM(Model!AH203:AH233)+Model!AH235-(Model!AH196)</f>
        <v>153042.593277767</v>
      </c>
      <c r="AJ99" s="282" t="n">
        <f aca="false">Model!AI199+SUM(Model!AI203:AI233)+Model!AI235-(Model!AI196)</f>
        <v>156491.107893153</v>
      </c>
      <c r="AK99" s="282" t="n">
        <f aca="false">Model!AJ199+SUM(Model!AJ203:AJ233)+Model!AJ235-(Model!AJ196)</f>
        <v>161862.207460902</v>
      </c>
      <c r="AL99" s="282" t="n">
        <f aca="false">Model!AK199+SUM(Model!AK203:AK233)+Model!AK235-(Model!AK196)</f>
        <v>-92472.2113479833</v>
      </c>
      <c r="AM99" s="282" t="n">
        <f aca="false">Model!AL199+SUM(Model!AL203:AL233)+Model!AL235-(Model!AL196)</f>
        <v>-78162.1413479835</v>
      </c>
      <c r="AN99" s="282" t="n">
        <f aca="false">Model!AM199+SUM(Model!AM203:AM233)+Model!AM235-(Model!AM196)</f>
        <v>-66280.3613479832</v>
      </c>
      <c r="AO99" s="282" t="n">
        <f aca="false">Model!AN199+SUM(Model!AN203:AN233)+Model!AN235-(Model!AN196)</f>
        <v>-174762.411347983</v>
      </c>
      <c r="AP99" s="282" t="n">
        <f aca="false">Model!AO199+SUM(Model!AO203:AO233)+Model!AO235-(Model!AO196)</f>
        <v>-222136.325856087</v>
      </c>
      <c r="AQ99" s="282" t="n">
        <f aca="false">Model!AP199+SUM(Model!AP203:AP233)+Model!AP235-(Model!AP196)</f>
        <v>-222136.325856087</v>
      </c>
      <c r="AR99" s="282" t="n">
        <f aca="false">Model!AQ199+SUM(Model!AQ203:AQ233)+Model!AQ235-(Model!AQ196)</f>
        <v>-222136.325856087</v>
      </c>
      <c r="AS99" s="282" t="n">
        <f aca="false">Model!AR199+SUM(Model!AR203:AR233)+Model!AR235-(Model!AR196)</f>
        <v>-222136.325856087</v>
      </c>
      <c r="AT99" s="282" t="n">
        <f aca="false">Model!AS199+SUM(Model!AS203:AS233)+Model!AS235-(Model!AS196)</f>
        <v>-222136.325856087</v>
      </c>
      <c r="AU99" s="282" t="n">
        <f aca="false">Model!AT199+SUM(Model!AT203:AT233)+Model!AT235-(Model!AT196)</f>
        <v>-222136.325856087</v>
      </c>
      <c r="AV99" s="282" t="n">
        <f aca="false">Model!AU199+SUM(Model!AU203:AU233)+Model!AU235-(Model!AU196)</f>
        <v>-222136.325856087</v>
      </c>
      <c r="AW99" s="282" t="n">
        <f aca="false">Model!AV199+SUM(Model!AV203:AV233)+Model!AV235-(Model!AV196)</f>
        <v>50349.2594974126</v>
      </c>
      <c r="AX99" s="282" t="n">
        <f aca="false">Model!AW199+SUM(Model!AW203:AW233)+Model!AW235-(Model!AW196)</f>
        <v>-394710.529913304</v>
      </c>
      <c r="AY99" s="282" t="n">
        <f aca="false">Model!AX199+SUM(Model!AX203:AX233)+Model!AX235-(Model!AX196)</f>
        <v>-394710.529913304</v>
      </c>
      <c r="AZ99" s="282" t="n">
        <f aca="false">Model!AY199+SUM(Model!AY203:AY233)+Model!AY235-(Model!AY196)</f>
        <v>-394710.529913304</v>
      </c>
      <c r="BA99" s="282" t="n">
        <f aca="false">Model!AZ199+SUM(Model!AZ203:AZ233)+Model!AZ235-(Model!AZ196)</f>
        <v>-394710.529913304</v>
      </c>
      <c r="BB99" s="282" t="n">
        <f aca="false">Model!BA199+SUM(Model!BA203:BA233)+Model!BA235-(Model!BA196)</f>
        <v>-402304.74051157</v>
      </c>
      <c r="BC99" s="282" t="n">
        <f aca="false">Model!BB199+SUM(Model!BB203:BB233)+Model!BB235-(Model!BB196)</f>
        <v>-402304.74051157</v>
      </c>
      <c r="BD99" s="282" t="n">
        <f aca="false">Model!BC199+SUM(Model!BC203:BC233)+Model!BC235-(Model!BC196)</f>
        <v>-402304.74051157</v>
      </c>
      <c r="BE99" s="282" t="n">
        <f aca="false">Model!BD199+SUM(Model!BD203:BD233)+Model!BD235-(Model!BD196)</f>
        <v>-402304.74051157</v>
      </c>
      <c r="BF99" s="282" t="n">
        <f aca="false">Model!BE199+SUM(Model!BE203:BE233)+Model!BE235-(Model!BE196)</f>
        <v>-402304.74051157</v>
      </c>
      <c r="BG99" s="282" t="n">
        <f aca="false">Model!BF199+SUM(Model!BF203:BF233)+Model!BF235-(Model!BF196)</f>
        <v>-402304.74051157</v>
      </c>
      <c r="BH99" s="282" t="n">
        <f aca="false">Model!BG199+SUM(Model!BG203:BG233)+Model!BG235-(Model!BG196)</f>
        <v>-402304.74051157</v>
      </c>
      <c r="BI99" s="282" t="n">
        <f aca="false">Model!BH199+SUM(Model!BH203:BH233)+Model!BH235-(Model!BH196)</f>
        <v>-402304.74051157</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1067</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1068</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1070</v>
      </c>
      <c r="C3" s="287" t="s">
        <v>1071</v>
      </c>
      <c r="D3" s="287" t="s">
        <v>1072</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1073</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1074</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1075</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1058</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1076</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1077</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1073</v>
      </c>
      <c r="B13" s="291" t="n">
        <f aca="false">SUM(Model!E256:CG256)</f>
        <v>0</v>
      </c>
      <c r="C13" s="291" t="n">
        <f aca="false">IFERROR(Helpers!B48,0)</f>
        <v>0</v>
      </c>
      <c r="D13" s="291" t="n">
        <f aca="false">IFERROR(B13+C13,0)</f>
        <v>0</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1074</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1075</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1058</v>
      </c>
      <c r="B16" s="298" t="n">
        <f aca="false">-SUM(Model!E340:CG340)</f>
        <v>-0</v>
      </c>
      <c r="C16" s="298" t="n">
        <f aca="false">IFERROR(-Helpers!F93,0)</f>
        <v>-0</v>
      </c>
      <c r="D16" s="298"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1076</v>
      </c>
      <c r="B17" s="299" t="n">
        <f aca="false">SUM(B13:B16)</f>
        <v>-563546.32</v>
      </c>
      <c r="C17" s="299" t="n">
        <f aca="false">IFERROR(SUM(C13:C16),0)</f>
        <v>0</v>
      </c>
      <c r="D17" s="299" t="n">
        <f aca="false">IFERROR(SUM(D13:D16),0)</f>
        <v>-563546.32</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1073</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1074</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1075</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1058</v>
      </c>
      <c r="B23" s="279" t="n">
        <f aca="false">-SUM(Model!E345:CG345)</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1076</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1078</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1079</v>
      </c>
      <c r="B27" s="314" t="n">
        <f aca="false">B6+B13+B20</f>
        <v>2714923</v>
      </c>
      <c r="C27" s="314" t="n">
        <f aca="false">IFERROR(C6+C13+C20,0)</f>
        <v>4271973</v>
      </c>
      <c r="D27" s="314"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1080</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1081</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1082</v>
      </c>
      <c r="B30" s="318" t="n">
        <f aca="false">B9+B16+B23</f>
        <v>-735311.322547972</v>
      </c>
      <c r="C30" s="318" t="n">
        <f aca="false">IFERROR(C9+C16+C23,0)</f>
        <v>0</v>
      </c>
      <c r="D30" s="318" t="n">
        <f aca="false">IFERROR(D9+D16+D23,0)</f>
        <v>-735311.322547972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1083</v>
      </c>
      <c r="B31" s="299" t="n">
        <f aca="false">B10+B17+B24</f>
        <v>235450.007452028</v>
      </c>
      <c r="C31" s="299" t="n">
        <f aca="false">IFERROR(C10+C17+C24,0)</f>
        <v>4271973</v>
      </c>
      <c r="D31" s="299" t="n">
        <f aca="false">IFERROR(D10+D17+D24,0)</f>
        <v>4507423.00745203</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1084</v>
      </c>
    </row>
    <row r="41" customFormat="false" ht="15" hidden="false" customHeight="true" outlineLevel="0" collapsed="false">
      <c r="A41" s="322" t="s">
        <v>1085</v>
      </c>
    </row>
    <row r="42" customFormat="false" ht="15" hidden="false" customHeight="true" outlineLevel="0" collapsed="false">
      <c r="A42" s="322" t="s">
        <v>1086</v>
      </c>
    </row>
    <row r="43" customFormat="false" ht="15" hidden="false" customHeight="true" outlineLevel="0" collapsed="false">
      <c r="A43" s="322" t="s">
        <v>1087</v>
      </c>
    </row>
    <row r="44" customFormat="false" ht="15" hidden="false" customHeight="true" outlineLevel="0" collapsed="false">
      <c r="A44" s="322" t="s">
        <v>1088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1089</v>
      </c>
    </row>
    <row r="2" customFormat="false" ht="15" hidden="false" customHeight="true" outlineLevel="0" collapsed="false">
      <c r="A2" s="90" t="s">
        <v>1090</v>
      </c>
      <c r="B2" s="323" t="n">
        <v>0.0025</v>
      </c>
    </row>
    <row r="3" customFormat="false" ht="15" hidden="false" customHeight="true" outlineLevel="0" collapsed="false">
      <c r="A3" s="90" t="s">
        <v>1091</v>
      </c>
      <c r="B3" s="324" t="n">
        <v>0.1</v>
      </c>
    </row>
    <row r="4" customFormat="false" ht="15" hidden="false" customHeight="true" outlineLevel="0" collapsed="false"/>
    <row r="5" customFormat="false" ht="30" hidden="false" customHeight="true" outlineLevel="0" collapsed="false">
      <c r="A5" s="325" t="s">
        <v>1092</v>
      </c>
      <c r="B5" s="325" t="s">
        <v>1093</v>
      </c>
      <c r="C5" s="325" t="s">
        <v>1094</v>
      </c>
      <c r="D5" s="326" t="s">
        <v>1095</v>
      </c>
      <c r="E5" s="326" t="s">
        <v>1096</v>
      </c>
      <c r="F5" s="326" t="s">
        <v>1097</v>
      </c>
      <c r="G5" s="327"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1098</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485923.50726</v>
      </c>
      <c r="S16" s="104" t="n">
        <f aca="false">-SUM(Model!R203:R233)-Model!R235</f>
        <v>485923.50726</v>
      </c>
      <c r="T16" s="104" t="n">
        <f aca="false">-SUM(Model!S203:S233)-Model!S235</f>
        <v>534260.93226</v>
      </c>
      <c r="U16" s="104" t="n">
        <f aca="false">-SUM(Model!T203:T233)-Model!T235</f>
        <v>512885.93226</v>
      </c>
      <c r="V16" s="104" t="n">
        <f aca="false">-SUM(Model!U203:U233)-Model!U235</f>
        <v>512885.93226</v>
      </c>
      <c r="W16" s="104" t="n">
        <f aca="false">-SUM(Model!V203:V233)-Model!V235</f>
        <v>512885.93226</v>
      </c>
      <c r="X16" s="104" t="n">
        <f aca="false">-SUM(Model!W203:W233)-Model!W235</f>
        <v>512885.93226</v>
      </c>
      <c r="Y16" s="104" t="n">
        <f aca="false">-SUM(Model!X203:X233)-Model!X235</f>
        <v>512885.93226</v>
      </c>
      <c r="Z16" s="104" t="n">
        <f aca="false">-SUM(Model!Y203:Y233)-Model!Y235</f>
        <v>512885.93226</v>
      </c>
      <c r="AA16" s="104" t="n">
        <f aca="false">-SUM(Model!Z203:Z233)-Model!Z235</f>
        <v>504663.838029231</v>
      </c>
      <c r="AB16" s="104" t="n">
        <f aca="false">-SUM(Model!AA203:AA233)-Model!AA235</f>
        <v>467480.053413846</v>
      </c>
      <c r="AC16" s="104" t="n">
        <f aca="false">-SUM(Model!AB203:AB233)-Model!AB235</f>
        <v>458497.099567692</v>
      </c>
      <c r="AD16" s="104" t="n">
        <f aca="false">-SUM(Model!AC203:AC233)-Model!AC235</f>
        <v>449234.598828277</v>
      </c>
      <c r="AE16" s="104" t="n">
        <f aca="false">-SUM(Model!AD203:AD233)-Model!AD235</f>
        <v>421635.055212892</v>
      </c>
      <c r="AF16" s="104" t="n">
        <f aca="false">-SUM(Model!AE203:AE233)-Model!AE235</f>
        <v>399327.3629052</v>
      </c>
      <c r="AG16" s="104" t="n">
        <f aca="false">-SUM(Model!AF203:AF233)-Model!AF235</f>
        <v>399327.3629052</v>
      </c>
      <c r="AH16" s="104" t="n">
        <f aca="false">-SUM(Model!AG203:AG233)-Model!AG235</f>
        <v>399327.3629052</v>
      </c>
      <c r="AI16" s="104" t="n">
        <f aca="false">-SUM(Model!AH203:AH233)-Model!AH235</f>
        <v>396880.610020585</v>
      </c>
      <c r="AJ16" s="104" t="n">
        <f aca="false">-SUM(Model!AI203:AI233)-Model!AI235</f>
        <v>387265.2254052</v>
      </c>
      <c r="AK16" s="104" t="n">
        <f aca="false">-SUM(Model!AJ203:AJ233)-Model!AJ235</f>
        <v>387265.2254052</v>
      </c>
      <c r="AL16" s="104" t="n">
        <f aca="false">-SUM(Model!AK203:AK233)-Model!AK235</f>
        <v>387265.2254052</v>
      </c>
      <c r="AM16" s="104" t="n">
        <f aca="false">-SUM(Model!AL203:AL233)-Model!AL235</f>
        <v>387265.2254052</v>
      </c>
      <c r="AN16" s="104" t="n">
        <f aca="false">-SUM(Model!AM203:AM233)-Model!AM235</f>
        <v>387265.2254052</v>
      </c>
      <c r="AO16" s="104" t="n">
        <f aca="false">-SUM(Model!AN203:AN233)-Model!AN235</f>
        <v>387265.2254052</v>
      </c>
      <c r="AP16" s="104" t="n">
        <f aca="false">-SUM(Model!AO203:AO233)-Model!AO235</f>
        <v>394710.529913304</v>
      </c>
      <c r="AQ16" s="104" t="n">
        <f aca="false">-SUM(Model!AP203:AP233)-Model!AP235</f>
        <v>394710.529913304</v>
      </c>
      <c r="AR16" s="104" t="n">
        <f aca="false">-SUM(Model!AQ203:AQ233)-Model!AQ235</f>
        <v>394710.529913304</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1099</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6</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1</v>
      </c>
      <c r="AM17" s="9" t="n">
        <f aca="false">SUMPRODUCT((Projects!$G$2:$G$14="Yes")*(AM$15&gt;=Projects!$C$2:$C$14)*(AM$15&lt;Projects!$C$2:$C$14+Projects!$D$2:$D$14))+SUMPRODUCT((Projects!$G$17:$G$46="Yes")*(AM$15&gt;=Projects!$C$17:$C$46)*(AM$15&lt;Projects!$C$17:$C$46+Projects!$D$17:$D$46))</f>
        <v>1</v>
      </c>
      <c r="AN17" s="9" t="n">
        <f aca="false">SUMPRODUCT((Projects!$G$2:$G$14="Yes")*(AN$15&gt;=Projects!$C$2:$C$14)*(AN$15&lt;Projects!$C$2:$C$14+Projects!$D$2:$D$14))+SUMPRODUCT((Projects!$G$17:$G$46="Yes")*(AN$15&gt;=Projects!$C$17:$C$46)*(AN$15&lt;Projects!$C$17:$C$46+Projects!$D$17:$D$46))</f>
        <v>1</v>
      </c>
      <c r="AO17" s="9" t="n">
        <f aca="false">SUMPRODUCT((Projects!$G$2:$G$14="Yes")*(AO$15&gt;=Projects!$C$2:$C$14)*(AO$15&lt;Projects!$C$2:$C$14+Projects!$D$2:$D$14))+SUMPRODUCT((Projects!$G$17:$G$46="Yes")*(AO$15&gt;=Projects!$C$17:$C$46)*(AO$15&lt;Projects!$C$17:$C$46+Projects!$D$17:$D$46))</f>
        <v>1</v>
      </c>
      <c r="AP17" s="9" t="n">
        <f aca="false">SUMPRODUCT((Projects!$G$2:$G$14="Yes")*(AP$15&gt;=Projects!$C$2:$C$14)*(AP$15&lt;Projects!$C$2:$C$14+Projects!$D$2:$D$14))+SUMPRODUCT((Projects!$G$17:$G$46="Yes")*(AP$15&gt;=Projects!$C$17:$C$46)*(AP$15&lt;Projects!$C$17:$C$46+Projects!$D$17:$D$46))</f>
        <v>1</v>
      </c>
      <c r="AQ17" s="9" t="n">
        <f aca="false">SUMPRODUCT((Projects!$G$2:$G$14="Yes")*(AQ$15&gt;=Projects!$C$2:$C$14)*(AQ$15&lt;Projects!$C$2:$C$14+Projects!$D$2:$D$14))+SUMPRODUCT((Projects!$G$17:$G$46="Yes")*(AQ$15&gt;=Projects!$C$17:$C$46)*(AQ$15&lt;Projects!$C$17:$C$46+Projects!$D$17:$D$46))</f>
        <v>1</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1100</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80987.25121</v>
      </c>
      <c r="S18" s="104" t="n">
        <f aca="false">IFERROR(S16/S17,0)</f>
        <v>80987.25121</v>
      </c>
      <c r="T18" s="104" t="n">
        <f aca="false">IFERROR(T16/T17,0)</f>
        <v>76322.9903228572</v>
      </c>
      <c r="U18" s="104" t="n">
        <f aca="false">IFERROR(U16/U17,0)</f>
        <v>73269.4188942857</v>
      </c>
      <c r="V18" s="104" t="n">
        <f aca="false">IFERROR(V16/V17,0)</f>
        <v>73269.4188942857</v>
      </c>
      <c r="W18" s="104" t="n">
        <f aca="false">IFERROR(W16/W17,0)</f>
        <v>73269.4188942857</v>
      </c>
      <c r="X18" s="104" t="n">
        <f aca="false">IFERROR(X16/X17,0)</f>
        <v>73269.4188942857</v>
      </c>
      <c r="Y18" s="104" t="n">
        <f aca="false">IFERROR(Y16/Y17,0)</f>
        <v>73269.4188942857</v>
      </c>
      <c r="Z18" s="104" t="n">
        <f aca="false">IFERROR(Z16/Z17,0)</f>
        <v>73269.4188942857</v>
      </c>
      <c r="AA18" s="104" t="n">
        <f aca="false">IFERROR(AA16/AA17,0)</f>
        <v>72094.8340041758</v>
      </c>
      <c r="AB18" s="104" t="n">
        <f aca="false">IFERROR(AB16/AB17,0)</f>
        <v>66782.8647734066</v>
      </c>
      <c r="AC18" s="104" t="n">
        <f aca="false">IFERROR(AC16/AC17,0)</f>
        <v>76416.1832612821</v>
      </c>
      <c r="AD18" s="104" t="n">
        <f aca="false">IFERROR(AD16/AD17,0)</f>
        <v>89846.9197656554</v>
      </c>
      <c r="AE18" s="104" t="n">
        <f aca="false">IFERROR(AE16/AE17,0)</f>
        <v>84327.0110425785</v>
      </c>
      <c r="AF18" s="104" t="n">
        <f aca="false">IFERROR(AF16/AF17,0)</f>
        <v>79865.47258104</v>
      </c>
      <c r="AG18" s="104" t="n">
        <f aca="false">IFERROR(AG16/AG17,0)</f>
        <v>79865.47258104</v>
      </c>
      <c r="AH18" s="104" t="n">
        <f aca="false">IFERROR(AH16/AH17,0)</f>
        <v>133109.1209684</v>
      </c>
      <c r="AI18" s="104" t="n">
        <f aca="false">IFERROR(AI16/AI17,0)</f>
        <v>198440.305010292</v>
      </c>
      <c r="AJ18" s="104" t="n">
        <f aca="false">IFERROR(AJ16/AJ17,0)</f>
        <v>193632.6127026</v>
      </c>
      <c r="AK18" s="104" t="n">
        <f aca="false">IFERROR(AK16/AK17,0)</f>
        <v>193632.6127026</v>
      </c>
      <c r="AL18" s="104" t="n">
        <f aca="false">IFERROR(AL16/AL17,0)</f>
        <v>387265.2254052</v>
      </c>
      <c r="AM18" s="104" t="n">
        <f aca="false">IFERROR(AM16/AM17,0)</f>
        <v>387265.2254052</v>
      </c>
      <c r="AN18" s="104" t="n">
        <f aca="false">IFERROR(AN16/AN17,0)</f>
        <v>387265.2254052</v>
      </c>
      <c r="AO18" s="104" t="n">
        <f aca="false">IFERROR(AO16/AO17,0)</f>
        <v>387265.2254052</v>
      </c>
      <c r="AP18" s="104" t="n">
        <f aca="false">IFERROR(AP16/AP17,0)</f>
        <v>394710.529913304</v>
      </c>
      <c r="AQ18" s="104" t="n">
        <f aca="false">IFERROR(AQ16/AQ17,0)</f>
        <v>394710.529913304</v>
      </c>
      <c r="AR18" s="104" t="n">
        <f aca="false">IFERROR(AR16/AR17,0)</f>
        <v>394710.529913304</v>
      </c>
      <c r="AS18" s="104" t="n">
        <f aca="false">IFERROR(AS16/AS17,0)</f>
        <v>394710.529913304</v>
      </c>
      <c r="AT18" s="104" t="n">
        <f aca="false">IFERROR(AT16/AT17,0)</f>
        <v>394710.529913304</v>
      </c>
      <c r="AU18" s="104" t="n">
        <f aca="false">IFERROR(AU16/AU17,0)</f>
        <v>394710.529913304</v>
      </c>
      <c r="AV18" s="104" t="n">
        <f aca="false">IFERROR(AV16/AV17,0)</f>
        <v>394710.529913304</v>
      </c>
      <c r="AW18" s="104" t="n">
        <f aca="false">IFERROR(AW16/AW17,0)</f>
        <v>394710.529913304</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1101</v>
      </c>
      <c r="B20" s="122" t="s">
        <v>784</v>
      </c>
      <c r="C20" s="122" t="s">
        <v>594</v>
      </c>
      <c r="D20" s="122" t="s">
        <v>596</v>
      </c>
      <c r="E20" s="122" t="s">
        <v>568</v>
      </c>
      <c r="F20" s="122" t="s">
        <v>1102</v>
      </c>
      <c r="G20" s="122" t="s">
        <v>595</v>
      </c>
      <c r="H20" s="122" t="s">
        <v>1103</v>
      </c>
      <c r="I20" s="122" t="s">
        <v>1104</v>
      </c>
      <c r="J20" s="122" t="s">
        <v>1105</v>
      </c>
      <c r="K20" s="122" t="s">
        <v>1106</v>
      </c>
      <c r="L20" s="122" t="s">
        <v>1107</v>
      </c>
      <c r="M20" s="122" t="s">
        <v>1108</v>
      </c>
      <c r="N20" s="122" t="s">
        <v>1109</v>
      </c>
      <c r="O20" s="122" t="s">
        <v>1110</v>
      </c>
      <c r="P20" s="122" t="s">
        <v>488</v>
      </c>
      <c r="Q20" s="122" t="s">
        <v>1111</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1112</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562</v>
      </c>
      <c r="B1" s="330" t="s">
        <v>1113</v>
      </c>
      <c r="C1" s="330" t="s">
        <v>1114</v>
      </c>
      <c r="D1" s="330" t="s">
        <v>1115</v>
      </c>
      <c r="E1" s="330" t="s">
        <v>1116</v>
      </c>
      <c r="F1" s="330" t="s">
        <v>1117</v>
      </c>
      <c r="G1" s="330" t="s">
        <v>1118</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0</v>
      </c>
      <c r="D14" s="332" t="n">
        <f aca="false">C14*0.05</f>
        <v>0</v>
      </c>
      <c r="E14" s="332" t="n">
        <f aca="false">B14+D14</f>
        <v>0</v>
      </c>
      <c r="F14" s="333" t="n">
        <f aca="false">Projects!$C$14+Projects!$D$14-1</f>
        <v>56</v>
      </c>
      <c r="G14" s="334" t="n">
        <f aca="false">EDATE(DATE(2026,4,1),F14-1)</f>
        <v>47788</v>
      </c>
    </row>
    <row r="15" customFormat="false" ht="15" hidden="false" customHeight="true" outlineLevel="0" collapsed="false">
      <c r="A15" s="175" t="s">
        <v>1119</v>
      </c>
      <c r="B15" s="176" t="n">
        <v>0</v>
      </c>
      <c r="C15" s="332" t="n">
        <f aca="false">IF(Projects!$G$17="Yes",Projects!$B$17*(Assumptions!$B$10+Assumptions!$B$11+Assumptions!$B$12),0)</f>
        <v>0</v>
      </c>
      <c r="D15" s="332" t="n">
        <f aca="false">C15*0.05</f>
        <v>0</v>
      </c>
      <c r="E15" s="332" t="n">
        <f aca="false">B15+D15</f>
        <v>0</v>
      </c>
      <c r="F15" s="333" t="n">
        <f aca="false">Projects!$C$17+Projects!$D$17-1</f>
        <v>36</v>
      </c>
      <c r="G15" s="334" t="n">
        <f aca="false">EDATE(DATE(2026,4,1),F15-1)</f>
        <v>47178</v>
      </c>
    </row>
    <row r="16" customFormat="false" ht="15" hidden="false" customHeight="true" outlineLevel="0" collapsed="false">
      <c r="A16" s="175" t="s">
        <v>1120</v>
      </c>
      <c r="B16" s="176" t="n">
        <v>0</v>
      </c>
      <c r="C16" s="332" t="n">
        <f aca="false">IF(Projects!$G$18="Yes",Projects!$B$18*(Assumptions!$B$10+Assumptions!$B$11+Assumptions!$B$12),0)</f>
        <v>0</v>
      </c>
      <c r="D16" s="332" t="n">
        <f aca="false">C16*0.05</f>
        <v>0</v>
      </c>
      <c r="E16" s="332" t="n">
        <f aca="false">B16+D16</f>
        <v>0</v>
      </c>
      <c r="F16" s="333" t="n">
        <f aca="false">Projects!$C$18+Projects!$D$18-1</f>
        <v>32</v>
      </c>
      <c r="G16" s="334" t="n">
        <f aca="false">EDATE(DATE(2026,4,1),F16-1)</f>
        <v>47058</v>
      </c>
    </row>
    <row r="17" customFormat="false" ht="15" hidden="false" customHeight="true" outlineLevel="0" collapsed="false">
      <c r="A17" s="175" t="s">
        <v>1121</v>
      </c>
      <c r="B17" s="176" t="n">
        <v>0</v>
      </c>
      <c r="C17" s="332" t="n">
        <f aca="false">IF(Projects!$G$19="Yes",Projects!$B$19*(Assumptions!$B$10+Assumptions!$B$11+Assumptions!$B$12),0)</f>
        <v>0</v>
      </c>
      <c r="D17" s="332" t="n">
        <f aca="false">C17*0.05</f>
        <v>0</v>
      </c>
      <c r="E17" s="332" t="n">
        <f aca="false">B17+D17</f>
        <v>0</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0</v>
      </c>
      <c r="D20" s="332" t="n">
        <f aca="false">C20*0.05</f>
        <v>0</v>
      </c>
      <c r="E20" s="332" t="n">
        <f aca="false">B20+D20</f>
        <v>0</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1122</v>
      </c>
      <c r="N1" s="1" t="s">
        <v>1123</v>
      </c>
      <c r="O1" s="336" t="n">
        <v>1</v>
      </c>
    </row>
    <row r="2" customFormat="false" ht="13.5" hidden="false" customHeight="true" outlineLevel="0" collapsed="false">
      <c r="A2" s="337" t="s">
        <v>1124</v>
      </c>
      <c r="N2" s="1" t="s">
        <v>1125</v>
      </c>
    </row>
    <row r="3" customFormat="false" ht="57" hidden="false" customHeight="true" outlineLevel="0" collapsed="false">
      <c r="A3" s="173" t="s">
        <v>1126</v>
      </c>
      <c r="B3" s="173" t="s">
        <v>469</v>
      </c>
      <c r="C3" s="173" t="s">
        <v>1127</v>
      </c>
      <c r="D3" s="173" t="s">
        <v>1128</v>
      </c>
      <c r="E3" s="173" t="s">
        <v>1129</v>
      </c>
      <c r="F3" s="173" t="s">
        <v>1130</v>
      </c>
      <c r="G3" s="173" t="s">
        <v>1131</v>
      </c>
      <c r="H3" s="173" t="s">
        <v>630</v>
      </c>
      <c r="I3" s="173" t="s">
        <v>1132</v>
      </c>
      <c r="J3" s="173" t="s">
        <v>1133</v>
      </c>
      <c r="K3" s="173" t="s">
        <v>1134</v>
      </c>
      <c r="L3" s="173" t="s">
        <v>1135</v>
      </c>
    </row>
    <row r="4" customFormat="false" ht="13.5" hidden="false" customHeight="true" outlineLevel="0" collapsed="false">
      <c r="A4" s="215" t="n">
        <v>13</v>
      </c>
      <c r="B4" s="213" t="s">
        <v>7</v>
      </c>
      <c r="C4" s="213" t="s">
        <v>1136</v>
      </c>
      <c r="D4" s="215" t="n">
        <v>0</v>
      </c>
      <c r="E4" s="215" t="n">
        <v>1</v>
      </c>
      <c r="F4" s="338" t="n">
        <v>150000</v>
      </c>
      <c r="G4" s="215" t="n">
        <v>9</v>
      </c>
      <c r="H4" s="213" t="s">
        <v>1137</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1136</v>
      </c>
      <c r="D5" s="340" t="n">
        <v>0</v>
      </c>
      <c r="E5" s="340" t="n">
        <v>1</v>
      </c>
      <c r="F5" s="342" t="n">
        <v>358268</v>
      </c>
      <c r="G5" s="340" t="n">
        <v>19</v>
      </c>
      <c r="H5" s="341" t="s">
        <v>1137</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1138</v>
      </c>
      <c r="D6" s="215" t="n">
        <v>1</v>
      </c>
      <c r="E6" s="215" t="n">
        <v>0</v>
      </c>
      <c r="F6" s="338" t="n">
        <v>0</v>
      </c>
      <c r="G6" s="344" t="n">
        <f aca="false">Retention!$F$4</f>
        <v>17</v>
      </c>
      <c r="H6" s="1" t="s">
        <v>1139</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1138</v>
      </c>
      <c r="D7" s="340" t="n">
        <v>1</v>
      </c>
      <c r="E7" s="340" t="n">
        <v>0</v>
      </c>
      <c r="F7" s="342" t="n">
        <v>0</v>
      </c>
      <c r="G7" s="345" t="n">
        <f aca="false">Retention!$F$5</f>
        <v>19</v>
      </c>
      <c r="H7" s="1" t="s">
        <v>1139</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1136</v>
      </c>
      <c r="D8" s="215" t="n">
        <v>0</v>
      </c>
      <c r="E8" s="215" t="n">
        <v>1</v>
      </c>
      <c r="F8" s="338" t="n">
        <v>0</v>
      </c>
      <c r="G8" s="344" t="n">
        <f aca="false">Retention!$F$6</f>
        <v>15</v>
      </c>
      <c r="H8" s="213" t="s">
        <v>1137</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1138</v>
      </c>
      <c r="D9" s="340" t="n">
        <v>1</v>
      </c>
      <c r="E9" s="340" t="n">
        <v>0</v>
      </c>
      <c r="F9" s="342" t="n">
        <v>0</v>
      </c>
      <c r="G9" s="345" t="n">
        <f aca="false">Retention!$F$7</f>
        <v>36</v>
      </c>
      <c r="H9" s="1" t="s">
        <v>1139</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1138</v>
      </c>
      <c r="D10" s="215" t="n">
        <v>1</v>
      </c>
      <c r="E10" s="215" t="n">
        <v>0</v>
      </c>
      <c r="F10" s="338" t="n">
        <v>0</v>
      </c>
      <c r="G10" s="344" t="n">
        <f aca="false">Retention!$F$8</f>
        <v>24</v>
      </c>
      <c r="H10" s="1" t="s">
        <v>1139</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1138</v>
      </c>
      <c r="D11" s="340" t="n">
        <v>1</v>
      </c>
      <c r="E11" s="340" t="n">
        <v>0</v>
      </c>
      <c r="F11" s="342" t="n">
        <v>0</v>
      </c>
      <c r="G11" s="345" t="n">
        <f aca="false">Retention!$F$9</f>
        <v>23</v>
      </c>
      <c r="H11" s="1" t="s">
        <v>1139</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1138</v>
      </c>
      <c r="D12" s="215" t="n">
        <v>1</v>
      </c>
      <c r="E12" s="215" t="n">
        <v>0</v>
      </c>
      <c r="F12" s="338" t="n">
        <v>0</v>
      </c>
      <c r="G12" s="344" t="n">
        <f aca="false">Retention!$F$10</f>
        <v>32</v>
      </c>
      <c r="H12" s="1" t="s">
        <v>1139</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1136</v>
      </c>
      <c r="D13" s="340" t="n">
        <v>0</v>
      </c>
      <c r="E13" s="340" t="n">
        <v>1</v>
      </c>
      <c r="F13" s="342" t="n">
        <v>0</v>
      </c>
      <c r="G13" s="345" t="n">
        <f aca="false">Retention!$F$11</f>
        <v>29</v>
      </c>
      <c r="H13" s="341" t="s">
        <v>1137</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1136</v>
      </c>
      <c r="D14" s="215" t="n">
        <v>0</v>
      </c>
      <c r="E14" s="215" t="n">
        <v>1</v>
      </c>
      <c r="F14" s="338" t="n">
        <v>0</v>
      </c>
      <c r="G14" s="344" t="n">
        <f aca="false">Retention!$F$12</f>
        <v>28</v>
      </c>
      <c r="H14" s="213" t="s">
        <v>1137</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1138</v>
      </c>
      <c r="D15" s="340" t="n">
        <v>1</v>
      </c>
      <c r="E15" s="340" t="n">
        <v>0</v>
      </c>
      <c r="F15" s="342" t="n">
        <v>0</v>
      </c>
      <c r="G15" s="345" t="n">
        <f aca="false">Retention!$F$13</f>
        <v>44</v>
      </c>
      <c r="H15" s="1" t="s">
        <v>1139</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1138</v>
      </c>
      <c r="D16" s="215" t="n">
        <v>1</v>
      </c>
      <c r="E16" s="215" t="n">
        <v>0</v>
      </c>
      <c r="F16" s="338" t="n">
        <v>0</v>
      </c>
      <c r="G16" s="344" t="n">
        <f aca="false">Retention!$F$14</f>
        <v>56</v>
      </c>
      <c r="H16" s="1" t="s">
        <v>1139</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1138</v>
      </c>
      <c r="D17" s="340" t="n">
        <v>1</v>
      </c>
      <c r="E17" s="340" t="n">
        <v>0</v>
      </c>
      <c r="F17" s="342" t="n">
        <v>0</v>
      </c>
      <c r="G17" s="345" t="n">
        <f aca="false">Retention!$F$15</f>
        <v>36</v>
      </c>
      <c r="H17" s="1" t="s">
        <v>1139</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1138</v>
      </c>
      <c r="D18" s="215" t="n">
        <v>1</v>
      </c>
      <c r="E18" s="215" t="n">
        <v>0</v>
      </c>
      <c r="F18" s="338" t="n">
        <v>0</v>
      </c>
      <c r="G18" s="344" t="n">
        <f aca="false">Retention!$F$16</f>
        <v>32</v>
      </c>
      <c r="H18" s="1" t="s">
        <v>1139</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1138</v>
      </c>
      <c r="D19" s="340" t="n">
        <v>1</v>
      </c>
      <c r="E19" s="340" t="n">
        <v>0</v>
      </c>
      <c r="F19" s="342" t="n">
        <v>0</v>
      </c>
      <c r="G19" s="345" t="n">
        <f aca="false">Retention!$F$17</f>
        <v>30</v>
      </c>
      <c r="H19" s="1" t="s">
        <v>1139</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1136</v>
      </c>
      <c r="D20" s="215" t="n">
        <v>0</v>
      </c>
      <c r="E20" s="215" t="n">
        <v>1</v>
      </c>
      <c r="F20" s="338" t="n">
        <v>0</v>
      </c>
      <c r="G20" s="344" t="n">
        <f aca="false">Retention!$F$18</f>
        <v>43</v>
      </c>
      <c r="H20" s="213" t="s">
        <v>1137</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1136</v>
      </c>
      <c r="D21" s="340" t="n">
        <v>0</v>
      </c>
      <c r="E21" s="340" t="n">
        <v>1</v>
      </c>
      <c r="F21" s="342" t="n">
        <v>0</v>
      </c>
      <c r="G21" s="345" t="n">
        <f aca="false">Retention!$F$19</f>
        <v>28</v>
      </c>
      <c r="H21" s="341" t="s">
        <v>1137</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1138</v>
      </c>
      <c r="D22" s="215" t="n">
        <v>1</v>
      </c>
      <c r="E22" s="215" t="n">
        <v>0</v>
      </c>
      <c r="F22" s="338" t="n">
        <v>0</v>
      </c>
      <c r="G22" s="344" t="n">
        <f aca="false">Retention!$F$20</f>
        <v>37</v>
      </c>
      <c r="H22" s="213" t="s">
        <v>1139</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1138</v>
      </c>
      <c r="D23" s="340" t="n">
        <v>1</v>
      </c>
      <c r="E23" s="340" t="n">
        <v>0</v>
      </c>
      <c r="F23" s="342" t="n">
        <v>0</v>
      </c>
      <c r="G23" s="345" t="n">
        <f aca="false">Retention!$F$21</f>
        <v>52</v>
      </c>
      <c r="H23" s="341" t="s">
        <v>1139</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1138</v>
      </c>
      <c r="D24" s="215" t="n">
        <v>1</v>
      </c>
      <c r="E24" s="215" t="n">
        <v>0</v>
      </c>
      <c r="F24" s="338" t="n">
        <v>0</v>
      </c>
      <c r="G24" s="344" t="n">
        <f aca="false">Retention!$F$22</f>
        <v>55</v>
      </c>
      <c r="H24" s="213" t="s">
        <v>1139</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1138</v>
      </c>
      <c r="D25" s="340" t="n">
        <v>1</v>
      </c>
      <c r="E25" s="340" t="n">
        <v>0</v>
      </c>
      <c r="F25" s="342" t="n">
        <v>0</v>
      </c>
      <c r="G25" s="345" t="n">
        <f aca="false">Retention!$F$23</f>
        <v>58</v>
      </c>
      <c r="H25" s="341" t="s">
        <v>1139</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1138</v>
      </c>
      <c r="D26" s="215" t="n">
        <v>1</v>
      </c>
      <c r="E26" s="215" t="n">
        <v>0</v>
      </c>
      <c r="F26" s="338" t="n">
        <v>0</v>
      </c>
      <c r="G26" s="344" t="n">
        <f aca="false">Retention!$F$24</f>
        <v>60</v>
      </c>
      <c r="H26" s="213" t="s">
        <v>1139</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1138</v>
      </c>
      <c r="D27" s="340" t="n">
        <v>1</v>
      </c>
      <c r="E27" s="340" t="n">
        <v>0</v>
      </c>
      <c r="F27" s="342" t="n">
        <v>0</v>
      </c>
      <c r="G27" s="345" t="n">
        <f aca="false">Retention!$F$25</f>
        <v>62</v>
      </c>
      <c r="H27" s="341" t="s">
        <v>1139</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1138</v>
      </c>
      <c r="D28" s="215" t="n">
        <v>1</v>
      </c>
      <c r="E28" s="215" t="n">
        <v>0</v>
      </c>
      <c r="F28" s="338" t="n">
        <v>0</v>
      </c>
      <c r="G28" s="344" t="n">
        <f aca="false">Retention!$F$26</f>
        <v>64</v>
      </c>
      <c r="H28" s="213" t="s">
        <v>1139</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1138</v>
      </c>
      <c r="D29" s="340" t="n">
        <v>1</v>
      </c>
      <c r="E29" s="340" t="n">
        <v>0</v>
      </c>
      <c r="F29" s="342" t="n">
        <v>0</v>
      </c>
      <c r="G29" s="345" t="n">
        <f aca="false">Retention!$F$27</f>
        <v>66</v>
      </c>
      <c r="H29" s="341" t="s">
        <v>1139</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1138</v>
      </c>
      <c r="D30" s="215" t="n">
        <v>1</v>
      </c>
      <c r="E30" s="215" t="n">
        <v>0</v>
      </c>
      <c r="F30" s="338" t="n">
        <v>0</v>
      </c>
      <c r="G30" s="344" t="n">
        <f aca="false">Retention!$F$28</f>
        <v>68</v>
      </c>
      <c r="H30" s="213" t="s">
        <v>1139</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1138</v>
      </c>
      <c r="D31" s="340" t="n">
        <v>1</v>
      </c>
      <c r="E31" s="340" t="n">
        <v>0</v>
      </c>
      <c r="F31" s="342" t="n">
        <v>0</v>
      </c>
      <c r="G31" s="345" t="n">
        <f aca="false">Retention!$F$29</f>
        <v>70</v>
      </c>
      <c r="H31" s="341" t="s">
        <v>1139</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1138</v>
      </c>
      <c r="D32" s="215" t="n">
        <v>1</v>
      </c>
      <c r="E32" s="215" t="n">
        <v>0</v>
      </c>
      <c r="F32" s="338" t="n">
        <v>0</v>
      </c>
      <c r="G32" s="344" t="n">
        <f aca="false">Retention!$F$30</f>
        <v>72</v>
      </c>
      <c r="H32" s="213" t="s">
        <v>1139</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1138</v>
      </c>
      <c r="D33" s="340" t="n">
        <v>1</v>
      </c>
      <c r="E33" s="340" t="n">
        <v>0</v>
      </c>
      <c r="F33" s="342" t="n">
        <v>0</v>
      </c>
      <c r="G33" s="345" t="n">
        <f aca="false">Retention!$F$31</f>
        <v>74</v>
      </c>
      <c r="H33" s="341" t="s">
        <v>1139</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1138</v>
      </c>
      <c r="D34" s="215" t="n">
        <v>1</v>
      </c>
      <c r="E34" s="215" t="n">
        <v>0</v>
      </c>
      <c r="F34" s="338" t="n">
        <v>0</v>
      </c>
      <c r="G34" s="344" t="n">
        <f aca="false">Retention!$F$32</f>
        <v>76</v>
      </c>
      <c r="H34" s="213" t="s">
        <v>1139</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1138</v>
      </c>
      <c r="D35" s="340" t="n">
        <v>1</v>
      </c>
      <c r="E35" s="340" t="n">
        <v>0</v>
      </c>
      <c r="F35" s="342" t="n">
        <v>0</v>
      </c>
      <c r="G35" s="345" t="n">
        <f aca="false">Retention!$F$33</f>
        <v>78</v>
      </c>
      <c r="H35" s="341" t="s">
        <v>1139</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1138</v>
      </c>
      <c r="D36" s="215" t="n">
        <v>1</v>
      </c>
      <c r="E36" s="215" t="n">
        <v>0</v>
      </c>
      <c r="F36" s="338" t="n">
        <v>0</v>
      </c>
      <c r="G36" s="344" t="n">
        <f aca="false">Retention!$F$34</f>
        <v>80</v>
      </c>
      <c r="H36" s="213" t="s">
        <v>1139</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1138</v>
      </c>
      <c r="D37" s="340" t="n">
        <v>1</v>
      </c>
      <c r="E37" s="340" t="n">
        <v>0</v>
      </c>
      <c r="F37" s="342" t="n">
        <v>0</v>
      </c>
      <c r="G37" s="345" t="n">
        <f aca="false">Retention!$F$35</f>
        <v>82</v>
      </c>
      <c r="H37" s="341" t="s">
        <v>1139</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1138</v>
      </c>
      <c r="D38" s="215" t="n">
        <v>1</v>
      </c>
      <c r="E38" s="215" t="n">
        <v>0</v>
      </c>
      <c r="F38" s="338" t="n">
        <v>0</v>
      </c>
      <c r="G38" s="344" t="n">
        <f aca="false">Retention!$F$36</f>
        <v>84</v>
      </c>
      <c r="H38" s="213" t="s">
        <v>1139</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1138</v>
      </c>
      <c r="D39" s="340" t="n">
        <v>1</v>
      </c>
      <c r="E39" s="340" t="n">
        <v>0</v>
      </c>
      <c r="F39" s="342" t="n">
        <v>0</v>
      </c>
      <c r="G39" s="345" t="n">
        <f aca="false">Retention!$F$37</f>
        <v>86</v>
      </c>
      <c r="H39" s="341" t="s">
        <v>1139</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1138</v>
      </c>
      <c r="D40" s="215" t="n">
        <v>1</v>
      </c>
      <c r="E40" s="215" t="n">
        <v>0</v>
      </c>
      <c r="F40" s="338" t="n">
        <v>0</v>
      </c>
      <c r="G40" s="344" t="n">
        <f aca="false">Retention!$F$38</f>
        <v>88</v>
      </c>
      <c r="H40" s="213" t="s">
        <v>1139</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1138</v>
      </c>
      <c r="D41" s="340" t="n">
        <v>1</v>
      </c>
      <c r="E41" s="340" t="n">
        <v>0</v>
      </c>
      <c r="F41" s="342" t="n">
        <v>0</v>
      </c>
      <c r="G41" s="345" t="n">
        <f aca="false">Retention!$F$39</f>
        <v>90</v>
      </c>
      <c r="H41" s="341" t="s">
        <v>1139</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1138</v>
      </c>
      <c r="D42" s="215" t="n">
        <v>1</v>
      </c>
      <c r="E42" s="215" t="n">
        <v>0</v>
      </c>
      <c r="F42" s="338" t="n">
        <v>0</v>
      </c>
      <c r="G42" s="344" t="n">
        <f aca="false">Retention!$F$40</f>
        <v>92</v>
      </c>
      <c r="H42" s="213" t="s">
        <v>1139</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1138</v>
      </c>
      <c r="D43" s="340" t="n">
        <v>1</v>
      </c>
      <c r="E43" s="340" t="n">
        <v>0</v>
      </c>
      <c r="F43" s="342" t="n">
        <v>0</v>
      </c>
      <c r="G43" s="345" t="n">
        <f aca="false">Retention!$F$41</f>
        <v>94</v>
      </c>
      <c r="H43" s="341" t="s">
        <v>1139</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1138</v>
      </c>
      <c r="D44" s="215" t="n">
        <v>1</v>
      </c>
      <c r="E44" s="215" t="n">
        <v>0</v>
      </c>
      <c r="F44" s="338" t="n">
        <v>0</v>
      </c>
      <c r="G44" s="344" t="n">
        <f aca="false">Retention!$F$42</f>
        <v>96</v>
      </c>
      <c r="H44" s="213" t="s">
        <v>1139</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1138</v>
      </c>
      <c r="D45" s="340" t="n">
        <v>1</v>
      </c>
      <c r="E45" s="340" t="n">
        <v>0</v>
      </c>
      <c r="F45" s="342" t="n">
        <v>0</v>
      </c>
      <c r="G45" s="345" t="n">
        <f aca="false">Retention!$F$43</f>
        <v>98</v>
      </c>
      <c r="H45" s="341" t="s">
        <v>1139</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1138</v>
      </c>
      <c r="D46" s="215" t="n">
        <v>1</v>
      </c>
      <c r="E46" s="215" t="n">
        <v>0</v>
      </c>
      <c r="F46" s="338" t="n">
        <v>0</v>
      </c>
      <c r="G46" s="344" t="n">
        <f aca="false">Retention!$F$44</f>
        <v>100</v>
      </c>
      <c r="H46" s="213" t="s">
        <v>1139</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1140</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1141</v>
      </c>
    </row>
    <row r="59" customFormat="false" ht="13.5" hidden="false" customHeight="true" outlineLevel="0" collapsed="false">
      <c r="A59" s="1" t="s">
        <v>1142</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488</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1143</v>
      </c>
    </row>
    <row r="2" customFormat="false" ht="13.5" hidden="false" customHeight="true" outlineLevel="0" collapsed="false">
      <c r="A2" s="205" t="s">
        <v>1144</v>
      </c>
    </row>
    <row r="4" customFormat="false" ht="13.5" hidden="false" customHeight="true" outlineLevel="0" collapsed="false">
      <c r="A4" s="209" t="s">
        <v>1145</v>
      </c>
      <c r="B4" s="210"/>
      <c r="C4" s="210"/>
      <c r="D4" s="210"/>
      <c r="E4" s="210"/>
      <c r="F4" s="210"/>
    </row>
    <row r="5" customFormat="false" ht="13.5" hidden="false" customHeight="true" outlineLevel="0" collapsed="false">
      <c r="A5" s="109" t="s">
        <v>1146</v>
      </c>
      <c r="B5" s="347" t="n">
        <v>0.875</v>
      </c>
    </row>
    <row r="6" customFormat="false" ht="13.5" hidden="false" customHeight="true" outlineLevel="0" collapsed="false">
      <c r="A6" s="109" t="s">
        <v>1147</v>
      </c>
      <c r="B6" s="347" t="n">
        <v>0.5</v>
      </c>
    </row>
    <row r="7" customFormat="false" ht="13.5" hidden="false" customHeight="true" outlineLevel="0" collapsed="false">
      <c r="A7" s="109" t="s">
        <v>1148</v>
      </c>
      <c r="B7" s="347" t="n">
        <v>0.25</v>
      </c>
    </row>
    <row r="8" customFormat="false" ht="13.5" hidden="false" customHeight="true" outlineLevel="0" collapsed="false">
      <c r="A8" s="109" t="s">
        <v>1149</v>
      </c>
      <c r="B8" s="347" t="n">
        <v>0.165</v>
      </c>
    </row>
    <row r="9" customFormat="false" ht="13.5" hidden="false" customHeight="true" outlineLevel="0" collapsed="false">
      <c r="A9" s="109" t="s">
        <v>1150</v>
      </c>
      <c r="B9" s="347" t="n">
        <v>0.5</v>
      </c>
    </row>
    <row r="10" customFormat="false" ht="13.5" hidden="false" customHeight="true" outlineLevel="0" collapsed="false">
      <c r="A10" s="109" t="s">
        <v>1151</v>
      </c>
      <c r="B10" s="347" t="n">
        <v>0.2</v>
      </c>
    </row>
    <row r="11" customFormat="false" ht="13.5" hidden="false" customHeight="true" outlineLevel="0" collapsed="false">
      <c r="A11" s="109" t="s">
        <v>1152</v>
      </c>
      <c r="B11" s="347" t="n">
        <v>0.5</v>
      </c>
    </row>
    <row r="12" customFormat="false" ht="13.5" hidden="false" customHeight="true" outlineLevel="0" collapsed="false">
      <c r="A12" s="109" t="s">
        <v>1153</v>
      </c>
      <c r="B12" s="348" t="n">
        <v>25000000</v>
      </c>
    </row>
    <row r="13" customFormat="false" ht="13.5" hidden="false" customHeight="true" outlineLevel="0" collapsed="false">
      <c r="A13" s="109" t="s">
        <v>1154</v>
      </c>
      <c r="B13" s="348" t="n">
        <v>10000000</v>
      </c>
    </row>
    <row r="14" customFormat="false" ht="13.5" hidden="false" customHeight="true" outlineLevel="0" collapsed="false">
      <c r="A14" s="109" t="s">
        <v>1155</v>
      </c>
      <c r="B14" s="347" t="n">
        <v>0</v>
      </c>
      <c r="C14" s="208" t="s">
        <v>1156</v>
      </c>
    </row>
    <row r="15" customFormat="false" ht="13.5" hidden="false" customHeight="true" outlineLevel="0" collapsed="false">
      <c r="A15" s="109" t="s">
        <v>1157</v>
      </c>
      <c r="B15" s="347" t="n">
        <v>0</v>
      </c>
    </row>
    <row r="16" customFormat="false" ht="13.5" hidden="false" customHeight="true" outlineLevel="0" collapsed="false">
      <c r="A16" s="109" t="s">
        <v>1158</v>
      </c>
      <c r="B16" s="347" t="n">
        <v>0</v>
      </c>
    </row>
    <row r="17" customFormat="false" ht="13.5" hidden="false" customHeight="true" outlineLevel="0" collapsed="false">
      <c r="A17" s="109" t="s">
        <v>1159</v>
      </c>
      <c r="B17" s="347" t="n">
        <v>1</v>
      </c>
    </row>
    <row r="18" customFormat="false" ht="13.5" hidden="false" customHeight="true" outlineLevel="0" collapsed="false">
      <c r="A18" s="109" t="s">
        <v>1160</v>
      </c>
      <c r="B18" s="347" t="n">
        <v>0.25</v>
      </c>
    </row>
    <row r="19" customFormat="false" ht="13.5" hidden="false" customHeight="true" outlineLevel="0" collapsed="false">
      <c r="A19" s="109" t="s">
        <v>1161</v>
      </c>
      <c r="B19" s="347" t="n">
        <v>6</v>
      </c>
      <c r="C19" s="208" t="s">
        <v>1162</v>
      </c>
    </row>
    <row r="20" customFormat="false" ht="13.5" hidden="false" customHeight="true" outlineLevel="0" collapsed="false">
      <c r="A20" s="109" t="s">
        <v>1163</v>
      </c>
      <c r="B20" s="347" t="n">
        <v>4</v>
      </c>
    </row>
    <row r="21" customFormat="false" ht="13.5" hidden="false" customHeight="true" outlineLevel="0" collapsed="false">
      <c r="A21" s="109" t="s">
        <v>1164</v>
      </c>
      <c r="B21" s="349" t="n">
        <v>0.075</v>
      </c>
    </row>
    <row r="22" customFormat="false" ht="13.5" hidden="false" customHeight="true" outlineLevel="0" collapsed="false">
      <c r="A22" s="109" t="s">
        <v>1165</v>
      </c>
      <c r="B22" s="347" t="n">
        <v>11</v>
      </c>
    </row>
    <row r="23" customFormat="false" ht="13.5" hidden="false" customHeight="true" outlineLevel="0" collapsed="false">
      <c r="A23" s="109" t="s">
        <v>1166</v>
      </c>
      <c r="B23" s="347" t="n">
        <v>13</v>
      </c>
    </row>
    <row r="25" customFormat="false" ht="13.5" hidden="false" customHeight="true" outlineLevel="0" collapsed="false">
      <c r="A25" s="209" t="s">
        <v>1167</v>
      </c>
      <c r="B25" s="210"/>
      <c r="C25" s="210"/>
      <c r="D25" s="210"/>
      <c r="E25" s="210"/>
      <c r="F25" s="210"/>
    </row>
    <row r="26" customFormat="false" ht="13.5" hidden="false" customHeight="true" outlineLevel="0" collapsed="false">
      <c r="A26" s="109" t="s">
        <v>721</v>
      </c>
      <c r="B26" s="348" t="n">
        <v>160000</v>
      </c>
    </row>
    <row r="27" customFormat="false" ht="13.5" hidden="false" customHeight="true" outlineLevel="0" collapsed="false">
      <c r="A27" s="109" t="s">
        <v>1168</v>
      </c>
      <c r="B27" s="348" t="n">
        <v>125000</v>
      </c>
    </row>
    <row r="28" customFormat="false" ht="13.5" hidden="false" customHeight="true" outlineLevel="0" collapsed="false">
      <c r="A28" s="109" t="s">
        <v>717</v>
      </c>
      <c r="B28" s="348" t="n">
        <v>130000</v>
      </c>
    </row>
    <row r="29" customFormat="false" ht="13.5" hidden="false" customHeight="true" outlineLevel="0" collapsed="false">
      <c r="A29" s="109" t="s">
        <v>661</v>
      </c>
      <c r="B29" s="348" t="n">
        <v>180000</v>
      </c>
    </row>
    <row r="30" customFormat="false" ht="13.5" hidden="false" customHeight="true" outlineLevel="0" collapsed="false">
      <c r="A30" s="109" t="s">
        <v>1169</v>
      </c>
      <c r="B30" s="348" t="n">
        <v>80000</v>
      </c>
    </row>
    <row r="32" customFormat="false" ht="13.5" hidden="false" customHeight="true" outlineLevel="0" collapsed="false">
      <c r="A32" s="209" t="s">
        <v>1170</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1171</v>
      </c>
      <c r="B36" s="210"/>
      <c r="C36" s="210"/>
      <c r="D36" s="210"/>
      <c r="E36" s="210"/>
      <c r="F36" s="210"/>
    </row>
    <row r="37" customFormat="false" ht="13.5" hidden="false" customHeight="true" outlineLevel="0" collapsed="false">
      <c r="A37" s="109" t="s">
        <v>1172</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11</v>
      </c>
      <c r="R37" s="351" t="n">
        <f aca="false">SUMPRODUCT((Projects!$G$2:$G$45="Yes")*(14&gt;=Projects!$C$2:$C$45)*(14&lt;=Projects!$W$2:$W$45))</f>
        <v>11</v>
      </c>
      <c r="S37" s="351" t="n">
        <f aca="false">SUMPRODUCT((Projects!$G$2:$G$45="Yes")*(15&gt;=Projects!$C$2:$C$45)*(15&lt;=Projects!$W$2:$W$45))</f>
        <v>12</v>
      </c>
      <c r="T37" s="351" t="n">
        <f aca="false">SUMPRODUCT((Projects!$G$2:$G$45="Yes")*(16&gt;=Projects!$C$2:$C$45)*(16&lt;=Projects!$W$2:$W$45))</f>
        <v>11</v>
      </c>
      <c r="U37" s="351" t="n">
        <f aca="false">SUMPRODUCT((Projects!$G$2:$G$45="Yes")*(17&gt;=Projects!$C$2:$C$45)*(17&lt;=Projects!$W$2:$W$45))</f>
        <v>11</v>
      </c>
      <c r="V37" s="351" t="n">
        <f aca="false">SUMPRODUCT((Projects!$G$2:$G$45="Yes")*(18&gt;=Projects!$C$2:$C$45)*(18&lt;=Projects!$W$2:$W$45))</f>
        <v>10</v>
      </c>
      <c r="W37" s="351" t="n">
        <f aca="false">SUMPRODUCT((Projects!$G$2:$G$45="Yes")*(19&gt;=Projects!$C$2:$C$45)*(19&lt;=Projects!$W$2:$W$45))</f>
        <v>9</v>
      </c>
      <c r="X37" s="351" t="n">
        <f aca="false">SUMPRODUCT((Projects!$G$2:$G$45="Yes")*(20&gt;=Projects!$C$2:$C$45)*(20&lt;=Projects!$W$2:$W$45))</f>
        <v>8</v>
      </c>
      <c r="Y37" s="351" t="n">
        <f aca="false">SUMPRODUCT((Projects!$G$2:$G$45="Yes")*(21&gt;=Projects!$C$2:$C$45)*(21&lt;=Projects!$W$2:$W$45))</f>
        <v>8</v>
      </c>
      <c r="Z37" s="351" t="n">
        <f aca="false">SUMPRODUCT((Projects!$G$2:$G$45="Yes")*(22&gt;=Projects!$C$2:$C$45)*(22&lt;=Projects!$W$2:$W$45))</f>
        <v>8</v>
      </c>
      <c r="AA37" s="351" t="n">
        <f aca="false">SUMPRODUCT((Projects!$G$2:$G$45="Yes")*(23&gt;=Projects!$C$2:$C$45)*(23&lt;=Projects!$W$2:$W$45))</f>
        <v>8</v>
      </c>
      <c r="AB37" s="351" t="n">
        <f aca="false">SUMPRODUCT((Projects!$G$2:$G$45="Yes")*(24&gt;=Projects!$C$2:$C$45)*(24&lt;=Projects!$W$2:$W$45))</f>
        <v>7</v>
      </c>
      <c r="AC37" s="351" t="n">
        <f aca="false">SUMPRODUCT((Projects!$G$2:$G$45="Yes")*(25&gt;=Projects!$C$2:$C$45)*(25&lt;=Projects!$W$2:$W$45))</f>
        <v>6</v>
      </c>
      <c r="AD37" s="351" t="n">
        <f aca="false">SUMPRODUCT((Projects!$G$2:$G$45="Yes")*(26&gt;=Projects!$C$2:$C$45)*(26&lt;=Projects!$W$2:$W$45))</f>
        <v>6</v>
      </c>
      <c r="AE37" s="351" t="n">
        <f aca="false">SUMPRODUCT((Projects!$G$2:$G$45="Yes")*(27&gt;=Projects!$C$2:$C$45)*(27&lt;=Projects!$W$2:$W$45))</f>
        <v>6</v>
      </c>
      <c r="AF37" s="351" t="n">
        <f aca="false">SUMPRODUCT((Projects!$G$2:$G$45="Yes")*(28&gt;=Projects!$C$2:$C$45)*(28&lt;=Projects!$W$2:$W$45))</f>
        <v>6</v>
      </c>
      <c r="AG37" s="351" t="n">
        <f aca="false">SUMPRODUCT((Projects!$G$2:$G$45="Yes")*(29&gt;=Projects!$C$2:$C$45)*(29&lt;=Projects!$W$2:$W$45))</f>
        <v>4</v>
      </c>
      <c r="AH37" s="351" t="n">
        <f aca="false">SUMPRODUCT((Projects!$G$2:$G$45="Yes")*(30&gt;=Projects!$C$2:$C$45)*(30&lt;=Projects!$W$2:$W$45))</f>
        <v>3</v>
      </c>
      <c r="AI37" s="351" t="n">
        <f aca="false">SUMPRODUCT((Projects!$G$2:$G$45="Yes")*(31&gt;=Projects!$C$2:$C$45)*(31&lt;=Projects!$W$2:$W$45))</f>
        <v>3</v>
      </c>
      <c r="AJ37" s="351" t="n">
        <f aca="false">SUMPRODUCT((Projects!$G$2:$G$45="Yes")*(32&gt;=Projects!$C$2:$C$45)*(32&lt;=Projects!$W$2:$W$45))</f>
        <v>3</v>
      </c>
      <c r="AK37" s="351" t="n">
        <f aca="false">SUMPRODUCT((Projects!$G$2:$G$45="Yes")*(33&gt;=Projects!$C$2:$C$45)*(33&lt;=Projects!$W$2:$W$45))</f>
        <v>2</v>
      </c>
      <c r="AL37" s="351" t="n">
        <f aca="false">SUMPRODUCT((Projects!$G$2:$G$45="Yes")*(34&gt;=Projects!$C$2:$C$45)*(34&lt;=Projects!$W$2:$W$45))</f>
        <v>2</v>
      </c>
      <c r="AM37" s="351" t="n">
        <f aca="false">SUMPRODUCT((Projects!$G$2:$G$45="Yes")*(35&gt;=Projects!$C$2:$C$45)*(35&lt;=Projects!$W$2:$W$45))</f>
        <v>2</v>
      </c>
      <c r="AN37" s="351" t="n">
        <f aca="false">SUMPRODUCT((Projects!$G$2:$G$45="Yes")*(36&gt;=Projects!$C$2:$C$45)*(36&lt;=Projects!$W$2:$W$45))</f>
        <v>2</v>
      </c>
      <c r="AO37" s="351" t="n">
        <f aca="false">SUMPRODUCT((Projects!$G$2:$G$45="Yes")*(37&gt;=Projects!$C$2:$C$45)*(37&lt;=Projects!$W$2:$W$45))</f>
        <v>1</v>
      </c>
      <c r="AP37" s="351" t="n">
        <f aca="false">SUMPRODUCT((Projects!$G$2:$G$45="Yes")*(38&gt;=Projects!$C$2:$C$45)*(38&lt;=Projects!$W$2:$W$45))</f>
        <v>1</v>
      </c>
      <c r="AQ37" s="351" t="n">
        <f aca="false">SUMPRODUCT((Projects!$G$2:$G$45="Yes")*(39&gt;=Projects!$C$2:$C$45)*(39&lt;=Projects!$W$2:$W$45))</f>
        <v>1</v>
      </c>
      <c r="AR37" s="351" t="n">
        <f aca="false">SUMPRODUCT((Projects!$G$2:$G$45="Yes")*(40&gt;=Projects!$C$2:$C$45)*(40&lt;=Projects!$W$2:$W$45))</f>
        <v>1</v>
      </c>
      <c r="AS37" s="351" t="n">
        <f aca="false">SUMPRODUCT((Projects!$G$2:$G$45="Yes")*(41&gt;=Projects!$C$2:$C$45)*(41&lt;=Projects!$W$2:$W$45))</f>
        <v>1</v>
      </c>
      <c r="AT37" s="351" t="n">
        <f aca="false">SUMPRODUCT((Projects!$G$2:$G$45="Yes")*(42&gt;=Projects!$C$2:$C$45)*(42&lt;=Projects!$W$2:$W$45))</f>
        <v>1</v>
      </c>
      <c r="AU37" s="351" t="n">
        <f aca="false">SUMPRODUCT((Projects!$G$2:$G$45="Yes")*(43&gt;=Projects!$C$2:$C$45)*(43&lt;=Projects!$W$2:$W$45))</f>
        <v>1</v>
      </c>
      <c r="AV37" s="351" t="n">
        <f aca="false">SUMPRODUCT((Projects!$G$2:$G$45="Yes")*(44&gt;=Projects!$C$2:$C$45)*(44&lt;=Projects!$W$2:$W$45))</f>
        <v>1</v>
      </c>
      <c r="AW37" s="351" t="n">
        <f aca="false">SUMPRODUCT((Projects!$G$2:$G$45="Yes")*(45&gt;=Projects!$C$2:$C$45)*(45&lt;=Projects!$W$2:$W$45))</f>
        <v>0</v>
      </c>
      <c r="AX37" s="351" t="n">
        <f aca="false">SUMPRODUCT((Projects!$G$2:$G$45="Yes")*(46&gt;=Projects!$C$2:$C$45)*(46&lt;=Projects!$W$2:$W$45))</f>
        <v>0</v>
      </c>
      <c r="AY37" s="351" t="n">
        <f aca="false">SUMPRODUCT((Projects!$G$2:$G$45="Yes")*(47&gt;=Projects!$C$2:$C$45)*(47&lt;=Projects!$W$2:$W$45))</f>
        <v>0</v>
      </c>
      <c r="AZ37" s="351" t="n">
        <f aca="false">SUMPRODUCT((Projects!$G$2:$G$45="Yes")*(48&gt;=Projects!$C$2:$C$45)*(48&lt;=Projects!$W$2:$W$45))</f>
        <v>0</v>
      </c>
      <c r="BA37" s="351" t="n">
        <f aca="false">SUMPRODUCT((Projects!$G$2:$G$45="Yes")*(49&gt;=Projects!$C$2:$C$45)*(49&lt;=Projects!$W$2:$W$45))</f>
        <v>0</v>
      </c>
      <c r="BB37" s="351" t="n">
        <f aca="false">SUMPRODUCT((Projects!$G$2:$G$45="Yes")*(50&gt;=Projects!$C$2:$C$45)*(50&lt;=Projects!$W$2:$W$45))</f>
        <v>0</v>
      </c>
      <c r="BC37" s="351" t="n">
        <f aca="false">SUMPRODUCT((Projects!$G$2:$G$45="Yes")*(51&gt;=Projects!$C$2:$C$45)*(51&lt;=Projects!$W$2:$W$45))</f>
        <v>0</v>
      </c>
      <c r="BD37" s="351" t="n">
        <f aca="false">SUMPRODUCT((Projects!$G$2:$G$45="Yes")*(52&gt;=Projects!$C$2:$C$45)*(52&lt;=Projects!$W$2:$W$45))</f>
        <v>0</v>
      </c>
      <c r="BE37" s="351" t="n">
        <f aca="false">SUMPRODUCT((Projects!$G$2:$G$45="Yes")*(53&gt;=Projects!$C$2:$C$45)*(53&lt;=Projects!$W$2:$W$45))</f>
        <v>0</v>
      </c>
      <c r="BF37" s="351" t="n">
        <f aca="false">SUMPRODUCT((Projects!$G$2:$G$45="Yes")*(54&gt;=Projects!$C$2:$C$45)*(54&lt;=Projects!$W$2:$W$45))</f>
        <v>0</v>
      </c>
      <c r="BG37" s="351" t="n">
        <f aca="false">SUMPRODUCT((Projects!$G$2:$G$45="Yes")*(55&gt;=Projects!$C$2:$C$45)*(55&lt;=Projects!$W$2:$W$45))</f>
        <v>0</v>
      </c>
      <c r="BH37" s="351" t="n">
        <f aca="false">SUMPRODUCT((Projects!$G$2:$G$45="Yes")*(56&gt;=Projects!$C$2:$C$45)*(56&lt;=Projects!$W$2:$W$45))</f>
        <v>0</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1173</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9.625</v>
      </c>
      <c r="R38" s="351" t="n">
        <f aca="false">SUMPRODUCT((Projects!$G$2:$G$45="Yes")*(14&gt;=Projects!$C$2:$C$45-$B$14)*(14&lt;=Projects!$W$2:$W$45+$B$17))*$B$5</f>
        <v>9.625</v>
      </c>
      <c r="S38" s="351" t="n">
        <f aca="false">SUMPRODUCT((Projects!$G$2:$G$45="Yes")*(15&gt;=Projects!$C$2:$C$45-$B$14)*(15&lt;=Projects!$W$2:$W$45+$B$17))*$B$5</f>
        <v>10.5</v>
      </c>
      <c r="T38" s="351" t="n">
        <f aca="false">SUMPRODUCT((Projects!$G$2:$G$45="Yes")*(16&gt;=Projects!$C$2:$C$45-$B$14)*(16&lt;=Projects!$W$2:$W$45+$B$17))*$B$5</f>
        <v>10.5</v>
      </c>
      <c r="U38" s="351" t="n">
        <f aca="false">SUMPRODUCT((Projects!$G$2:$G$45="Yes")*(17&gt;=Projects!$C$2:$C$45-$B$14)*(17&lt;=Projects!$W$2:$W$45+$B$17))*$B$5</f>
        <v>9.625</v>
      </c>
      <c r="V38" s="351" t="n">
        <f aca="false">SUMPRODUCT((Projects!$G$2:$G$45="Yes")*(18&gt;=Projects!$C$2:$C$45-$B$14)*(18&lt;=Projects!$W$2:$W$45+$B$17))*$B$5</f>
        <v>9.625</v>
      </c>
      <c r="W38" s="351" t="n">
        <f aca="false">SUMPRODUCT((Projects!$G$2:$G$45="Yes")*(19&gt;=Projects!$C$2:$C$45-$B$14)*(19&lt;=Projects!$W$2:$W$45+$B$17))*$B$5</f>
        <v>8.75</v>
      </c>
      <c r="X38" s="351" t="n">
        <f aca="false">SUMPRODUCT((Projects!$G$2:$G$45="Yes")*(20&gt;=Projects!$C$2:$C$45-$B$14)*(20&lt;=Projects!$W$2:$W$45+$B$17))*$B$5</f>
        <v>7.875</v>
      </c>
      <c r="Y38" s="351" t="n">
        <f aca="false">SUMPRODUCT((Projects!$G$2:$G$45="Yes")*(21&gt;=Projects!$C$2:$C$45-$B$14)*(21&lt;=Projects!$W$2:$W$45+$B$17))*$B$5</f>
        <v>7</v>
      </c>
      <c r="Z38" s="351" t="n">
        <f aca="false">SUMPRODUCT((Projects!$G$2:$G$45="Yes")*(22&gt;=Projects!$C$2:$C$45-$B$14)*(22&lt;=Projects!$W$2:$W$45+$B$17))*$B$5</f>
        <v>7</v>
      </c>
      <c r="AA38" s="351" t="n">
        <f aca="false">SUMPRODUCT((Projects!$G$2:$G$45="Yes")*(23&gt;=Projects!$C$2:$C$45-$B$14)*(23&lt;=Projects!$W$2:$W$45+$B$17))*$B$5</f>
        <v>7</v>
      </c>
      <c r="AB38" s="351" t="n">
        <f aca="false">SUMPRODUCT((Projects!$G$2:$G$45="Yes")*(24&gt;=Projects!$C$2:$C$45-$B$14)*(24&lt;=Projects!$W$2:$W$45+$B$17))*$B$5</f>
        <v>7</v>
      </c>
      <c r="AC38" s="351" t="n">
        <f aca="false">SUMPRODUCT((Projects!$G$2:$G$45="Yes")*(25&gt;=Projects!$C$2:$C$45-$B$14)*(25&lt;=Projects!$W$2:$W$45+$B$17))*$B$5</f>
        <v>6.125</v>
      </c>
      <c r="AD38" s="351" t="n">
        <f aca="false">SUMPRODUCT((Projects!$G$2:$G$45="Yes")*(26&gt;=Projects!$C$2:$C$45-$B$14)*(26&lt;=Projects!$W$2:$W$45+$B$17))*$B$5</f>
        <v>5.25</v>
      </c>
      <c r="AE38" s="351" t="n">
        <f aca="false">SUMPRODUCT((Projects!$G$2:$G$45="Yes")*(27&gt;=Projects!$C$2:$C$45-$B$14)*(27&lt;=Projects!$W$2:$W$45+$B$17))*$B$5</f>
        <v>5.25</v>
      </c>
      <c r="AF38" s="351" t="n">
        <f aca="false">SUMPRODUCT((Projects!$G$2:$G$45="Yes")*(28&gt;=Projects!$C$2:$C$45-$B$14)*(28&lt;=Projects!$W$2:$W$45+$B$17))*$B$5</f>
        <v>5.25</v>
      </c>
      <c r="AG38" s="351" t="n">
        <f aca="false">SUMPRODUCT((Projects!$G$2:$G$45="Yes")*(29&gt;=Projects!$C$2:$C$45-$B$14)*(29&lt;=Projects!$W$2:$W$45+$B$17))*$B$5</f>
        <v>5.25</v>
      </c>
      <c r="AH38" s="351" t="n">
        <f aca="false">SUMPRODUCT((Projects!$G$2:$G$45="Yes")*(30&gt;=Projects!$C$2:$C$45-$B$14)*(30&lt;=Projects!$W$2:$W$45+$B$17))*$B$5</f>
        <v>3.5</v>
      </c>
      <c r="AI38" s="351" t="n">
        <f aca="false">SUMPRODUCT((Projects!$G$2:$G$45="Yes")*(31&gt;=Projects!$C$2:$C$45-$B$14)*(31&lt;=Projects!$W$2:$W$45+$B$17))*$B$5</f>
        <v>2.625</v>
      </c>
      <c r="AJ38" s="351" t="n">
        <f aca="false">SUMPRODUCT((Projects!$G$2:$G$45="Yes")*(32&gt;=Projects!$C$2:$C$45-$B$14)*(32&lt;=Projects!$W$2:$W$45+$B$17))*$B$5</f>
        <v>2.625</v>
      </c>
      <c r="AK38" s="351" t="n">
        <f aca="false">SUMPRODUCT((Projects!$G$2:$G$45="Yes")*(33&gt;=Projects!$C$2:$C$45-$B$14)*(33&lt;=Projects!$W$2:$W$45+$B$17))*$B$5</f>
        <v>2.625</v>
      </c>
      <c r="AL38" s="351" t="n">
        <f aca="false">SUMPRODUCT((Projects!$G$2:$G$45="Yes")*(34&gt;=Projects!$C$2:$C$45-$B$14)*(34&lt;=Projects!$W$2:$W$45+$B$17))*$B$5</f>
        <v>1.75</v>
      </c>
      <c r="AM38" s="351" t="n">
        <f aca="false">SUMPRODUCT((Projects!$G$2:$G$45="Yes")*(35&gt;=Projects!$C$2:$C$45-$B$14)*(35&lt;=Projects!$W$2:$W$45+$B$17))*$B$5</f>
        <v>1.75</v>
      </c>
      <c r="AN38" s="351" t="n">
        <f aca="false">SUMPRODUCT((Projects!$G$2:$G$45="Yes")*(36&gt;=Projects!$C$2:$C$45-$B$14)*(36&lt;=Projects!$W$2:$W$45+$B$17))*$B$5</f>
        <v>1.75</v>
      </c>
      <c r="AO38" s="351" t="n">
        <f aca="false">SUMPRODUCT((Projects!$G$2:$G$45="Yes")*(37&gt;=Projects!$C$2:$C$45-$B$14)*(37&lt;=Projects!$W$2:$W$45+$B$17))*$B$5</f>
        <v>1.75</v>
      </c>
      <c r="AP38" s="351" t="n">
        <f aca="false">SUMPRODUCT((Projects!$G$2:$G$45="Yes")*(38&gt;=Projects!$C$2:$C$45-$B$14)*(38&lt;=Projects!$W$2:$W$45+$B$17))*$B$5</f>
        <v>0.875</v>
      </c>
      <c r="AQ38" s="351" t="n">
        <f aca="false">SUMPRODUCT((Projects!$G$2:$G$45="Yes")*(39&gt;=Projects!$C$2:$C$45-$B$14)*(39&lt;=Projects!$W$2:$W$45+$B$17))*$B$5</f>
        <v>0.875</v>
      </c>
      <c r="AR38" s="351" t="n">
        <f aca="false">SUMPRODUCT((Projects!$G$2:$G$45="Yes")*(40&gt;=Projects!$C$2:$C$45-$B$14)*(40&lt;=Projects!$W$2:$W$45+$B$17))*$B$5</f>
        <v>0.875</v>
      </c>
      <c r="AS38" s="351" t="n">
        <f aca="false">SUMPRODUCT((Projects!$G$2:$G$45="Yes")*(41&gt;=Projects!$C$2:$C$45-$B$14)*(41&lt;=Projects!$W$2:$W$45+$B$17))*$B$5</f>
        <v>0.875</v>
      </c>
      <c r="AT38" s="351" t="n">
        <f aca="false">SUMPRODUCT((Projects!$G$2:$G$45="Yes")*(42&gt;=Projects!$C$2:$C$45-$B$14)*(42&lt;=Projects!$W$2:$W$45+$B$17))*$B$5</f>
        <v>0.875</v>
      </c>
      <c r="AU38" s="351" t="n">
        <f aca="false">SUMPRODUCT((Projects!$G$2:$G$45="Yes")*(43&gt;=Projects!$C$2:$C$45-$B$14)*(43&lt;=Projects!$W$2:$W$45+$B$17))*$B$5</f>
        <v>0.875</v>
      </c>
      <c r="AV38" s="351" t="n">
        <f aca="false">SUMPRODUCT((Projects!$G$2:$G$45="Yes")*(44&gt;=Projects!$C$2:$C$45-$B$14)*(44&lt;=Projects!$W$2:$W$45+$B$17))*$B$5</f>
        <v>0.875</v>
      </c>
      <c r="AW38" s="351" t="n">
        <f aca="false">SUMPRODUCT((Projects!$G$2:$G$45="Yes")*(45&gt;=Projects!$C$2:$C$45-$B$14)*(45&lt;=Projects!$W$2:$W$45+$B$17))*$B$5</f>
        <v>0.875</v>
      </c>
      <c r="AX38" s="351" t="n">
        <f aca="false">SUMPRODUCT((Projects!$G$2:$G$45="Yes")*(46&gt;=Projects!$C$2:$C$45-$B$14)*(46&lt;=Projects!$W$2:$W$45+$B$17))*$B$5</f>
        <v>0</v>
      </c>
      <c r="AY38" s="351" t="n">
        <f aca="false">SUMPRODUCT((Projects!$G$2:$G$45="Yes")*(47&gt;=Projects!$C$2:$C$45-$B$14)*(47&lt;=Projects!$W$2:$W$45+$B$17))*$B$5</f>
        <v>0</v>
      </c>
      <c r="AZ38" s="351" t="n">
        <f aca="false">SUMPRODUCT((Projects!$G$2:$G$45="Yes")*(48&gt;=Projects!$C$2:$C$45-$B$14)*(48&lt;=Projects!$W$2:$W$45+$B$17))*$B$5</f>
        <v>0</v>
      </c>
      <c r="BA38" s="351" t="n">
        <f aca="false">SUMPRODUCT((Projects!$G$2:$G$45="Yes")*(49&gt;=Projects!$C$2:$C$45-$B$14)*(49&lt;=Projects!$W$2:$W$45+$B$17))*$B$5</f>
        <v>0</v>
      </c>
      <c r="BB38" s="351" t="n">
        <f aca="false">SUMPRODUCT((Projects!$G$2:$G$45="Yes")*(50&gt;=Projects!$C$2:$C$45-$B$14)*(50&lt;=Projects!$W$2:$W$45+$B$17))*$B$5</f>
        <v>0</v>
      </c>
      <c r="BC38" s="351" t="n">
        <f aca="false">SUMPRODUCT((Projects!$G$2:$G$45="Yes")*(51&gt;=Projects!$C$2:$C$45-$B$14)*(51&lt;=Projects!$W$2:$W$45+$B$17))*$B$5</f>
        <v>0</v>
      </c>
      <c r="BD38" s="351" t="n">
        <f aca="false">SUMPRODUCT((Projects!$G$2:$G$45="Yes")*(52&gt;=Projects!$C$2:$C$45-$B$14)*(52&lt;=Projects!$W$2:$W$45+$B$17))*$B$5</f>
        <v>0</v>
      </c>
      <c r="BE38" s="351" t="n">
        <f aca="false">SUMPRODUCT((Projects!$G$2:$G$45="Yes")*(53&gt;=Projects!$C$2:$C$45-$B$14)*(53&lt;=Projects!$W$2:$W$45+$B$17))*$B$5</f>
        <v>0</v>
      </c>
      <c r="BF38" s="351" t="n">
        <f aca="false">SUMPRODUCT((Projects!$G$2:$G$45="Yes")*(54&gt;=Projects!$C$2:$C$45-$B$14)*(54&lt;=Projects!$W$2:$W$45+$B$17))*$B$5</f>
        <v>0</v>
      </c>
      <c r="BG38" s="351" t="n">
        <f aca="false">SUMPRODUCT((Projects!$G$2:$G$45="Yes")*(55&gt;=Projects!$C$2:$C$45-$B$14)*(55&lt;=Projects!$W$2:$W$45+$B$17))*$B$5</f>
        <v>0</v>
      </c>
      <c r="BH38" s="351" t="n">
        <f aca="false">SUMPRODUCT((Projects!$G$2:$G$45="Yes")*(56&gt;=Projects!$C$2:$C$45-$B$14)*(56&lt;=Projects!$W$2:$W$45+$B$17))*$B$5</f>
        <v>0</v>
      </c>
      <c r="BI38" s="351" t="n">
        <f aca="false">SUMPRODUCT((Projects!$G$2:$G$45="Yes")*(57&gt;=Projects!$C$2:$C$45-$B$14)*(57&lt;=Projects!$W$2:$W$45+$B$17))*$B$5</f>
        <v>0</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1174</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2.6625</v>
      </c>
      <c r="R39" s="351" t="n">
        <f aca="false">SUMPRODUCT((Projects!$G$2:$G$45="Yes")*(14&gt;=Projects!$C$2:$C$45-$B$15)*((14&lt;=Projects!$W$2:$W$45-$B$106)*1+(14&gt;Projects!$W$2:$W$45-$B$106)*(14&lt;=Projects!$W$2:$W$45+$B$17)*$B$107)*((Projects!$B$2:$B$45&gt;=$B$12)*$B$6+(Projects!$B$2:$B$45&lt;$B$12)*(Projects!$B$2:$B$45&gt;=$B$13)*$B$7+(Projects!$B$2:$B$45&lt;$B$13)*$B$8))</f>
        <v>2.6625</v>
      </c>
      <c r="S39" s="351" t="n">
        <f aca="false">SUMPRODUCT((Projects!$G$2:$G$45="Yes")*(15&gt;=Projects!$C$2:$C$45-$B$15)*((15&lt;=Projects!$W$2:$W$45-$B$106)*1+(15&gt;Projects!$W$2:$W$45-$B$106)*(15&lt;=Projects!$W$2:$W$45+$B$17)*$B$107)*((Projects!$B$2:$B$45&gt;=$B$12)*$B$6+(Projects!$B$2:$B$45&lt;$B$12)*(Projects!$B$2:$B$45&gt;=$B$13)*$B$7+(Projects!$B$2:$B$45&lt;$B$13)*$B$8))</f>
        <v>3.0375</v>
      </c>
      <c r="T39" s="351" t="n">
        <f aca="false">SUMPRODUCT((Projects!$G$2:$G$45="Yes")*(16&gt;=Projects!$C$2:$C$45-$B$15)*((16&lt;=Projects!$W$2:$W$45-$B$106)*1+(16&gt;Projects!$W$2:$W$45-$B$106)*(16&lt;=Projects!$W$2:$W$45+$B$17)*$B$107)*((Projects!$B$2:$B$45&gt;=$B$12)*$B$6+(Projects!$B$2:$B$45&lt;$B$12)*(Projects!$B$2:$B$45&gt;=$B$13)*$B$7+(Projects!$B$2:$B$45&lt;$B$13)*$B$8))</f>
        <v>2.9125</v>
      </c>
      <c r="U39" s="351" t="n">
        <f aca="false">SUMPRODUCT((Projects!$G$2:$G$45="Yes")*(17&gt;=Projects!$C$2:$C$45-$B$15)*((17&lt;=Projects!$W$2:$W$45-$B$106)*1+(17&gt;Projects!$W$2:$W$45-$B$106)*(17&lt;=Projects!$W$2:$W$45+$B$17)*$B$107)*((Projects!$B$2:$B$45&gt;=$B$12)*$B$6+(Projects!$B$2:$B$45&lt;$B$12)*(Projects!$B$2:$B$45&gt;=$B$13)*$B$7+(Projects!$B$2:$B$45&lt;$B$13)*$B$8))</f>
        <v>2.705</v>
      </c>
      <c r="V39" s="351" t="n">
        <f aca="false">SUMPRODUCT((Projects!$G$2:$G$45="Yes")*(18&gt;=Projects!$C$2:$C$45-$B$15)*((18&lt;=Projects!$W$2:$W$45-$B$106)*1+(18&gt;Projects!$W$2:$W$45-$B$106)*(18&lt;=Projects!$W$2:$W$45+$B$17)*$B$107)*((Projects!$B$2:$B$45&gt;=$B$12)*$B$6+(Projects!$B$2:$B$45&lt;$B$12)*(Projects!$B$2:$B$45&gt;=$B$13)*$B$7+(Projects!$B$2:$B$45&lt;$B$13)*$B$8))</f>
        <v>2.705</v>
      </c>
      <c r="W39" s="351" t="n">
        <f aca="false">SUMPRODUCT((Projects!$G$2:$G$45="Yes")*(19&gt;=Projects!$C$2:$C$45-$B$15)*((19&lt;=Projects!$W$2:$W$45-$B$106)*1+(19&gt;Projects!$W$2:$W$45-$B$106)*(19&lt;=Projects!$W$2:$W$45+$B$17)*$B$107)*((Projects!$B$2:$B$45&gt;=$B$12)*$B$6+(Projects!$B$2:$B$45&lt;$B$12)*(Projects!$B$2:$B$45&gt;=$B$13)*$B$7+(Projects!$B$2:$B$45&lt;$B$13)*$B$8))</f>
        <v>2.58</v>
      </c>
      <c r="X39" s="351" t="n">
        <f aca="false">SUMPRODUCT((Projects!$G$2:$G$45="Yes")*(20&gt;=Projects!$C$2:$C$45-$B$15)*((20&lt;=Projects!$W$2:$W$45-$B$106)*1+(20&gt;Projects!$W$2:$W$45-$B$106)*(20&lt;=Projects!$W$2:$W$45+$B$17)*$B$107)*((Projects!$B$2:$B$45&gt;=$B$12)*$B$6+(Projects!$B$2:$B$45&lt;$B$12)*(Projects!$B$2:$B$45&gt;=$B$13)*$B$7+(Projects!$B$2:$B$45&lt;$B$13)*$B$8))</f>
        <v>2.455</v>
      </c>
      <c r="Y39" s="351" t="n">
        <f aca="false">SUMPRODUCT((Projects!$G$2:$G$45="Yes")*(21&gt;=Projects!$C$2:$C$45-$B$15)*((21&lt;=Projects!$W$2:$W$45-$B$106)*1+(21&gt;Projects!$W$2:$W$45-$B$106)*(21&lt;=Projects!$W$2:$W$45+$B$17)*$B$107)*((Projects!$B$2:$B$45&gt;=$B$12)*$B$6+(Projects!$B$2:$B$45&lt;$B$12)*(Projects!$B$2:$B$45&gt;=$B$13)*$B$7+(Projects!$B$2:$B$45&lt;$B$13)*$B$8))</f>
        <v>2.205</v>
      </c>
      <c r="Z39" s="351" t="n">
        <f aca="false">SUMPRODUCT((Projects!$G$2:$G$45="Yes")*(22&gt;=Projects!$C$2:$C$45-$B$15)*((22&lt;=Projects!$W$2:$W$45-$B$106)*1+(22&gt;Projects!$W$2:$W$45-$B$106)*(22&lt;=Projects!$W$2:$W$45+$B$17)*$B$107)*((Projects!$B$2:$B$45&gt;=$B$12)*$B$6+(Projects!$B$2:$B$45&lt;$B$12)*(Projects!$B$2:$B$45&gt;=$B$13)*$B$7+(Projects!$B$2:$B$45&lt;$B$13)*$B$8))</f>
        <v>2.08</v>
      </c>
      <c r="AA39" s="351" t="n">
        <f aca="false">SUMPRODUCT((Projects!$G$2:$G$45="Yes")*(23&gt;=Projects!$C$2:$C$45-$B$15)*((23&lt;=Projects!$W$2:$W$45-$B$106)*1+(23&gt;Projects!$W$2:$W$45-$B$106)*(23&lt;=Projects!$W$2:$W$45+$B$17)*$B$107)*((Projects!$B$2:$B$45&gt;=$B$12)*$B$6+(Projects!$B$2:$B$45&lt;$B$12)*(Projects!$B$2:$B$45&gt;=$B$13)*$B$7+(Projects!$B$2:$B$45&lt;$B$13)*$B$8))</f>
        <v>2.08</v>
      </c>
      <c r="AB39" s="351" t="n">
        <f aca="false">SUMPRODUCT((Projects!$G$2:$G$45="Yes")*(24&gt;=Projects!$C$2:$C$45-$B$15)*((24&lt;=Projects!$W$2:$W$45-$B$106)*1+(24&gt;Projects!$W$2:$W$45-$B$106)*(24&lt;=Projects!$W$2:$W$45+$B$17)*$B$107)*((Projects!$B$2:$B$45&gt;=$B$12)*$B$6+(Projects!$B$2:$B$45&lt;$B$12)*(Projects!$B$2:$B$45&gt;=$B$13)*$B$7+(Projects!$B$2:$B$45&lt;$B$13)*$B$8))</f>
        <v>2.08</v>
      </c>
      <c r="AC39" s="351" t="n">
        <f aca="false">SUMPRODUCT((Projects!$G$2:$G$45="Yes")*(25&gt;=Projects!$C$2:$C$45-$B$15)*((25&lt;=Projects!$W$2:$W$45-$B$106)*1+(25&gt;Projects!$W$2:$W$45-$B$106)*(25&lt;=Projects!$W$2:$W$45+$B$17)*$B$107)*((Projects!$B$2:$B$45&gt;=$B$12)*$B$6+(Projects!$B$2:$B$45&lt;$B$12)*(Projects!$B$2:$B$45&gt;=$B$13)*$B$7+(Projects!$B$2:$B$45&lt;$B$13)*$B$8))</f>
        <v>1.955</v>
      </c>
      <c r="AD39" s="351" t="n">
        <f aca="false">SUMPRODUCT((Projects!$G$2:$G$45="Yes")*(26&gt;=Projects!$C$2:$C$45-$B$15)*((26&lt;=Projects!$W$2:$W$45-$B$106)*1+(26&gt;Projects!$W$2:$W$45-$B$106)*(26&lt;=Projects!$W$2:$W$45+$B$17)*$B$107)*((Projects!$B$2:$B$45&gt;=$B$12)*$B$6+(Projects!$B$2:$B$45&lt;$B$12)*(Projects!$B$2:$B$45&gt;=$B$13)*$B$7+(Projects!$B$2:$B$45&lt;$B$13)*$B$8))</f>
        <v>1.6225</v>
      </c>
      <c r="AE39" s="351" t="n">
        <f aca="false">SUMPRODUCT((Projects!$G$2:$G$45="Yes")*(27&gt;=Projects!$C$2:$C$45-$B$15)*((27&lt;=Projects!$W$2:$W$45-$B$106)*1+(27&gt;Projects!$W$2:$W$45-$B$106)*(27&lt;=Projects!$W$2:$W$45+$B$17)*$B$107)*((Projects!$B$2:$B$45&gt;=$B$12)*$B$6+(Projects!$B$2:$B$45&lt;$B$12)*(Projects!$B$2:$B$45&gt;=$B$13)*$B$7+(Projects!$B$2:$B$45&lt;$B$13)*$B$8))</f>
        <v>1.54</v>
      </c>
      <c r="AF39" s="351" t="n">
        <f aca="false">SUMPRODUCT((Projects!$G$2:$G$45="Yes")*(28&gt;=Projects!$C$2:$C$45-$B$15)*((28&lt;=Projects!$W$2:$W$45-$B$106)*1+(28&gt;Projects!$W$2:$W$45-$B$106)*(28&lt;=Projects!$W$2:$W$45+$B$17)*$B$107)*((Projects!$B$2:$B$45&gt;=$B$12)*$B$6+(Projects!$B$2:$B$45&lt;$B$12)*(Projects!$B$2:$B$45&gt;=$B$13)*$B$7+(Projects!$B$2:$B$45&lt;$B$13)*$B$8))</f>
        <v>1.54</v>
      </c>
      <c r="AG39" s="351" t="n">
        <f aca="false">SUMPRODUCT((Projects!$G$2:$G$45="Yes")*(29&gt;=Projects!$C$2:$C$45-$B$15)*((29&lt;=Projects!$W$2:$W$45-$B$106)*1+(29&gt;Projects!$W$2:$W$45-$B$106)*(29&lt;=Projects!$W$2:$W$45+$B$17)*$B$107)*((Projects!$B$2:$B$45&gt;=$B$12)*$B$6+(Projects!$B$2:$B$45&lt;$B$12)*(Projects!$B$2:$B$45&gt;=$B$13)*$B$7+(Projects!$B$2:$B$45&lt;$B$13)*$B$8))</f>
        <v>1.54</v>
      </c>
      <c r="AH39" s="351" t="n">
        <f aca="false">SUMPRODUCT((Projects!$G$2:$G$45="Yes")*(30&gt;=Projects!$C$2:$C$45-$B$15)*((30&lt;=Projects!$W$2:$W$45-$B$106)*1+(30&gt;Projects!$W$2:$W$45-$B$106)*(30&lt;=Projects!$W$2:$W$45+$B$17)*$B$107)*((Projects!$B$2:$B$45&gt;=$B$12)*$B$6+(Projects!$B$2:$B$45&lt;$B$12)*(Projects!$B$2:$B$45&gt;=$B$13)*$B$7+(Projects!$B$2:$B$45&lt;$B$13)*$B$8))</f>
        <v>1.2075</v>
      </c>
      <c r="AI39" s="351" t="n">
        <f aca="false">SUMPRODUCT((Projects!$G$2:$G$45="Yes")*(31&gt;=Projects!$C$2:$C$45-$B$15)*((31&lt;=Projects!$W$2:$W$45-$B$106)*1+(31&gt;Projects!$W$2:$W$45-$B$106)*(31&lt;=Projects!$W$2:$W$45+$B$17)*$B$107)*((Projects!$B$2:$B$45&gt;=$B$12)*$B$6+(Projects!$B$2:$B$45&lt;$B$12)*(Projects!$B$2:$B$45&gt;=$B$13)*$B$7+(Projects!$B$2:$B$45&lt;$B$13)*$B$8))</f>
        <v>1.125</v>
      </c>
      <c r="AJ39" s="351" t="n">
        <f aca="false">SUMPRODUCT((Projects!$G$2:$G$45="Yes")*(32&gt;=Projects!$C$2:$C$45-$B$15)*((32&lt;=Projects!$W$2:$W$45-$B$106)*1+(32&gt;Projects!$W$2:$W$45-$B$106)*(32&lt;=Projects!$W$2:$W$45+$B$17)*$B$107)*((Projects!$B$2:$B$45&gt;=$B$12)*$B$6+(Projects!$B$2:$B$45&lt;$B$12)*(Projects!$B$2:$B$45&gt;=$B$13)*$B$7+(Projects!$B$2:$B$45&lt;$B$13)*$B$8))</f>
        <v>1.125</v>
      </c>
      <c r="AK39" s="351" t="n">
        <f aca="false">SUMPRODUCT((Projects!$G$2:$G$45="Yes")*(33&gt;=Projects!$C$2:$C$45-$B$15)*((33&lt;=Projects!$W$2:$W$45-$B$106)*1+(33&gt;Projects!$W$2:$W$45-$B$106)*(33&lt;=Projects!$W$2:$W$45+$B$17)*$B$107)*((Projects!$B$2:$B$45&gt;=$B$12)*$B$6+(Projects!$B$2:$B$45&lt;$B$12)*(Projects!$B$2:$B$45&gt;=$B$13)*$B$7+(Projects!$B$2:$B$45&lt;$B$13)*$B$8))</f>
        <v>1.125</v>
      </c>
      <c r="AL39" s="351" t="n">
        <f aca="false">SUMPRODUCT((Projects!$G$2:$G$45="Yes")*(34&gt;=Projects!$C$2:$C$45-$B$15)*((34&lt;=Projects!$W$2:$W$45-$B$106)*1+(34&gt;Projects!$W$2:$W$45-$B$106)*(34&lt;=Projects!$W$2:$W$45+$B$17)*$B$107)*((Projects!$B$2:$B$45&gt;=$B$12)*$B$6+(Projects!$B$2:$B$45&lt;$B$12)*(Projects!$B$2:$B$45&gt;=$B$13)*$B$7+(Projects!$B$2:$B$45&lt;$B$13)*$B$8))</f>
        <v>0.75</v>
      </c>
      <c r="AM39" s="351" t="n">
        <f aca="false">SUMPRODUCT((Projects!$G$2:$G$45="Yes")*(35&gt;=Projects!$C$2:$C$45-$B$15)*((35&lt;=Projects!$W$2:$W$45-$B$106)*1+(35&gt;Projects!$W$2:$W$45-$B$106)*(35&lt;=Projects!$W$2:$W$45+$B$17)*$B$107)*((Projects!$B$2:$B$45&gt;=$B$12)*$B$6+(Projects!$B$2:$B$45&lt;$B$12)*(Projects!$B$2:$B$45&gt;=$B$13)*$B$7+(Projects!$B$2:$B$45&lt;$B$13)*$B$8))</f>
        <v>0.75</v>
      </c>
      <c r="AN39" s="351" t="n">
        <f aca="false">SUMPRODUCT((Projects!$G$2:$G$45="Yes")*(36&gt;=Projects!$C$2:$C$45-$B$15)*((36&lt;=Projects!$W$2:$W$45-$B$106)*1+(36&gt;Projects!$W$2:$W$45-$B$106)*(36&lt;=Projects!$W$2:$W$45+$B$17)*$B$107)*((Projects!$B$2:$B$45&gt;=$B$12)*$B$6+(Projects!$B$2:$B$45&lt;$B$12)*(Projects!$B$2:$B$45&gt;=$B$13)*$B$7+(Projects!$B$2:$B$45&lt;$B$13)*$B$8))</f>
        <v>0.75</v>
      </c>
      <c r="AO39" s="351" t="n">
        <f aca="false">SUMPRODUCT((Projects!$G$2:$G$45="Yes")*(37&gt;=Projects!$C$2:$C$45-$B$15)*((37&lt;=Projects!$W$2:$W$45-$B$106)*1+(37&gt;Projects!$W$2:$W$45-$B$106)*(37&lt;=Projects!$W$2:$W$45+$B$17)*$B$107)*((Projects!$B$2:$B$45&gt;=$B$12)*$B$6+(Projects!$B$2:$B$45&lt;$B$12)*(Projects!$B$2:$B$45&gt;=$B$13)*$B$7+(Projects!$B$2:$B$45&lt;$B$13)*$B$8))</f>
        <v>0.75</v>
      </c>
      <c r="AP39" s="351" t="n">
        <f aca="false">SUMPRODUCT((Projects!$G$2:$G$45="Yes")*(38&gt;=Projects!$C$2:$C$45-$B$15)*((38&lt;=Projects!$W$2:$W$45-$B$106)*1+(38&gt;Projects!$W$2:$W$45-$B$106)*(38&lt;=Projects!$W$2:$W$45+$B$17)*$B$107)*((Projects!$B$2:$B$45&gt;=$B$12)*$B$6+(Projects!$B$2:$B$45&lt;$B$12)*(Projects!$B$2:$B$45&gt;=$B$13)*$B$7+(Projects!$B$2:$B$45&lt;$B$13)*$B$8))</f>
        <v>0.5</v>
      </c>
      <c r="AQ39" s="351" t="n">
        <f aca="false">SUMPRODUCT((Projects!$G$2:$G$45="Yes")*(39&gt;=Projects!$C$2:$C$45-$B$15)*((39&lt;=Projects!$W$2:$W$45-$B$106)*1+(39&gt;Projects!$W$2:$W$45-$B$106)*(39&lt;=Projects!$W$2:$W$45+$B$17)*$B$107)*((Projects!$B$2:$B$45&gt;=$B$12)*$B$6+(Projects!$B$2:$B$45&lt;$B$12)*(Projects!$B$2:$B$45&gt;=$B$13)*$B$7+(Projects!$B$2:$B$45&lt;$B$13)*$B$8))</f>
        <v>0.5</v>
      </c>
      <c r="AR39" s="351" t="n">
        <f aca="false">SUMPRODUCT((Projects!$G$2:$G$45="Yes")*(40&gt;=Projects!$C$2:$C$45-$B$15)*((40&lt;=Projects!$W$2:$W$45-$B$106)*1+(40&gt;Projects!$W$2:$W$45-$B$106)*(40&lt;=Projects!$W$2:$W$45+$B$17)*$B$107)*((Projects!$B$2:$B$45&gt;=$B$12)*$B$6+(Projects!$B$2:$B$45&lt;$B$12)*(Projects!$B$2:$B$45&gt;=$B$13)*$B$7+(Projects!$B$2:$B$45&lt;$B$13)*$B$8))</f>
        <v>0.5</v>
      </c>
      <c r="AS39" s="351" t="n">
        <f aca="false">SUMPRODUCT((Projects!$G$2:$G$45="Yes")*(41&gt;=Projects!$C$2:$C$45-$B$15)*((41&lt;=Projects!$W$2:$W$45-$B$106)*1+(41&gt;Projects!$W$2:$W$45-$B$106)*(41&lt;=Projects!$W$2:$W$45+$B$17)*$B$107)*((Projects!$B$2:$B$45&gt;=$B$12)*$B$6+(Projects!$B$2:$B$45&lt;$B$12)*(Projects!$B$2:$B$45&gt;=$B$13)*$B$7+(Projects!$B$2:$B$45&lt;$B$13)*$B$8))</f>
        <v>0.5</v>
      </c>
      <c r="AT39" s="351" t="n">
        <f aca="false">SUMPRODUCT((Projects!$G$2:$G$45="Yes")*(42&gt;=Projects!$C$2:$C$45-$B$15)*((42&lt;=Projects!$W$2:$W$45-$B$106)*1+(42&gt;Projects!$W$2:$W$45-$B$106)*(42&lt;=Projects!$W$2:$W$45+$B$17)*$B$107)*((Projects!$B$2:$B$45&gt;=$B$12)*$B$6+(Projects!$B$2:$B$45&lt;$B$12)*(Projects!$B$2:$B$45&gt;=$B$13)*$B$7+(Projects!$B$2:$B$45&lt;$B$13)*$B$8))</f>
        <v>0.25</v>
      </c>
      <c r="AU39" s="351" t="n">
        <f aca="false">SUMPRODUCT((Projects!$G$2:$G$45="Yes")*(43&gt;=Projects!$C$2:$C$45-$B$15)*((43&lt;=Projects!$W$2:$W$45-$B$106)*1+(43&gt;Projects!$W$2:$W$45-$B$106)*(43&lt;=Projects!$W$2:$W$45+$B$17)*$B$107)*((Projects!$B$2:$B$45&gt;=$B$12)*$B$6+(Projects!$B$2:$B$45&lt;$B$12)*(Projects!$B$2:$B$45&gt;=$B$13)*$B$7+(Projects!$B$2:$B$45&lt;$B$13)*$B$8))</f>
        <v>0.25</v>
      </c>
      <c r="AV39" s="351" t="n">
        <f aca="false">SUMPRODUCT((Projects!$G$2:$G$45="Yes")*(44&gt;=Projects!$C$2:$C$45-$B$15)*((44&lt;=Projects!$W$2:$W$45-$B$106)*1+(44&gt;Projects!$W$2:$W$45-$B$106)*(44&lt;=Projects!$W$2:$W$45+$B$17)*$B$107)*((Projects!$B$2:$B$45&gt;=$B$12)*$B$6+(Projects!$B$2:$B$45&lt;$B$12)*(Projects!$B$2:$B$45&gt;=$B$13)*$B$7+(Projects!$B$2:$B$45&lt;$B$13)*$B$8))</f>
        <v>0.25</v>
      </c>
      <c r="AW39" s="351" t="n">
        <f aca="false">SUMPRODUCT((Projects!$G$2:$G$45="Yes")*(45&gt;=Projects!$C$2:$C$45-$B$15)*((45&lt;=Projects!$W$2:$W$45-$B$106)*1+(45&gt;Projects!$W$2:$W$45-$B$106)*(45&lt;=Projects!$W$2:$W$45+$B$17)*$B$107)*((Projects!$B$2:$B$45&gt;=$B$12)*$B$6+(Projects!$B$2:$B$45&lt;$B$12)*(Projects!$B$2:$B$45&gt;=$B$13)*$B$7+(Projects!$B$2:$B$45&lt;$B$13)*$B$8))</f>
        <v>0.25</v>
      </c>
      <c r="AX39" s="351" t="n">
        <f aca="false">SUMPRODUCT((Projects!$G$2:$G$45="Yes")*(46&gt;=Projects!$C$2:$C$45-$B$15)*((46&lt;=Projects!$W$2:$W$45-$B$106)*1+(46&gt;Projects!$W$2:$W$45-$B$106)*(46&lt;=Projects!$W$2:$W$45+$B$17)*$B$107)*((Projects!$B$2:$B$45&gt;=$B$12)*$B$6+(Projects!$B$2:$B$45&lt;$B$12)*(Projects!$B$2:$B$45&gt;=$B$13)*$B$7+(Projects!$B$2:$B$45&lt;$B$13)*$B$8))</f>
        <v>0</v>
      </c>
      <c r="AY39" s="351" t="n">
        <f aca="false">SUMPRODUCT((Projects!$G$2:$G$45="Yes")*(47&gt;=Projects!$C$2:$C$45-$B$15)*((47&lt;=Projects!$W$2:$W$45-$B$106)*1+(47&gt;Projects!$W$2:$W$45-$B$106)*(47&lt;=Projects!$W$2:$W$45+$B$17)*$B$107)*((Projects!$B$2:$B$45&gt;=$B$12)*$B$6+(Projects!$B$2:$B$45&lt;$B$12)*(Projects!$B$2:$B$45&gt;=$B$13)*$B$7+(Projects!$B$2:$B$45&lt;$B$13)*$B$8))</f>
        <v>0</v>
      </c>
      <c r="AZ39" s="351" t="n">
        <f aca="false">SUMPRODUCT((Projects!$G$2:$G$45="Yes")*(48&gt;=Projects!$C$2:$C$45-$B$15)*((48&lt;=Projects!$W$2:$W$45-$B$106)*1+(48&gt;Projects!$W$2:$W$45-$B$106)*(48&lt;=Projects!$W$2:$W$45+$B$17)*$B$107)*((Projects!$B$2:$B$45&gt;=$B$12)*$B$6+(Projects!$B$2:$B$45&lt;$B$12)*(Projects!$B$2:$B$45&gt;=$B$13)*$B$7+(Projects!$B$2:$B$45&lt;$B$13)*$B$8))</f>
        <v>0</v>
      </c>
      <c r="BA39" s="351" t="n">
        <f aca="false">SUMPRODUCT((Projects!$G$2:$G$45="Yes")*(49&gt;=Projects!$C$2:$C$45-$B$15)*((49&lt;=Projects!$W$2:$W$45-$B$106)*1+(49&gt;Projects!$W$2:$W$45-$B$106)*(49&lt;=Projects!$W$2:$W$45+$B$17)*$B$107)*((Projects!$B$2:$B$45&gt;=$B$12)*$B$6+(Projects!$B$2:$B$45&lt;$B$12)*(Projects!$B$2:$B$45&gt;=$B$13)*$B$7+(Projects!$B$2:$B$45&lt;$B$13)*$B$8))</f>
        <v>0</v>
      </c>
      <c r="BB39" s="351" t="n">
        <f aca="false">SUMPRODUCT((Projects!$G$2:$G$45="Yes")*(50&gt;=Projects!$C$2:$C$45-$B$15)*((50&lt;=Projects!$W$2:$W$45-$B$106)*1+(50&gt;Projects!$W$2:$W$45-$B$106)*(50&lt;=Projects!$W$2:$W$45+$B$17)*$B$107)*((Projects!$B$2:$B$45&gt;=$B$12)*$B$6+(Projects!$B$2:$B$45&lt;$B$12)*(Projects!$B$2:$B$45&gt;=$B$13)*$B$7+(Projects!$B$2:$B$45&lt;$B$13)*$B$8))</f>
        <v>0</v>
      </c>
      <c r="BC39" s="351" t="n">
        <f aca="false">SUMPRODUCT((Projects!$G$2:$G$45="Yes")*(51&gt;=Projects!$C$2:$C$45-$B$15)*((51&lt;=Projects!$W$2:$W$45-$B$106)*1+(51&gt;Projects!$W$2:$W$45-$B$106)*(51&lt;=Projects!$W$2:$W$45+$B$17)*$B$107)*((Projects!$B$2:$B$45&gt;=$B$12)*$B$6+(Projects!$B$2:$B$45&lt;$B$12)*(Projects!$B$2:$B$45&gt;=$B$13)*$B$7+(Projects!$B$2:$B$45&lt;$B$13)*$B$8))</f>
        <v>0</v>
      </c>
      <c r="BD39" s="351" t="n">
        <f aca="false">SUMPRODUCT((Projects!$G$2:$G$45="Yes")*(52&gt;=Projects!$C$2:$C$45-$B$15)*((52&lt;=Projects!$W$2:$W$45-$B$106)*1+(52&gt;Projects!$W$2:$W$45-$B$106)*(52&lt;=Projects!$W$2:$W$45+$B$17)*$B$107)*((Projects!$B$2:$B$45&gt;=$B$12)*$B$6+(Projects!$B$2:$B$45&lt;$B$12)*(Projects!$B$2:$B$45&gt;=$B$13)*$B$7+(Projects!$B$2:$B$45&lt;$B$13)*$B$8))</f>
        <v>0</v>
      </c>
      <c r="BE39" s="351" t="n">
        <f aca="false">SUMPRODUCT((Projects!$G$2:$G$45="Yes")*(53&gt;=Projects!$C$2:$C$45-$B$15)*((53&lt;=Projects!$W$2:$W$45-$B$106)*1+(53&gt;Projects!$W$2:$W$45-$B$106)*(53&lt;=Projects!$W$2:$W$45+$B$17)*$B$107)*((Projects!$B$2:$B$45&gt;=$B$12)*$B$6+(Projects!$B$2:$B$45&lt;$B$12)*(Projects!$B$2:$B$45&gt;=$B$13)*$B$7+(Projects!$B$2:$B$45&lt;$B$13)*$B$8))</f>
        <v>0</v>
      </c>
      <c r="BF39" s="351" t="n">
        <f aca="false">SUMPRODUCT((Projects!$G$2:$G$45="Yes")*(54&gt;=Projects!$C$2:$C$45-$B$15)*((54&lt;=Projects!$W$2:$W$45-$B$106)*1+(54&gt;Projects!$W$2:$W$45-$B$106)*(54&lt;=Projects!$W$2:$W$45+$B$17)*$B$107)*((Projects!$B$2:$B$45&gt;=$B$12)*$B$6+(Projects!$B$2:$B$45&lt;$B$12)*(Projects!$B$2:$B$45&gt;=$B$13)*$B$7+(Projects!$B$2:$B$45&lt;$B$13)*$B$8))</f>
        <v>0</v>
      </c>
      <c r="BG39" s="351" t="n">
        <f aca="false">SUMPRODUCT((Projects!$G$2:$G$45="Yes")*(55&gt;=Projects!$C$2:$C$45-$B$15)*((55&lt;=Projects!$W$2:$W$45-$B$106)*1+(55&gt;Projects!$W$2:$W$45-$B$106)*(55&lt;=Projects!$W$2:$W$45+$B$17)*$B$107)*((Projects!$B$2:$B$45&gt;=$B$12)*$B$6+(Projects!$B$2:$B$45&lt;$B$12)*(Projects!$B$2:$B$45&gt;=$B$13)*$B$7+(Projects!$B$2:$B$45&lt;$B$13)*$B$8))</f>
        <v>0</v>
      </c>
      <c r="BH39" s="351" t="n">
        <f aca="false">SUMPRODUCT((Projects!$G$2:$G$45="Yes")*(56&gt;=Projects!$C$2:$C$45-$B$15)*((56&lt;=Projects!$W$2:$W$45-$B$106)*1+(56&gt;Projects!$W$2:$W$45-$B$106)*(56&lt;=Projects!$W$2:$W$45+$B$17)*$B$107)*((Projects!$B$2:$B$45&gt;=$B$12)*$B$6+(Projects!$B$2:$B$45&lt;$B$12)*(Projects!$B$2:$B$45&gt;=$B$13)*$B$7+(Projects!$B$2:$B$45&lt;$B$13)*$B$8))</f>
        <v>0</v>
      </c>
      <c r="BI39" s="351" t="n">
        <f aca="false">SUMPRODUCT((Projects!$G$2:$G$45="Yes")*(57&gt;=Projects!$C$2:$C$45-$B$15)*((57&lt;=Projects!$W$2:$W$45-$B$106)*1+(57&gt;Projects!$W$2:$W$45-$B$106)*(57&lt;=Projects!$W$2:$W$45+$B$17)*$B$107)*((Projects!$B$2:$B$45&gt;=$B$12)*$B$6+(Projects!$B$2:$B$45&lt;$B$12)*(Projects!$B$2:$B$45&gt;=$B$13)*$B$7+(Projects!$B$2:$B$45&lt;$B$13)*$B$8))</f>
        <v>0</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1175</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3.15</v>
      </c>
      <c r="R40" s="351" t="n">
        <f aca="false">SUMPRODUCT((Projects!$G$2:$G$45="Yes")*(14&gt;=Projects!$C$2:$C$45-$B$16)*((14&lt;=Projects!$W$2:$W$45-$B$106)*1+(14&gt;Projects!$W$2:$W$45-$B$106)*(14&lt;=Projects!$W$2:$W$45+$B$17)*$B$107)*((Projects!$B$2:$B$45&gt;=$B$12)*$B$9+(Projects!$B$2:$B$45&lt;$B$12)*(Projects!$B$2:$B$45&gt;=$B$13)*$B$10+(Projects!$B$2:$B$45&lt;$B$13)*$B$11))</f>
        <v>3.15</v>
      </c>
      <c r="S40" s="351" t="n">
        <f aca="false">SUMPRODUCT((Projects!$G$2:$G$45="Yes")*(15&gt;=Projects!$C$2:$C$45-$B$16)*((15&lt;=Projects!$W$2:$W$45-$B$106)*1+(15&gt;Projects!$W$2:$W$45-$B$106)*(15&lt;=Projects!$W$2:$W$45+$B$17)*$B$107)*((Projects!$B$2:$B$45&gt;=$B$12)*$B$9+(Projects!$B$2:$B$45&lt;$B$12)*(Projects!$B$2:$B$45&gt;=$B$13)*$B$10+(Projects!$B$2:$B$45&lt;$B$13)*$B$11))</f>
        <v>3.55</v>
      </c>
      <c r="T40" s="351" t="n">
        <f aca="false">SUMPRODUCT((Projects!$G$2:$G$45="Yes")*(16&gt;=Projects!$C$2:$C$45-$B$16)*((16&lt;=Projects!$W$2:$W$45-$B$106)*1+(16&gt;Projects!$W$2:$W$45-$B$106)*(16&lt;=Projects!$W$2:$W$45+$B$17)*$B$107)*((Projects!$B$2:$B$45&gt;=$B$12)*$B$9+(Projects!$B$2:$B$45&lt;$B$12)*(Projects!$B$2:$B$45&gt;=$B$13)*$B$10+(Projects!$B$2:$B$45&lt;$B$13)*$B$11))</f>
        <v>3.45</v>
      </c>
      <c r="U40" s="351" t="n">
        <f aca="false">SUMPRODUCT((Projects!$G$2:$G$45="Yes")*(17&gt;=Projects!$C$2:$C$45-$B$16)*((17&lt;=Projects!$W$2:$W$45-$B$106)*1+(17&gt;Projects!$W$2:$W$45-$B$106)*(17&lt;=Projects!$W$2:$W$45+$B$17)*$B$107)*((Projects!$B$2:$B$45&gt;=$B$12)*$B$9+(Projects!$B$2:$B$45&lt;$B$12)*(Projects!$B$2:$B$45&gt;=$B$13)*$B$10+(Projects!$B$2:$B$45&lt;$B$13)*$B$11))</f>
        <v>3.1</v>
      </c>
      <c r="V40" s="351" t="n">
        <f aca="false">SUMPRODUCT((Projects!$G$2:$G$45="Yes")*(18&gt;=Projects!$C$2:$C$45-$B$16)*((18&lt;=Projects!$W$2:$W$45-$B$106)*1+(18&gt;Projects!$W$2:$W$45-$B$106)*(18&lt;=Projects!$W$2:$W$45+$B$17)*$B$107)*((Projects!$B$2:$B$45&gt;=$B$12)*$B$9+(Projects!$B$2:$B$45&lt;$B$12)*(Projects!$B$2:$B$45&gt;=$B$13)*$B$10+(Projects!$B$2:$B$45&lt;$B$13)*$B$11))</f>
        <v>3.1</v>
      </c>
      <c r="W40" s="351" t="n">
        <f aca="false">SUMPRODUCT((Projects!$G$2:$G$45="Yes")*(19&gt;=Projects!$C$2:$C$45-$B$16)*((19&lt;=Projects!$W$2:$W$45-$B$106)*1+(19&gt;Projects!$W$2:$W$45-$B$106)*(19&lt;=Projects!$W$2:$W$45+$B$17)*$B$107)*((Projects!$B$2:$B$45&gt;=$B$12)*$B$9+(Projects!$B$2:$B$45&lt;$B$12)*(Projects!$B$2:$B$45&gt;=$B$13)*$B$10+(Projects!$B$2:$B$45&lt;$B$13)*$B$11))</f>
        <v>3</v>
      </c>
      <c r="X40" s="351" t="n">
        <f aca="false">SUMPRODUCT((Projects!$G$2:$G$45="Yes")*(20&gt;=Projects!$C$2:$C$45-$B$16)*((20&lt;=Projects!$W$2:$W$45-$B$106)*1+(20&gt;Projects!$W$2:$W$45-$B$106)*(20&lt;=Projects!$W$2:$W$45+$B$17)*$B$107)*((Projects!$B$2:$B$45&gt;=$B$12)*$B$9+(Projects!$B$2:$B$45&lt;$B$12)*(Projects!$B$2:$B$45&gt;=$B$13)*$B$10+(Projects!$B$2:$B$45&lt;$B$13)*$B$11))</f>
        <v>2.9</v>
      </c>
      <c r="Y40" s="351" t="n">
        <f aca="false">SUMPRODUCT((Projects!$G$2:$G$45="Yes")*(21&gt;=Projects!$C$2:$C$45-$B$16)*((21&lt;=Projects!$W$2:$W$45-$B$106)*1+(21&gt;Projects!$W$2:$W$45-$B$106)*(21&lt;=Projects!$W$2:$W$45+$B$17)*$B$107)*((Projects!$B$2:$B$45&gt;=$B$12)*$B$9+(Projects!$B$2:$B$45&lt;$B$12)*(Projects!$B$2:$B$45&gt;=$B$13)*$B$10+(Projects!$B$2:$B$45&lt;$B$13)*$B$11))</f>
        <v>2.7</v>
      </c>
      <c r="Z40" s="351" t="n">
        <f aca="false">SUMPRODUCT((Projects!$G$2:$G$45="Yes")*(22&gt;=Projects!$C$2:$C$45-$B$16)*((22&lt;=Projects!$W$2:$W$45-$B$106)*1+(22&gt;Projects!$W$2:$W$45-$B$106)*(22&lt;=Projects!$W$2:$W$45+$B$17)*$B$107)*((Projects!$B$2:$B$45&gt;=$B$12)*$B$9+(Projects!$B$2:$B$45&lt;$B$12)*(Projects!$B$2:$B$45&gt;=$B$13)*$B$10+(Projects!$B$2:$B$45&lt;$B$13)*$B$11))</f>
        <v>2.6</v>
      </c>
      <c r="AA40" s="351" t="n">
        <f aca="false">SUMPRODUCT((Projects!$G$2:$G$45="Yes")*(23&gt;=Projects!$C$2:$C$45-$B$16)*((23&lt;=Projects!$W$2:$W$45-$B$106)*1+(23&gt;Projects!$W$2:$W$45-$B$106)*(23&lt;=Projects!$W$2:$W$45+$B$17)*$B$107)*((Projects!$B$2:$B$45&gt;=$B$12)*$B$9+(Projects!$B$2:$B$45&lt;$B$12)*(Projects!$B$2:$B$45&gt;=$B$13)*$B$10+(Projects!$B$2:$B$45&lt;$B$13)*$B$11))</f>
        <v>2.6</v>
      </c>
      <c r="AB40" s="351" t="n">
        <f aca="false">SUMPRODUCT((Projects!$G$2:$G$45="Yes")*(24&gt;=Projects!$C$2:$C$45-$B$16)*((24&lt;=Projects!$W$2:$W$45-$B$106)*1+(24&gt;Projects!$W$2:$W$45-$B$106)*(24&lt;=Projects!$W$2:$W$45+$B$17)*$B$107)*((Projects!$B$2:$B$45&gt;=$B$12)*$B$9+(Projects!$B$2:$B$45&lt;$B$12)*(Projects!$B$2:$B$45&gt;=$B$13)*$B$10+(Projects!$B$2:$B$45&lt;$B$13)*$B$11))</f>
        <v>2.6</v>
      </c>
      <c r="AC40" s="351" t="n">
        <f aca="false">SUMPRODUCT((Projects!$G$2:$G$45="Yes")*(25&gt;=Projects!$C$2:$C$45-$B$16)*((25&lt;=Projects!$W$2:$W$45-$B$106)*1+(25&gt;Projects!$W$2:$W$45-$B$106)*(25&lt;=Projects!$W$2:$W$45+$B$17)*$B$107)*((Projects!$B$2:$B$45&gt;=$B$12)*$B$9+(Projects!$B$2:$B$45&lt;$B$12)*(Projects!$B$2:$B$45&gt;=$B$13)*$B$10+(Projects!$B$2:$B$45&lt;$B$13)*$B$11))</f>
        <v>2.5</v>
      </c>
      <c r="AD40" s="351" t="n">
        <f aca="false">SUMPRODUCT((Projects!$G$2:$G$45="Yes")*(26&gt;=Projects!$C$2:$C$45-$B$16)*((26&lt;=Projects!$W$2:$W$45-$B$106)*1+(26&gt;Projects!$W$2:$W$45-$B$106)*(26&lt;=Projects!$W$2:$W$45+$B$17)*$B$107)*((Projects!$B$2:$B$45&gt;=$B$12)*$B$9+(Projects!$B$2:$B$45&lt;$B$12)*(Projects!$B$2:$B$45&gt;=$B$13)*$B$10+(Projects!$B$2:$B$45&lt;$B$13)*$B$11))</f>
        <v>2.05</v>
      </c>
      <c r="AE40" s="351" t="n">
        <f aca="false">SUMPRODUCT((Projects!$G$2:$G$45="Yes")*(27&gt;=Projects!$C$2:$C$45-$B$16)*((27&lt;=Projects!$W$2:$W$45-$B$106)*1+(27&gt;Projects!$W$2:$W$45-$B$106)*(27&lt;=Projects!$W$2:$W$45+$B$17)*$B$107)*((Projects!$B$2:$B$45&gt;=$B$12)*$B$9+(Projects!$B$2:$B$45&lt;$B$12)*(Projects!$B$2:$B$45&gt;=$B$13)*$B$10+(Projects!$B$2:$B$45&lt;$B$13)*$B$11))</f>
        <v>1.8</v>
      </c>
      <c r="AF40" s="351" t="n">
        <f aca="false">SUMPRODUCT((Projects!$G$2:$G$45="Yes")*(28&gt;=Projects!$C$2:$C$45-$B$16)*((28&lt;=Projects!$W$2:$W$45-$B$106)*1+(28&gt;Projects!$W$2:$W$45-$B$106)*(28&lt;=Projects!$W$2:$W$45+$B$17)*$B$107)*((Projects!$B$2:$B$45&gt;=$B$12)*$B$9+(Projects!$B$2:$B$45&lt;$B$12)*(Projects!$B$2:$B$45&gt;=$B$13)*$B$10+(Projects!$B$2:$B$45&lt;$B$13)*$B$11))</f>
        <v>1.8</v>
      </c>
      <c r="AG40" s="351" t="n">
        <f aca="false">SUMPRODUCT((Projects!$G$2:$G$45="Yes")*(29&gt;=Projects!$C$2:$C$45-$B$16)*((29&lt;=Projects!$W$2:$W$45-$B$106)*1+(29&gt;Projects!$W$2:$W$45-$B$106)*(29&lt;=Projects!$W$2:$W$45+$B$17)*$B$107)*((Projects!$B$2:$B$45&gt;=$B$12)*$B$9+(Projects!$B$2:$B$45&lt;$B$12)*(Projects!$B$2:$B$45&gt;=$B$13)*$B$10+(Projects!$B$2:$B$45&lt;$B$13)*$B$11))</f>
        <v>1.8</v>
      </c>
      <c r="AH40" s="351" t="n">
        <f aca="false">SUMPRODUCT((Projects!$G$2:$G$45="Yes")*(30&gt;=Projects!$C$2:$C$45-$B$16)*((30&lt;=Projects!$W$2:$W$45-$B$106)*1+(30&gt;Projects!$W$2:$W$45-$B$106)*(30&lt;=Projects!$W$2:$W$45+$B$17)*$B$107)*((Projects!$B$2:$B$45&gt;=$B$12)*$B$9+(Projects!$B$2:$B$45&lt;$B$12)*(Projects!$B$2:$B$45&gt;=$B$13)*$B$10+(Projects!$B$2:$B$45&lt;$B$13)*$B$11))</f>
        <v>1.35</v>
      </c>
      <c r="AI40" s="351" t="n">
        <f aca="false">SUMPRODUCT((Projects!$G$2:$G$45="Yes")*(31&gt;=Projects!$C$2:$C$45-$B$16)*((31&lt;=Projects!$W$2:$W$45-$B$106)*1+(31&gt;Projects!$W$2:$W$45-$B$106)*(31&lt;=Projects!$W$2:$W$45+$B$17)*$B$107)*((Projects!$B$2:$B$45&gt;=$B$12)*$B$9+(Projects!$B$2:$B$45&lt;$B$12)*(Projects!$B$2:$B$45&gt;=$B$13)*$B$10+(Projects!$B$2:$B$45&lt;$B$13)*$B$11))</f>
        <v>1.1</v>
      </c>
      <c r="AJ40" s="351" t="n">
        <f aca="false">SUMPRODUCT((Projects!$G$2:$G$45="Yes")*(32&gt;=Projects!$C$2:$C$45-$B$16)*((32&lt;=Projects!$W$2:$W$45-$B$106)*1+(32&gt;Projects!$W$2:$W$45-$B$106)*(32&lt;=Projects!$W$2:$W$45+$B$17)*$B$107)*((Projects!$B$2:$B$45&gt;=$B$12)*$B$9+(Projects!$B$2:$B$45&lt;$B$12)*(Projects!$B$2:$B$45&gt;=$B$13)*$B$10+(Projects!$B$2:$B$45&lt;$B$13)*$B$11))</f>
        <v>1.1</v>
      </c>
      <c r="AK40" s="351" t="n">
        <f aca="false">SUMPRODUCT((Projects!$G$2:$G$45="Yes")*(33&gt;=Projects!$C$2:$C$45-$B$16)*((33&lt;=Projects!$W$2:$W$45-$B$106)*1+(33&gt;Projects!$W$2:$W$45-$B$106)*(33&lt;=Projects!$W$2:$W$45+$B$17)*$B$107)*((Projects!$B$2:$B$45&gt;=$B$12)*$B$9+(Projects!$B$2:$B$45&lt;$B$12)*(Projects!$B$2:$B$45&gt;=$B$13)*$B$10+(Projects!$B$2:$B$45&lt;$B$13)*$B$11))</f>
        <v>1.1</v>
      </c>
      <c r="AL40" s="351" t="n">
        <f aca="false">SUMPRODUCT((Projects!$G$2:$G$45="Yes")*(34&gt;=Projects!$C$2:$C$45-$B$16)*((34&lt;=Projects!$W$2:$W$45-$B$106)*1+(34&gt;Projects!$W$2:$W$45-$B$106)*(34&lt;=Projects!$W$2:$W$45+$B$17)*$B$107)*((Projects!$B$2:$B$45&gt;=$B$12)*$B$9+(Projects!$B$2:$B$45&lt;$B$12)*(Projects!$B$2:$B$45&gt;=$B$13)*$B$10+(Projects!$B$2:$B$45&lt;$B$13)*$B$11))</f>
        <v>0.75</v>
      </c>
      <c r="AM40" s="351" t="n">
        <f aca="false">SUMPRODUCT((Projects!$G$2:$G$45="Yes")*(35&gt;=Projects!$C$2:$C$45-$B$16)*((35&lt;=Projects!$W$2:$W$45-$B$106)*1+(35&gt;Projects!$W$2:$W$45-$B$106)*(35&lt;=Projects!$W$2:$W$45+$B$17)*$B$107)*((Projects!$B$2:$B$45&gt;=$B$12)*$B$9+(Projects!$B$2:$B$45&lt;$B$12)*(Projects!$B$2:$B$45&gt;=$B$13)*$B$10+(Projects!$B$2:$B$45&lt;$B$13)*$B$11))</f>
        <v>0.75</v>
      </c>
      <c r="AN40" s="351" t="n">
        <f aca="false">SUMPRODUCT((Projects!$G$2:$G$45="Yes")*(36&gt;=Projects!$C$2:$C$45-$B$16)*((36&lt;=Projects!$W$2:$W$45-$B$106)*1+(36&gt;Projects!$W$2:$W$45-$B$106)*(36&lt;=Projects!$W$2:$W$45+$B$17)*$B$107)*((Projects!$B$2:$B$45&gt;=$B$12)*$B$9+(Projects!$B$2:$B$45&lt;$B$12)*(Projects!$B$2:$B$45&gt;=$B$13)*$B$10+(Projects!$B$2:$B$45&lt;$B$13)*$B$11))</f>
        <v>0.75</v>
      </c>
      <c r="AO40" s="351" t="n">
        <f aca="false">SUMPRODUCT((Projects!$G$2:$G$45="Yes")*(37&gt;=Projects!$C$2:$C$45-$B$16)*((37&lt;=Projects!$W$2:$W$45-$B$106)*1+(37&gt;Projects!$W$2:$W$45-$B$106)*(37&lt;=Projects!$W$2:$W$45+$B$17)*$B$107)*((Projects!$B$2:$B$45&gt;=$B$12)*$B$9+(Projects!$B$2:$B$45&lt;$B$12)*(Projects!$B$2:$B$45&gt;=$B$13)*$B$10+(Projects!$B$2:$B$45&lt;$B$13)*$B$11))</f>
        <v>0.75</v>
      </c>
      <c r="AP40" s="351" t="n">
        <f aca="false">SUMPRODUCT((Projects!$G$2:$G$45="Yes")*(38&gt;=Projects!$C$2:$C$45-$B$16)*((38&lt;=Projects!$W$2:$W$45-$B$106)*1+(38&gt;Projects!$W$2:$W$45-$B$106)*(38&lt;=Projects!$W$2:$W$45+$B$17)*$B$107)*((Projects!$B$2:$B$45&gt;=$B$12)*$B$9+(Projects!$B$2:$B$45&lt;$B$12)*(Projects!$B$2:$B$45&gt;=$B$13)*$B$10+(Projects!$B$2:$B$45&lt;$B$13)*$B$11))</f>
        <v>0.5</v>
      </c>
      <c r="AQ40" s="351" t="n">
        <f aca="false">SUMPRODUCT((Projects!$G$2:$G$45="Yes")*(39&gt;=Projects!$C$2:$C$45-$B$16)*((39&lt;=Projects!$W$2:$W$45-$B$106)*1+(39&gt;Projects!$W$2:$W$45-$B$106)*(39&lt;=Projects!$W$2:$W$45+$B$17)*$B$107)*((Projects!$B$2:$B$45&gt;=$B$12)*$B$9+(Projects!$B$2:$B$45&lt;$B$12)*(Projects!$B$2:$B$45&gt;=$B$13)*$B$10+(Projects!$B$2:$B$45&lt;$B$13)*$B$11))</f>
        <v>0.5</v>
      </c>
      <c r="AR40" s="351" t="n">
        <f aca="false">SUMPRODUCT((Projects!$G$2:$G$45="Yes")*(40&gt;=Projects!$C$2:$C$45-$B$16)*((40&lt;=Projects!$W$2:$W$45-$B$106)*1+(40&gt;Projects!$W$2:$W$45-$B$106)*(40&lt;=Projects!$W$2:$W$45+$B$17)*$B$107)*((Projects!$B$2:$B$45&gt;=$B$12)*$B$9+(Projects!$B$2:$B$45&lt;$B$12)*(Projects!$B$2:$B$45&gt;=$B$13)*$B$10+(Projects!$B$2:$B$45&lt;$B$13)*$B$11))</f>
        <v>0.5</v>
      </c>
      <c r="AS40" s="351" t="n">
        <f aca="false">SUMPRODUCT((Projects!$G$2:$G$45="Yes")*(41&gt;=Projects!$C$2:$C$45-$B$16)*((41&lt;=Projects!$W$2:$W$45-$B$106)*1+(41&gt;Projects!$W$2:$W$45-$B$106)*(41&lt;=Projects!$W$2:$W$45+$B$17)*$B$107)*((Projects!$B$2:$B$45&gt;=$B$12)*$B$9+(Projects!$B$2:$B$45&lt;$B$12)*(Projects!$B$2:$B$45&gt;=$B$13)*$B$10+(Projects!$B$2:$B$45&lt;$B$13)*$B$11))</f>
        <v>0.5</v>
      </c>
      <c r="AT40" s="351" t="n">
        <f aca="false">SUMPRODUCT((Projects!$G$2:$G$45="Yes")*(42&gt;=Projects!$C$2:$C$45-$B$16)*((42&lt;=Projects!$W$2:$W$45-$B$106)*1+(42&gt;Projects!$W$2:$W$45-$B$106)*(42&lt;=Projects!$W$2:$W$45+$B$17)*$B$107)*((Projects!$B$2:$B$45&gt;=$B$12)*$B$9+(Projects!$B$2:$B$45&lt;$B$12)*(Projects!$B$2:$B$45&gt;=$B$13)*$B$10+(Projects!$B$2:$B$45&lt;$B$13)*$B$11))</f>
        <v>0.25</v>
      </c>
      <c r="AU40" s="351" t="n">
        <f aca="false">SUMPRODUCT((Projects!$G$2:$G$45="Yes")*(43&gt;=Projects!$C$2:$C$45-$B$16)*((43&lt;=Projects!$W$2:$W$45-$B$106)*1+(43&gt;Projects!$W$2:$W$45-$B$106)*(43&lt;=Projects!$W$2:$W$45+$B$17)*$B$107)*((Projects!$B$2:$B$45&gt;=$B$12)*$B$9+(Projects!$B$2:$B$45&lt;$B$12)*(Projects!$B$2:$B$45&gt;=$B$13)*$B$10+(Projects!$B$2:$B$45&lt;$B$13)*$B$11))</f>
        <v>0.25</v>
      </c>
      <c r="AV40" s="351" t="n">
        <f aca="false">SUMPRODUCT((Projects!$G$2:$G$45="Yes")*(44&gt;=Projects!$C$2:$C$45-$B$16)*((44&lt;=Projects!$W$2:$W$45-$B$106)*1+(44&gt;Projects!$W$2:$W$45-$B$106)*(44&lt;=Projects!$W$2:$W$45+$B$17)*$B$107)*((Projects!$B$2:$B$45&gt;=$B$12)*$B$9+(Projects!$B$2:$B$45&lt;$B$12)*(Projects!$B$2:$B$45&gt;=$B$13)*$B$10+(Projects!$B$2:$B$45&lt;$B$13)*$B$11))</f>
        <v>0.25</v>
      </c>
      <c r="AW40" s="351" t="n">
        <f aca="false">SUMPRODUCT((Projects!$G$2:$G$45="Yes")*(45&gt;=Projects!$C$2:$C$45-$B$16)*((45&lt;=Projects!$W$2:$W$45-$B$106)*1+(45&gt;Projects!$W$2:$W$45-$B$106)*(45&lt;=Projects!$W$2:$W$45+$B$17)*$B$107)*((Projects!$B$2:$B$45&gt;=$B$12)*$B$9+(Projects!$B$2:$B$45&lt;$B$12)*(Projects!$B$2:$B$45&gt;=$B$13)*$B$10+(Projects!$B$2:$B$45&lt;$B$13)*$B$11))</f>
        <v>0.25</v>
      </c>
      <c r="AX40" s="351" t="n">
        <f aca="false">SUMPRODUCT((Projects!$G$2:$G$45="Yes")*(46&gt;=Projects!$C$2:$C$45-$B$16)*((46&lt;=Projects!$W$2:$W$45-$B$106)*1+(46&gt;Projects!$W$2:$W$45-$B$106)*(46&lt;=Projects!$W$2:$W$45+$B$17)*$B$107)*((Projects!$B$2:$B$45&gt;=$B$12)*$B$9+(Projects!$B$2:$B$45&lt;$B$12)*(Projects!$B$2:$B$45&gt;=$B$13)*$B$10+(Projects!$B$2:$B$45&lt;$B$13)*$B$11))</f>
        <v>0</v>
      </c>
      <c r="AY40" s="351" t="n">
        <f aca="false">SUMPRODUCT((Projects!$G$2:$G$45="Yes")*(47&gt;=Projects!$C$2:$C$45-$B$16)*((47&lt;=Projects!$W$2:$W$45-$B$106)*1+(47&gt;Projects!$W$2:$W$45-$B$106)*(47&lt;=Projects!$W$2:$W$45+$B$17)*$B$107)*((Projects!$B$2:$B$45&gt;=$B$12)*$B$9+(Projects!$B$2:$B$45&lt;$B$12)*(Projects!$B$2:$B$45&gt;=$B$13)*$B$10+(Projects!$B$2:$B$45&lt;$B$13)*$B$11))</f>
        <v>0</v>
      </c>
      <c r="AZ40" s="351" t="n">
        <f aca="false">SUMPRODUCT((Projects!$G$2:$G$45="Yes")*(48&gt;=Projects!$C$2:$C$45-$B$16)*((48&lt;=Projects!$W$2:$W$45-$B$106)*1+(48&gt;Projects!$W$2:$W$45-$B$106)*(48&lt;=Projects!$W$2:$W$45+$B$17)*$B$107)*((Projects!$B$2:$B$45&gt;=$B$12)*$B$9+(Projects!$B$2:$B$45&lt;$B$12)*(Projects!$B$2:$B$45&gt;=$B$13)*$B$10+(Projects!$B$2:$B$45&lt;$B$13)*$B$11))</f>
        <v>0</v>
      </c>
      <c r="BA40" s="351" t="n">
        <f aca="false">SUMPRODUCT((Projects!$G$2:$G$45="Yes")*(49&gt;=Projects!$C$2:$C$45-$B$16)*((49&lt;=Projects!$W$2:$W$45-$B$106)*1+(49&gt;Projects!$W$2:$W$45-$B$106)*(49&lt;=Projects!$W$2:$W$45+$B$17)*$B$107)*((Projects!$B$2:$B$45&gt;=$B$12)*$B$9+(Projects!$B$2:$B$45&lt;$B$12)*(Projects!$B$2:$B$45&gt;=$B$13)*$B$10+(Projects!$B$2:$B$45&lt;$B$13)*$B$11))</f>
        <v>0</v>
      </c>
      <c r="BB40" s="351" t="n">
        <f aca="false">SUMPRODUCT((Projects!$G$2:$G$45="Yes")*(50&gt;=Projects!$C$2:$C$45-$B$16)*((50&lt;=Projects!$W$2:$W$45-$B$106)*1+(50&gt;Projects!$W$2:$W$45-$B$106)*(50&lt;=Projects!$W$2:$W$45+$B$17)*$B$107)*((Projects!$B$2:$B$45&gt;=$B$12)*$B$9+(Projects!$B$2:$B$45&lt;$B$12)*(Projects!$B$2:$B$45&gt;=$B$13)*$B$10+(Projects!$B$2:$B$45&lt;$B$13)*$B$11))</f>
        <v>0</v>
      </c>
      <c r="BC40" s="351" t="n">
        <f aca="false">SUMPRODUCT((Projects!$G$2:$G$45="Yes")*(51&gt;=Projects!$C$2:$C$45-$B$16)*((51&lt;=Projects!$W$2:$W$45-$B$106)*1+(51&gt;Projects!$W$2:$W$45-$B$106)*(51&lt;=Projects!$W$2:$W$45+$B$17)*$B$107)*((Projects!$B$2:$B$45&gt;=$B$12)*$B$9+(Projects!$B$2:$B$45&lt;$B$12)*(Projects!$B$2:$B$45&gt;=$B$13)*$B$10+(Projects!$B$2:$B$45&lt;$B$13)*$B$11))</f>
        <v>0</v>
      </c>
      <c r="BD40" s="351" t="n">
        <f aca="false">SUMPRODUCT((Projects!$G$2:$G$45="Yes")*(52&gt;=Projects!$C$2:$C$45-$B$16)*((52&lt;=Projects!$W$2:$W$45-$B$106)*1+(52&gt;Projects!$W$2:$W$45-$B$106)*(52&lt;=Projects!$W$2:$W$45+$B$17)*$B$107)*((Projects!$B$2:$B$45&gt;=$B$12)*$B$9+(Projects!$B$2:$B$45&lt;$B$12)*(Projects!$B$2:$B$45&gt;=$B$13)*$B$10+(Projects!$B$2:$B$45&lt;$B$13)*$B$11))</f>
        <v>0</v>
      </c>
      <c r="BE40" s="351" t="n">
        <f aca="false">SUMPRODUCT((Projects!$G$2:$G$45="Yes")*(53&gt;=Projects!$C$2:$C$45-$B$16)*((53&lt;=Projects!$W$2:$W$45-$B$106)*1+(53&gt;Projects!$W$2:$W$45-$B$106)*(53&lt;=Projects!$W$2:$W$45+$B$17)*$B$107)*((Projects!$B$2:$B$45&gt;=$B$12)*$B$9+(Projects!$B$2:$B$45&lt;$B$12)*(Projects!$B$2:$B$45&gt;=$B$13)*$B$10+(Projects!$B$2:$B$45&lt;$B$13)*$B$11))</f>
        <v>0</v>
      </c>
      <c r="BF40" s="351" t="n">
        <f aca="false">SUMPRODUCT((Projects!$G$2:$G$45="Yes")*(54&gt;=Projects!$C$2:$C$45-$B$16)*((54&lt;=Projects!$W$2:$W$45-$B$106)*1+(54&gt;Projects!$W$2:$W$45-$B$106)*(54&lt;=Projects!$W$2:$W$45+$B$17)*$B$107)*((Projects!$B$2:$B$45&gt;=$B$12)*$B$9+(Projects!$B$2:$B$45&lt;$B$12)*(Projects!$B$2:$B$45&gt;=$B$13)*$B$10+(Projects!$B$2:$B$45&lt;$B$13)*$B$11))</f>
        <v>0</v>
      </c>
      <c r="BG40" s="351" t="n">
        <f aca="false">SUMPRODUCT((Projects!$G$2:$G$45="Yes")*(55&gt;=Projects!$C$2:$C$45-$B$16)*((55&lt;=Projects!$W$2:$W$45-$B$106)*1+(55&gt;Projects!$W$2:$W$45-$B$106)*(55&lt;=Projects!$W$2:$W$45+$B$17)*$B$107)*((Projects!$B$2:$B$45&gt;=$B$12)*$B$9+(Projects!$B$2:$B$45&lt;$B$12)*(Projects!$B$2:$B$45&gt;=$B$13)*$B$10+(Projects!$B$2:$B$45&lt;$B$13)*$B$11))</f>
        <v>0</v>
      </c>
      <c r="BH40" s="351" t="n">
        <f aca="false">SUMPRODUCT((Projects!$G$2:$G$45="Yes")*(56&gt;=Projects!$C$2:$C$45-$B$16)*((56&lt;=Projects!$W$2:$W$45-$B$106)*1+(56&gt;Projects!$W$2:$W$45-$B$106)*(56&lt;=Projects!$W$2:$W$45+$B$17)*$B$107)*((Projects!$B$2:$B$45&gt;=$B$12)*$B$9+(Projects!$B$2:$B$45&lt;$B$12)*(Projects!$B$2:$B$45&gt;=$B$13)*$B$10+(Projects!$B$2:$B$45&lt;$B$13)*$B$11))</f>
        <v>0</v>
      </c>
      <c r="BI40" s="351" t="n">
        <f aca="false">SUMPRODUCT((Projects!$G$2:$G$45="Yes")*(57&gt;=Projects!$C$2:$C$45-$B$16)*((57&lt;=Projects!$W$2:$W$45-$B$106)*1+(57&gt;Projects!$W$2:$W$45-$B$106)*(57&lt;=Projects!$W$2:$W$45+$B$17)*$B$107)*((Projects!$B$2:$B$45&gt;=$B$12)*$B$9+(Projects!$B$2:$B$45&lt;$B$12)*(Projects!$B$2:$B$45&gt;=$B$13)*$B$10+(Projects!$B$2:$B$45&lt;$B$13)*$B$11))</f>
        <v>0</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1176</v>
      </c>
      <c r="B42" s="210"/>
      <c r="C42" s="210"/>
      <c r="D42" s="210"/>
      <c r="E42" s="210"/>
      <c r="F42" s="210"/>
    </row>
    <row r="43" customFormat="false" ht="13.5" hidden="false" customHeight="true" outlineLevel="0" collapsed="false">
      <c r="A43" s="109" t="s">
        <v>1177</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1178</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1179</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1180</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1181</v>
      </c>
      <c r="B48" s="210"/>
      <c r="C48" s="210"/>
      <c r="D48" s="210"/>
      <c r="E48" s="210"/>
      <c r="F48" s="210"/>
    </row>
    <row r="49" customFormat="false" ht="13.5" hidden="false" customHeight="true" outlineLevel="0" collapsed="false">
      <c r="A49" s="109" t="s">
        <v>1182</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0</v>
      </c>
      <c r="AE49" s="352" t="n">
        <f aca="false">IF(27&lt;5,0,IF(MAX(Z38:AE38)&gt;AE43+0+$B$18,1,0))</f>
        <v>0</v>
      </c>
      <c r="AF49" s="352" t="n">
        <f aca="false">IF(28&lt;5,0,IF(MAX(AA38:AF38)&gt;AF43+0+$B$18,1,0))</f>
        <v>0</v>
      </c>
      <c r="AG49" s="352" t="n">
        <f aca="false">IF(29&lt;5,0,IF(MAX(AB38:AG38)&gt;AG43+0+$B$18,1,0))</f>
        <v>0</v>
      </c>
      <c r="AH49" s="352" t="n">
        <f aca="false">IF(30&lt;5,0,IF(MAX(AC38:AH38)&gt;AH43+0+$B$18,1,0))</f>
        <v>0</v>
      </c>
      <c r="AI49" s="352" t="n">
        <f aca="false">IF(31&lt;5,0,IF(MAX(AD38:AI38)&gt;AI43+0+$B$18,1,0))</f>
        <v>0</v>
      </c>
      <c r="AJ49" s="352" t="n">
        <f aca="false">IF(32&lt;5,0,IF(MAX(AE38:AJ38)&gt;AJ43+0+$B$18,1,0))</f>
        <v>0</v>
      </c>
      <c r="AK49" s="352" t="n">
        <f aca="false">IF(33&lt;5,0,IF(MAX(AF38:AK38)&gt;AK43+0+$B$18,1,0))</f>
        <v>0</v>
      </c>
      <c r="AL49" s="352" t="n">
        <f aca="false">IF(34&lt;5,0,IF(MAX(AG38:AL38)&gt;AL43+0+$B$18,1,0))</f>
        <v>0</v>
      </c>
      <c r="AM49" s="352" t="n">
        <f aca="false">IF(35&lt;5,0,IF(MAX(AH38:AM38)&gt;AM43+0+$B$18,1,0))</f>
        <v>0</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1183</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0</v>
      </c>
      <c r="AD50" s="352" t="n">
        <f aca="false">IF(26&lt;5,0,IF(MAX(Y38:AD38)&gt;AD43+1+$B$18,1,0))</f>
        <v>0</v>
      </c>
      <c r="AE50" s="352" t="n">
        <f aca="false">IF(27&lt;5,0,IF(MAX(Z38:AE38)&gt;AE43+1+$B$18,1,0))</f>
        <v>0</v>
      </c>
      <c r="AF50" s="352" t="n">
        <f aca="false">IF(28&lt;5,0,IF(MAX(AA38:AF38)&gt;AF43+1+$B$18,1,0))</f>
        <v>0</v>
      </c>
      <c r="AG50" s="352" t="n">
        <f aca="false">IF(29&lt;5,0,IF(MAX(AB38:AG38)&gt;AG43+1+$B$18,1,0))</f>
        <v>0</v>
      </c>
      <c r="AH50" s="352" t="n">
        <f aca="false">IF(30&lt;5,0,IF(MAX(AC38:AH38)&gt;AH43+1+$B$18,1,0))</f>
        <v>0</v>
      </c>
      <c r="AI50" s="352" t="n">
        <f aca="false">IF(31&lt;5,0,IF(MAX(AD38:AI38)&gt;AI43+1+$B$18,1,0))</f>
        <v>0</v>
      </c>
      <c r="AJ50" s="352" t="n">
        <f aca="false">IF(32&lt;5,0,IF(MAX(AE38:AJ38)&gt;AJ43+1+$B$18,1,0))</f>
        <v>0</v>
      </c>
      <c r="AK50" s="352" t="n">
        <f aca="false">IF(33&lt;5,0,IF(MAX(AF38:AK38)&gt;AK43+1+$B$18,1,0))</f>
        <v>0</v>
      </c>
      <c r="AL50" s="352" t="n">
        <f aca="false">IF(34&lt;5,0,IF(MAX(AG38:AL38)&gt;AL43+1+$B$18,1,0))</f>
        <v>0</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1184</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0</v>
      </c>
      <c r="AC51" s="352" t="n">
        <f aca="false">IF(25&lt;5,0,IF(MAX(X38:AC38)&gt;AC43+2+$B$18,1,0))</f>
        <v>0</v>
      </c>
      <c r="AD51" s="352" t="n">
        <f aca="false">IF(26&lt;5,0,IF(MAX(Y38:AD38)&gt;AD43+2+$B$18,1,0))</f>
        <v>0</v>
      </c>
      <c r="AE51" s="352" t="n">
        <f aca="false">IF(27&lt;5,0,IF(MAX(Z38:AE38)&gt;AE43+2+$B$18,1,0))</f>
        <v>0</v>
      </c>
      <c r="AF51" s="352" t="n">
        <f aca="false">IF(28&lt;5,0,IF(MAX(AA38:AF38)&gt;AF43+2+$B$18,1,0))</f>
        <v>0</v>
      </c>
      <c r="AG51" s="352" t="n">
        <f aca="false">IF(29&lt;5,0,IF(MAX(AB38:AG38)&gt;AG43+2+$B$18,1,0))</f>
        <v>0</v>
      </c>
      <c r="AH51" s="352" t="n">
        <f aca="false">IF(30&lt;5,0,IF(MAX(AC38:AH38)&gt;AH43+2+$B$18,1,0))</f>
        <v>0</v>
      </c>
      <c r="AI51" s="352" t="n">
        <f aca="false">IF(31&lt;5,0,IF(MAX(AD38:AI38)&gt;AI43+2+$B$18,1,0))</f>
        <v>0</v>
      </c>
      <c r="AJ51" s="352" t="n">
        <f aca="false">IF(32&lt;5,0,IF(MAX(AE38:AJ38)&gt;AJ43+2+$B$18,1,0))</f>
        <v>0</v>
      </c>
      <c r="AK51" s="352" t="n">
        <f aca="false">IF(33&lt;5,0,IF(MAX(AF38:AK38)&gt;AK43+2+$B$18,1,0))</f>
        <v>0</v>
      </c>
      <c r="AL51" s="352" t="n">
        <f aca="false">IF(34&lt;5,0,IF(MAX(AG38:AL38)&gt;AL43+2+$B$18,1,0))</f>
        <v>0</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1185</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0</v>
      </c>
      <c r="R52" s="352" t="n">
        <f aca="false">IF(14&lt;5,0,IF(MAX(M38:R38)&gt;R43+3+$B$18,1,0))</f>
        <v>0</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0</v>
      </c>
      <c r="AA52" s="352" t="n">
        <f aca="false">IF(23&lt;5,0,IF(MAX(V38:AA38)&gt;AA43+3+$B$18,1,0))</f>
        <v>0</v>
      </c>
      <c r="AB52" s="352" t="n">
        <f aca="false">IF(24&lt;5,0,IF(MAX(W38:AB38)&gt;AB43+3+$B$18,1,0))</f>
        <v>0</v>
      </c>
      <c r="AC52" s="352" t="n">
        <f aca="false">IF(25&lt;5,0,IF(MAX(X38:AC38)&gt;AC43+3+$B$18,1,0))</f>
        <v>0</v>
      </c>
      <c r="AD52" s="352" t="n">
        <f aca="false">IF(26&lt;5,0,IF(MAX(Y38:AD38)&gt;AD43+3+$B$18,1,0))</f>
        <v>0</v>
      </c>
      <c r="AE52" s="352" t="n">
        <f aca="false">IF(27&lt;5,0,IF(MAX(Z38:AE38)&gt;AE43+3+$B$18,1,0))</f>
        <v>0</v>
      </c>
      <c r="AF52" s="352" t="n">
        <f aca="false">IF(28&lt;5,0,IF(MAX(AA38:AF38)&gt;AF43+3+$B$18,1,0))</f>
        <v>0</v>
      </c>
      <c r="AG52" s="352" t="n">
        <f aca="false">IF(29&lt;5,0,IF(MAX(AB38:AG38)&gt;AG43+3+$B$18,1,0))</f>
        <v>0</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1186</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0</v>
      </c>
      <c r="S53" s="352" t="n">
        <f aca="false">IF(15&lt;5,0,IF(MAX(N38:S38)&gt;S43+4+$B$18,1,0))</f>
        <v>0</v>
      </c>
      <c r="T53" s="352" t="n">
        <f aca="false">IF(16&lt;5,0,IF(MAX(O38:T38)&gt;T43+4+$B$18,1,0))</f>
        <v>0</v>
      </c>
      <c r="U53" s="352" t="n">
        <f aca="false">IF(17&lt;5,0,IF(MAX(P38:U38)&gt;U43+4+$B$18,1,0))</f>
        <v>0</v>
      </c>
      <c r="V53" s="352" t="n">
        <f aca="false">IF(18&lt;5,0,IF(MAX(Q38:V38)&gt;V43+4+$B$18,1,0))</f>
        <v>0</v>
      </c>
      <c r="W53" s="352" t="n">
        <f aca="false">IF(19&lt;5,0,IF(MAX(R38:W38)&gt;W43+4+$B$18,1,0))</f>
        <v>0</v>
      </c>
      <c r="X53" s="352" t="n">
        <f aca="false">IF(20&lt;5,0,IF(MAX(S38:X38)&gt;X43+4+$B$18,1,0))</f>
        <v>0</v>
      </c>
      <c r="Y53" s="352" t="n">
        <f aca="false">IF(21&lt;5,0,IF(MAX(T38:Y38)&gt;Y43+4+$B$18,1,0))</f>
        <v>0</v>
      </c>
      <c r="Z53" s="352" t="n">
        <f aca="false">IF(22&lt;5,0,IF(MAX(U38:Z38)&gt;Z43+4+$B$18,1,0))</f>
        <v>0</v>
      </c>
      <c r="AA53" s="352" t="n">
        <f aca="false">IF(23&lt;5,0,IF(MAX(V38:AA38)&gt;AA43+4+$B$18,1,0))</f>
        <v>0</v>
      </c>
      <c r="AB53" s="352" t="n">
        <f aca="false">IF(24&lt;5,0,IF(MAX(W38:AB38)&gt;AB43+4+$B$18,1,0))</f>
        <v>0</v>
      </c>
      <c r="AC53" s="352" t="n">
        <f aca="false">IF(25&lt;5,0,IF(MAX(X38:AC38)&gt;AC43+4+$B$18,1,0))</f>
        <v>0</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1187</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1188</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1189</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1190</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1191</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1192</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0</v>
      </c>
      <c r="AE61" s="352" t="n">
        <f aca="false">IF(27&lt;5,0,IF(MAX(Z39:AE39)&gt;AE44+0+$B$18,1,0))</f>
        <v>0</v>
      </c>
      <c r="AF61" s="352" t="n">
        <f aca="false">IF(28&lt;5,0,IF(MAX(AA39:AF39)&gt;AF44+0+$B$18,1,0))</f>
        <v>0</v>
      </c>
      <c r="AG61" s="352" t="n">
        <f aca="false">IF(29&lt;5,0,IF(MAX(AB39:AG39)&gt;AG44+0+$B$18,1,0))</f>
        <v>0</v>
      </c>
      <c r="AH61" s="352" t="n">
        <f aca="false">IF(30&lt;5,0,IF(MAX(AC39:AH39)&gt;AH44+0+$B$18,1,0))</f>
        <v>0</v>
      </c>
      <c r="AI61" s="352" t="n">
        <f aca="false">IF(31&lt;5,0,IF(MAX(AD39:AI39)&gt;AI44+0+$B$18,1,0))</f>
        <v>0</v>
      </c>
      <c r="AJ61" s="352" t="n">
        <f aca="false">IF(32&lt;5,0,IF(MAX(AE39:AJ39)&gt;AJ44+0+$B$18,1,0))</f>
        <v>0</v>
      </c>
      <c r="AK61" s="352" t="n">
        <f aca="false">IF(33&lt;5,0,IF(MAX(AF39:AK39)&gt;AK44+0+$B$18,1,0))</f>
        <v>0</v>
      </c>
      <c r="AL61" s="352" t="n">
        <f aca="false">IF(34&lt;5,0,IF(MAX(AG39:AL39)&gt;AL44+0+$B$18,1,0))</f>
        <v>0</v>
      </c>
      <c r="AM61" s="352" t="n">
        <f aca="false">IF(35&lt;5,0,IF(MAX(AH39:AM39)&gt;AM44+0+$B$18,1,0))</f>
        <v>0</v>
      </c>
      <c r="AN61" s="352" t="n">
        <f aca="false">IF(36&lt;5,0,IF(MAX(AI39:AN39)&gt;AN44+0+$B$18,1,0))</f>
        <v>0</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1193</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0</v>
      </c>
      <c r="T62" s="352" t="n">
        <f aca="false">IF(16&lt;5,0,IF(MAX(O39:T39)&gt;T44+1+$B$18,1,0))</f>
        <v>0</v>
      </c>
      <c r="U62" s="352" t="n">
        <f aca="false">IF(17&lt;5,0,IF(MAX(P39:U39)&gt;U44+1+$B$18,1,0))</f>
        <v>0</v>
      </c>
      <c r="V62" s="352" t="n">
        <f aca="false">IF(18&lt;5,0,IF(MAX(Q39:V39)&gt;V44+1+$B$18,1,0))</f>
        <v>0</v>
      </c>
      <c r="W62" s="352" t="n">
        <f aca="false">IF(19&lt;5,0,IF(MAX(R39:W39)&gt;W44+1+$B$18,1,0))</f>
        <v>0</v>
      </c>
      <c r="X62" s="352" t="n">
        <f aca="false">IF(20&lt;5,0,IF(MAX(S39:X39)&gt;X44+1+$B$18,1,0))</f>
        <v>0</v>
      </c>
      <c r="Y62" s="352" t="n">
        <f aca="false">IF(21&lt;5,0,IF(MAX(T39:Y39)&gt;Y44+1+$B$18,1,0))</f>
        <v>0</v>
      </c>
      <c r="Z62" s="352" t="n">
        <f aca="false">IF(22&lt;5,0,IF(MAX(U39:Z39)&gt;Z44+1+$B$18,1,0))</f>
        <v>0</v>
      </c>
      <c r="AA62" s="352" t="n">
        <f aca="false">IF(23&lt;5,0,IF(MAX(V39:AA39)&gt;AA44+1+$B$18,1,0))</f>
        <v>0</v>
      </c>
      <c r="AB62" s="352" t="n">
        <f aca="false">IF(24&lt;5,0,IF(MAX(W39:AB39)&gt;AB44+1+$B$18,1,0))</f>
        <v>0</v>
      </c>
      <c r="AC62" s="352" t="n">
        <f aca="false">IF(25&lt;5,0,IF(MAX(X39:AC39)&gt;AC44+1+$B$18,1,0))</f>
        <v>0</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1194</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1195</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1196</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1197</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1198</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1199</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1200</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0</v>
      </c>
      <c r="AA71" s="352" t="n">
        <f aca="false">IF(23&lt;5,0,IF(MAX(V40:AA40)&gt;AA45+0+$B$18,1,0))</f>
        <v>0</v>
      </c>
      <c r="AB71" s="352" t="n">
        <f aca="false">IF(24&lt;5,0,IF(MAX(W40:AB40)&gt;AB45+0+$B$18,1,0))</f>
        <v>0</v>
      </c>
      <c r="AC71" s="352" t="n">
        <f aca="false">IF(25&lt;5,0,IF(MAX(X40:AC40)&gt;AC45+0+$B$18,1,0))</f>
        <v>0</v>
      </c>
      <c r="AD71" s="352" t="n">
        <f aca="false">IF(26&lt;5,0,IF(MAX(Y40:AD40)&gt;AD45+0+$B$18,1,0))</f>
        <v>0</v>
      </c>
      <c r="AE71" s="352" t="n">
        <f aca="false">IF(27&lt;5,0,IF(MAX(Z40:AE40)&gt;AE45+0+$B$18,1,0))</f>
        <v>0</v>
      </c>
      <c r="AF71" s="352" t="n">
        <f aca="false">IF(28&lt;5,0,IF(MAX(AA40:AF40)&gt;AF45+0+$B$18,1,0))</f>
        <v>0</v>
      </c>
      <c r="AG71" s="352" t="n">
        <f aca="false">IF(29&lt;5,0,IF(MAX(AB40:AG40)&gt;AG45+0+$B$18,1,0))</f>
        <v>0</v>
      </c>
      <c r="AH71" s="352" t="n">
        <f aca="false">IF(30&lt;5,0,IF(MAX(AC40:AH40)&gt;AH45+0+$B$18,1,0))</f>
        <v>0</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1201</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1202</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1203</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1204</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0</v>
      </c>
      <c r="AB77" s="352" t="n">
        <f aca="false">IF(24&lt;5,0,IF(MAX(W37:AB37)&gt;=$B$22,1,0))</f>
        <v>0</v>
      </c>
      <c r="AC77" s="352" t="n">
        <f aca="false">IF(25&lt;5,0,IF(MAX(X37:AC37)&gt;=$B$22,1,0))</f>
        <v>0</v>
      </c>
      <c r="AD77" s="352" t="n">
        <f aca="false">IF(26&lt;5,0,IF(MAX(Y37:AD37)&gt;=$B$22,1,0))</f>
        <v>0</v>
      </c>
      <c r="AE77" s="352" t="n">
        <f aca="false">IF(27&lt;5,0,IF(MAX(Z37:AE37)&gt;=$B$22,1,0))</f>
        <v>0</v>
      </c>
      <c r="AF77" s="352" t="n">
        <f aca="false">IF(28&lt;5,0,IF(MAX(AA37:AF37)&gt;=$B$22,1,0))</f>
        <v>0</v>
      </c>
      <c r="AG77" s="352" t="n">
        <f aca="false">IF(29&lt;5,0,IF(MAX(AB37:AG37)&gt;=$B$22,1,0))</f>
        <v>0</v>
      </c>
      <c r="AH77" s="352" t="n">
        <f aca="false">IF(30&lt;5,0,IF(MAX(AC37:AH37)&gt;=$B$22,1,0))</f>
        <v>0</v>
      </c>
      <c r="AI77" s="352" t="n">
        <f aca="false">IF(31&lt;5,0,IF(MAX(AD37:AI37)&gt;=$B$22,1,0))</f>
        <v>0</v>
      </c>
      <c r="AJ77" s="352" t="n">
        <f aca="false">IF(32&lt;5,0,IF(MAX(AE37:AJ37)&gt;=$B$22,1,0))</f>
        <v>0</v>
      </c>
      <c r="AK77" s="352" t="n">
        <f aca="false">IF(33&lt;5,0,IF(MAX(AF37:AK37)&gt;=$B$22,1,0))</f>
        <v>0</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1205</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0</v>
      </c>
      <c r="S78" s="352" t="n">
        <f aca="false">IF(15&lt;5,0,IF(MAX(N37:S37)&gt;=$B$23,1,0))</f>
        <v>0</v>
      </c>
      <c r="T78" s="352" t="n">
        <f aca="false">IF(16&lt;5,0,IF(MAX(O37:T37)&gt;=$B$23,1,0))</f>
        <v>0</v>
      </c>
      <c r="U78" s="352" t="n">
        <f aca="false">IF(17&lt;5,0,IF(MAX(P37:U37)&gt;=$B$23,1,0))</f>
        <v>0</v>
      </c>
      <c r="V78" s="352" t="n">
        <f aca="false">IF(18&lt;5,0,IF(MAX(Q37:V37)&gt;=$B$23,1,0))</f>
        <v>0</v>
      </c>
      <c r="W78" s="352" t="n">
        <f aca="false">IF(19&lt;5,0,IF(MAX(R37:W37)&gt;=$B$23,1,0))</f>
        <v>0</v>
      </c>
      <c r="X78" s="352" t="n">
        <f aca="false">IF(20&lt;5,0,IF(MAX(S37:X37)&gt;=$B$23,1,0))</f>
        <v>0</v>
      </c>
      <c r="Y78" s="352" t="n">
        <f aca="false">IF(21&lt;5,0,IF(MAX(T37:Y37)&gt;=$B$23,1,0))</f>
        <v>0</v>
      </c>
      <c r="Z78" s="352" t="n">
        <f aca="false">IF(22&lt;5,0,IF(MAX(U37:Z37)&gt;=$B$23,1,0))</f>
        <v>0</v>
      </c>
      <c r="AA78" s="352" t="n">
        <f aca="false">IF(23&lt;5,0,IF(MAX(V37:AA37)&gt;=$B$23,1,0))</f>
        <v>0</v>
      </c>
      <c r="AB78" s="352" t="n">
        <f aca="false">IF(24&lt;5,0,IF(MAX(W37:AB37)&gt;=$B$23,1,0))</f>
        <v>0</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1206</v>
      </c>
      <c r="B80" s="210"/>
      <c r="C80" s="210"/>
      <c r="D80" s="210"/>
      <c r="E80" s="210"/>
      <c r="F80" s="210"/>
    </row>
    <row r="81" customFormat="false" ht="13.5" hidden="false" customHeight="true" outlineLevel="0" collapsed="false">
      <c r="A81" s="109" t="s">
        <v>1207</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93333.3333333333</v>
      </c>
      <c r="R81" s="353" t="n">
        <f aca="false">(SUMPRODUCT($B$49:$B$58,R49:R58)+SUMPRODUCT($B$61:$B$68,R61:R68)+SUMPRODUCT($B$71:$B$74,R71:R74)+SUMPRODUCT($B$77:$B$78,R77:R78)+SUMPRODUCT($B$99:$B$104,R99:R104))/12</f>
        <v>93333.3333333333</v>
      </c>
      <c r="S81" s="353" t="n">
        <f aca="false">(SUMPRODUCT($B$49:$B$58,S49:S58)+SUMPRODUCT($B$61:$B$68,S61:S68)+SUMPRODUCT($B$71:$B$74,S71:S74)+SUMPRODUCT($B$77:$B$78,S77:S78)+SUMPRODUCT($B$99:$B$104,S99:S104))/12</f>
        <v>117083.333333333</v>
      </c>
      <c r="T81" s="353" t="n">
        <f aca="false">(SUMPRODUCT($B$49:$B$58,T49:T58)+SUMPRODUCT($B$61:$B$68,T61:T68)+SUMPRODUCT($B$71:$B$74,T71:T74)+SUMPRODUCT($B$77:$B$78,T77:T78)+SUMPRODUCT($B$99:$B$104,T99:T104))/12</f>
        <v>117083.333333333</v>
      </c>
      <c r="U81" s="353" t="n">
        <f aca="false">(SUMPRODUCT($B$49:$B$58,U49:U58)+SUMPRODUCT($B$61:$B$68,U61:U68)+SUMPRODUCT($B$71:$B$74,U71:U74)+SUMPRODUCT($B$77:$B$78,U77:U78)+SUMPRODUCT($B$99:$B$104,U99:U104))/12</f>
        <v>117083.333333333</v>
      </c>
      <c r="V81" s="353" t="n">
        <f aca="false">(SUMPRODUCT($B$49:$B$58,V49:V58)+SUMPRODUCT($B$61:$B$68,V61:V68)+SUMPRODUCT($B$71:$B$74,V71:V74)+SUMPRODUCT($B$77:$B$78,V77:V78)+SUMPRODUCT($B$99:$B$104,V99:V104))/12</f>
        <v>117083.333333333</v>
      </c>
      <c r="W81" s="353" t="n">
        <f aca="false">(SUMPRODUCT($B$49:$B$58,W49:W58)+SUMPRODUCT($B$61:$B$68,W61:W68)+SUMPRODUCT($B$71:$B$74,W71:W74)+SUMPRODUCT($B$77:$B$78,W77:W78)+SUMPRODUCT($B$99:$B$104,W99:W104))/12</f>
        <v>117083.333333333</v>
      </c>
      <c r="X81" s="353" t="n">
        <f aca="false">(SUMPRODUCT($B$49:$B$58,X49:X58)+SUMPRODUCT($B$61:$B$68,X61:X68)+SUMPRODUCT($B$71:$B$74,X71:X74)+SUMPRODUCT($B$77:$B$78,X77:X78)+SUMPRODUCT($B$99:$B$104,X99:X104))/12</f>
        <v>117083.333333333</v>
      </c>
      <c r="Y81" s="353" t="n">
        <f aca="false">(SUMPRODUCT($B$49:$B$58,Y49:Y58)+SUMPRODUCT($B$61:$B$68,Y61:Y68)+SUMPRODUCT($B$71:$B$74,Y71:Y74)+SUMPRODUCT($B$77:$B$78,Y77:Y78)+SUMPRODUCT($B$99:$B$104,Y99:Y104))/12</f>
        <v>117083.333333333</v>
      </c>
      <c r="Z81" s="353" t="n">
        <f aca="false">(SUMPRODUCT($B$49:$B$58,Z49:Z58)+SUMPRODUCT($B$61:$B$68,Z61:Z68)+SUMPRODUCT($B$71:$B$74,Z71:Z74)+SUMPRODUCT($B$77:$B$78,Z77:Z78)+SUMPRODUCT($B$99:$B$104,Z99:Z104))/12</f>
        <v>78333.3333333333</v>
      </c>
      <c r="AA81" s="353" t="n">
        <f aca="false">(SUMPRODUCT($B$49:$B$58,AA49:AA58)+SUMPRODUCT($B$61:$B$68,AA61:AA68)+SUMPRODUCT($B$71:$B$74,AA71:AA74)+SUMPRODUCT($B$77:$B$78,AA77:AA78)+SUMPRODUCT($B$99:$B$104,AA99:AA104))/12</f>
        <v>71666.6666666667</v>
      </c>
      <c r="AB81" s="353" t="n">
        <f aca="false">(SUMPRODUCT($B$49:$B$58,AB49:AB58)+SUMPRODUCT($B$61:$B$68,AB61:AB68)+SUMPRODUCT($B$71:$B$74,AB71:AB74)+SUMPRODUCT($B$77:$B$78,AB77:AB78)+SUMPRODUCT($B$99:$B$104,AB99:AB104))/12</f>
        <v>58333.3333333333</v>
      </c>
      <c r="AC81" s="353" t="n">
        <f aca="false">(SUMPRODUCT($B$49:$B$58,AC49:AC58)+SUMPRODUCT($B$61:$B$68,AC61:AC68)+SUMPRODUCT($B$71:$B$74,AC71:AC74)+SUMPRODUCT($B$77:$B$78,AC77:AC78)+SUMPRODUCT($B$99:$B$104,AC99:AC104))/12</f>
        <v>34583.3333333333</v>
      </c>
      <c r="AD81" s="353" t="n">
        <f aca="false">(SUMPRODUCT($B$49:$B$58,AD49:AD58)+SUMPRODUCT($B$61:$B$68,AD61:AD68)+SUMPRODUCT($B$71:$B$74,AD71:AD74)+SUMPRODUCT($B$77:$B$78,AD77:AD78)+SUMPRODUCT($B$99:$B$104,AD99:AD104))/12</f>
        <v>10416.6666666667</v>
      </c>
      <c r="AE81" s="353" t="n">
        <f aca="false">(SUMPRODUCT($B$49:$B$58,AE49:AE58)+SUMPRODUCT($B$61:$B$68,AE61:AE68)+SUMPRODUCT($B$71:$B$74,AE71:AE74)+SUMPRODUCT($B$77:$B$78,AE77:AE78)+SUMPRODUCT($B$99:$B$104,AE99:AE104))/12</f>
        <v>10416.6666666667</v>
      </c>
      <c r="AF81" s="353" t="n">
        <f aca="false">(SUMPRODUCT($B$49:$B$58,AF49:AF58)+SUMPRODUCT($B$61:$B$68,AF61:AF68)+SUMPRODUCT($B$71:$B$74,AF71:AF74)+SUMPRODUCT($B$77:$B$78,AF77:AF78)+SUMPRODUCT($B$99:$B$104,AF99:AF104))/12</f>
        <v>10416.6666666667</v>
      </c>
      <c r="AG81" s="353" t="n">
        <f aca="false">(SUMPRODUCT($B$49:$B$58,AG49:AG58)+SUMPRODUCT($B$61:$B$68,AG61:AG68)+SUMPRODUCT($B$71:$B$74,AG71:AG74)+SUMPRODUCT($B$77:$B$78,AG77:AG78)+SUMPRODUCT($B$99:$B$104,AG99:AG104))/12</f>
        <v>10416.6666666667</v>
      </c>
      <c r="AH81" s="353" t="n">
        <f aca="false">(SUMPRODUCT($B$49:$B$58,AH49:AH58)+SUMPRODUCT($B$61:$B$68,AH61:AH68)+SUMPRODUCT($B$71:$B$74,AH71:AH74)+SUMPRODUCT($B$77:$B$78,AH77:AH78)+SUMPRODUCT($B$99:$B$104,AH99:AH104))/12</f>
        <v>0</v>
      </c>
      <c r="AI81" s="353" t="n">
        <f aca="false">(SUMPRODUCT($B$49:$B$58,AI49:AI58)+SUMPRODUCT($B$61:$B$68,AI61:AI68)+SUMPRODUCT($B$71:$B$74,AI71:AI74)+SUMPRODUCT($B$77:$B$78,AI77:AI78)+SUMPRODUCT($B$99:$B$104,AI99:AI104))/12</f>
        <v>0</v>
      </c>
      <c r="AJ81" s="353" t="n">
        <f aca="false">(SUMPRODUCT($B$49:$B$58,AJ49:AJ58)+SUMPRODUCT($B$61:$B$68,AJ61:AJ68)+SUMPRODUCT($B$71:$B$74,AJ71:AJ74)+SUMPRODUCT($B$77:$B$78,AJ77:AJ78)+SUMPRODUCT($B$99:$B$104,AJ99:AJ104))/12</f>
        <v>0</v>
      </c>
      <c r="AK81" s="353" t="n">
        <f aca="false">(SUMPRODUCT($B$49:$B$58,AK49:AK58)+SUMPRODUCT($B$61:$B$68,AK61:AK68)+SUMPRODUCT($B$71:$B$74,AK71:AK74)+SUMPRODUCT($B$77:$B$78,AK77:AK78)+SUMPRODUCT($B$99:$B$104,AK99:AK104))/12</f>
        <v>0</v>
      </c>
      <c r="AL81" s="353" t="n">
        <f aca="false">(SUMPRODUCT($B$49:$B$58,AL49:AL58)+SUMPRODUCT($B$61:$B$68,AL61:AL68)+SUMPRODUCT($B$71:$B$74,AL71:AL74)+SUMPRODUCT($B$77:$B$78,AL77:AL78)+SUMPRODUCT($B$99:$B$104,AL99:AL104))/12</f>
        <v>0</v>
      </c>
      <c r="AM81" s="353" t="n">
        <f aca="false">(SUMPRODUCT($B$49:$B$58,AM49:AM58)+SUMPRODUCT($B$61:$B$68,AM61:AM68)+SUMPRODUCT($B$71:$B$74,AM71:AM74)+SUMPRODUCT($B$77:$B$78,AM77:AM78)+SUMPRODUCT($B$99:$B$104,AM99:AM104))/12</f>
        <v>0</v>
      </c>
      <c r="AN81" s="353" t="n">
        <f aca="false">(SUMPRODUCT($B$49:$B$58,AN49:AN58)+SUMPRODUCT($B$61:$B$68,AN61:AN68)+SUMPRODUCT($B$71:$B$74,AN71:AN74)+SUMPRODUCT($B$77:$B$78,AN77:AN78)+SUMPRODUCT($B$99:$B$104,AN99:AN104))/12</f>
        <v>0</v>
      </c>
      <c r="AO81" s="353" t="n">
        <f aca="false">(SUMPRODUCT($B$49:$B$58,AO49:AO58)+SUMPRODUCT($B$61:$B$68,AO61:AO68)+SUMPRODUCT($B$71:$B$74,AO71:AO74)+SUMPRODUCT($B$77:$B$78,AO77:AO78)+SUMPRODUCT($B$99:$B$104,AO99:AO104))/12</f>
        <v>0</v>
      </c>
      <c r="AP81" s="353" t="n">
        <f aca="false">(SUMPRODUCT($B$49:$B$58,AP49:AP58)+SUMPRODUCT($B$61:$B$68,AP61:AP68)+SUMPRODUCT($B$71:$B$74,AP71:AP74)+SUMPRODUCT($B$77:$B$78,AP77:AP78)+SUMPRODUCT($B$99:$B$104,AP99:AP104))/12</f>
        <v>0</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1208</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0</v>
      </c>
      <c r="R82" s="353" t="n">
        <f aca="false">(SUMPRODUCT($B$49:$B$58,(R49:R58&gt;Q49:Q58)*1)+SUMPRODUCT($B$61:$B$68,(R61:R68&gt;Q61:Q68)*1)+SUMPRODUCT($B$71:$B$74,(R71:R74&gt;Q71:Q74)*1)+SUMPRODUCT($B$77:$B$78,(R77:R78&gt;Q77:Q78)*1)+SUMPRODUCT($B$99:$B$104,(R99:R104&gt;Q99:Q104)*1))*$B$21</f>
        <v>0</v>
      </c>
      <c r="S82" s="353" t="n">
        <f aca="false">(SUMPRODUCT($B$49:$B$58,(S49:S58&gt;R49:R58)*1)+SUMPRODUCT($B$61:$B$68,(S61:S68&gt;R61:R68)*1)+SUMPRODUCT($B$71:$B$74,(S71:S74&gt;R71:R74)*1)+SUMPRODUCT($B$77:$B$78,(S77:S78&gt;R77:R78)*1)+SUMPRODUCT($B$99:$B$104,(S99:S104&gt;R99:R104)*1))*$B$21</f>
        <v>21375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1209</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35769.2307692308</v>
      </c>
      <c r="AA83" s="353" t="n">
        <f aca="false">(SUMPRODUCT($B$49:$B$58,(Z49:Z58&gt;AA49:AA58)*1)+SUMPRODUCT($B$61:$B$68,(Z61:Z68&gt;AA61:AA68)*1)+SUMPRODUCT($B$71:$B$74,(Z71:Z74&gt;AA71:AA74)*1)+SUMPRODUCT($B$77:$B$78,(Z77:Z78&gt;AA77:AA78)*1)+SUMPRODUCT($B$99:$B$104,(Z99:Z104&gt;AA99:AA104)*1))*$B$20/52</f>
        <v>6153.84615384615</v>
      </c>
      <c r="AB83" s="353" t="n">
        <f aca="false">(SUMPRODUCT($B$49:$B$58,(AA49:AA58&gt;AB49:AB58)*1)+SUMPRODUCT($B$61:$B$68,(AA61:AA68&gt;AB61:AB68)*1)+SUMPRODUCT($B$71:$B$74,(AA71:AA74&gt;AB71:AB74)*1)+SUMPRODUCT($B$77:$B$78,(AA77:AA78&gt;AB77:AB78)*1)+SUMPRODUCT($B$99:$B$104,(AA99:AA104&gt;AB99:AB104)*1))*$B$20/52</f>
        <v>12307.6923076923</v>
      </c>
      <c r="AC83" s="353" t="n">
        <f aca="false">(SUMPRODUCT($B$49:$B$58,(AB49:AB58&gt;AC49:AC58)*1)+SUMPRODUCT($B$61:$B$68,(AB61:AB68&gt;AC61:AC68)*1)+SUMPRODUCT($B$71:$B$74,(AB71:AB74&gt;AC71:AC74)*1)+SUMPRODUCT($B$77:$B$78,(AB77:AB78&gt;AC77:AC78)*1)+SUMPRODUCT($B$99:$B$104,(AB99:AB104&gt;AC99:AC104)*1))*$B$20/52</f>
        <v>21923.0769230769</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9615.38461538462</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1210</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0</v>
      </c>
      <c r="R84" s="353" t="n">
        <f aca="false">R82+R83</f>
        <v>0</v>
      </c>
      <c r="S84" s="353" t="n">
        <f aca="false">S82+S83</f>
        <v>21375</v>
      </c>
      <c r="T84" s="353" t="n">
        <f aca="false">T82+T83</f>
        <v>0</v>
      </c>
      <c r="U84" s="353" t="n">
        <f aca="false">U82+U83</f>
        <v>0</v>
      </c>
      <c r="V84" s="353" t="n">
        <f aca="false">V82+V83</f>
        <v>0</v>
      </c>
      <c r="W84" s="353" t="n">
        <f aca="false">W82+W83</f>
        <v>0</v>
      </c>
      <c r="X84" s="353" t="n">
        <f aca="false">X82+X83</f>
        <v>0</v>
      </c>
      <c r="Y84" s="353" t="n">
        <f aca="false">Y82+Y83</f>
        <v>0</v>
      </c>
      <c r="Z84" s="353" t="n">
        <f aca="false">Z82+Z83</f>
        <v>35769.2307692308</v>
      </c>
      <c r="AA84" s="353" t="n">
        <f aca="false">AA82+AA83</f>
        <v>6153.84615384615</v>
      </c>
      <c r="AB84" s="353" t="n">
        <f aca="false">AB82+AB83</f>
        <v>12307.6923076923</v>
      </c>
      <c r="AC84" s="353" t="n">
        <f aca="false">AC82+AC83</f>
        <v>21923.0769230769</v>
      </c>
      <c r="AD84" s="353" t="n">
        <f aca="false">AD82+AD83</f>
        <v>22307.6923076923</v>
      </c>
      <c r="AE84" s="353" t="n">
        <f aca="false">AE82+AE83</f>
        <v>0</v>
      </c>
      <c r="AF84" s="353" t="n">
        <f aca="false">AF82+AF83</f>
        <v>0</v>
      </c>
      <c r="AG84" s="353" t="n">
        <f aca="false">AG82+AG83</f>
        <v>0</v>
      </c>
      <c r="AH84" s="353" t="n">
        <f aca="false">AH82+AH83</f>
        <v>9615.38461538462</v>
      </c>
      <c r="AI84" s="353" t="n">
        <f aca="false">AI82+AI83</f>
        <v>0</v>
      </c>
      <c r="AJ84" s="353" t="n">
        <f aca="false">AJ82+AJ83</f>
        <v>0</v>
      </c>
      <c r="AK84" s="353" t="n">
        <f aca="false">AK82+AK83</f>
        <v>0</v>
      </c>
      <c r="AL84" s="353" t="n">
        <f aca="false">AL82+AL83</f>
        <v>0</v>
      </c>
      <c r="AM84" s="353" t="n">
        <f aca="false">AM82+AM83</f>
        <v>0</v>
      </c>
      <c r="AN84" s="353" t="n">
        <f aca="false">AN82+AN83</f>
        <v>0</v>
      </c>
      <c r="AO84" s="353" t="n">
        <f aca="false">AO82+AO83</f>
        <v>0</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1211</v>
      </c>
      <c r="B86" s="210"/>
      <c r="C86" s="210"/>
      <c r="D86" s="210"/>
      <c r="E86" s="210"/>
      <c r="F86" s="210"/>
    </row>
    <row r="87" customFormat="false" ht="13.5" hidden="false" customHeight="true" outlineLevel="0" collapsed="false">
      <c r="A87" s="109" t="s">
        <v>1212</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10</v>
      </c>
      <c r="R87" s="351" t="n">
        <f aca="false">R43+SUM(R49:R58)</f>
        <v>10</v>
      </c>
      <c r="S87" s="351" t="n">
        <f aca="false">S43+SUM(S49:S58)</f>
        <v>11</v>
      </c>
      <c r="T87" s="351" t="n">
        <f aca="false">T43+SUM(T49:T58)</f>
        <v>11</v>
      </c>
      <c r="U87" s="351" t="n">
        <f aca="false">U43+SUM(U49:U58)</f>
        <v>11</v>
      </c>
      <c r="V87" s="351" t="n">
        <f aca="false">V43+SUM(V49:V58)</f>
        <v>11</v>
      </c>
      <c r="W87" s="351" t="n">
        <f aca="false">W43+SUM(W49:W58)</f>
        <v>11</v>
      </c>
      <c r="X87" s="351" t="n">
        <f aca="false">X43+SUM(X49:X58)</f>
        <v>11</v>
      </c>
      <c r="Y87" s="351" t="n">
        <f aca="false">Y43+SUM(Y49:Y58)</f>
        <v>11</v>
      </c>
      <c r="Z87" s="351" t="n">
        <f aca="false">Z43+SUM(Z49:Z58)</f>
        <v>10</v>
      </c>
      <c r="AA87" s="351" t="n">
        <f aca="false">AA43+SUM(AA49:AA58)</f>
        <v>10</v>
      </c>
      <c r="AB87" s="351" t="n">
        <f aca="false">AB43+SUM(AB49:AB58)</f>
        <v>9</v>
      </c>
      <c r="AC87" s="351" t="n">
        <f aca="false">AC43+SUM(AC49:AC58)</f>
        <v>8</v>
      </c>
      <c r="AD87" s="351" t="n">
        <f aca="false">AD43+SUM(AD49:AD58)</f>
        <v>7</v>
      </c>
      <c r="AE87" s="351" t="n">
        <f aca="false">AE43+SUM(AE49:AE58)</f>
        <v>7</v>
      </c>
      <c r="AF87" s="351" t="n">
        <f aca="false">AF43+SUM(AF49:AF58)</f>
        <v>7</v>
      </c>
      <c r="AG87" s="351" t="n">
        <f aca="false">AG43+SUM(AG49:AG58)</f>
        <v>7</v>
      </c>
      <c r="AH87" s="351" t="n">
        <f aca="false">AH43+SUM(AH49:AH58)</f>
        <v>7</v>
      </c>
      <c r="AI87" s="351" t="n">
        <f aca="false">AI43+SUM(AI49:AI58)</f>
        <v>7</v>
      </c>
      <c r="AJ87" s="351" t="n">
        <f aca="false">AJ43+SUM(AJ49:AJ58)</f>
        <v>7</v>
      </c>
      <c r="AK87" s="351" t="n">
        <f aca="false">AK43+SUM(AK49:AK58)</f>
        <v>7</v>
      </c>
      <c r="AL87" s="351" t="n">
        <f aca="false">AL43+SUM(AL49:AL58)</f>
        <v>7</v>
      </c>
      <c r="AM87" s="351" t="n">
        <f aca="false">AM43+SUM(AM49:AM58)</f>
        <v>7</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1213</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1</v>
      </c>
      <c r="T88" s="351" t="n">
        <f aca="false">T37-T87</f>
        <v>0</v>
      </c>
      <c r="U88" s="351" t="n">
        <f aca="false">U37-U87</f>
        <v>0</v>
      </c>
      <c r="V88" s="351" t="n">
        <f aca="false">V37-V87</f>
        <v>-1</v>
      </c>
      <c r="W88" s="351" t="n">
        <f aca="false">W37-W87</f>
        <v>-2</v>
      </c>
      <c r="X88" s="351" t="n">
        <f aca="false">X37-X87</f>
        <v>-3</v>
      </c>
      <c r="Y88" s="351" t="n">
        <f aca="false">Y37-Y87</f>
        <v>-3</v>
      </c>
      <c r="Z88" s="351" t="n">
        <f aca="false">Z37-Z87</f>
        <v>-2</v>
      </c>
      <c r="AA88" s="351" t="n">
        <f aca="false">AA37-AA87</f>
        <v>-2</v>
      </c>
      <c r="AB88" s="351" t="n">
        <f aca="false">AB37-AB87</f>
        <v>-2</v>
      </c>
      <c r="AC88" s="351" t="n">
        <f aca="false">AC37-AC87</f>
        <v>-2</v>
      </c>
      <c r="AD88" s="351" t="n">
        <f aca="false">AD37-AD87</f>
        <v>-1</v>
      </c>
      <c r="AE88" s="351" t="n">
        <f aca="false">AE37-AE87</f>
        <v>-1</v>
      </c>
      <c r="AF88" s="351" t="n">
        <f aca="false">AF37-AF87</f>
        <v>-1</v>
      </c>
      <c r="AG88" s="351" t="n">
        <f aca="false">AG37-AG87</f>
        <v>-3</v>
      </c>
      <c r="AH88" s="351" t="n">
        <f aca="false">AH37-AH87</f>
        <v>-4</v>
      </c>
      <c r="AI88" s="351" t="n">
        <f aca="false">AI37-AI87</f>
        <v>-4</v>
      </c>
      <c r="AJ88" s="351" t="n">
        <f aca="false">AJ37-AJ87</f>
        <v>-4</v>
      </c>
      <c r="AK88" s="351" t="n">
        <f aca="false">AK37-AK87</f>
        <v>-5</v>
      </c>
      <c r="AL88" s="351" t="n">
        <f aca="false">AL37-AL87</f>
        <v>-5</v>
      </c>
      <c r="AM88" s="351" t="n">
        <f aca="false">AM37-AM87</f>
        <v>-5</v>
      </c>
      <c r="AN88" s="351" t="n">
        <f aca="false">AN37-AN87</f>
        <v>-5</v>
      </c>
      <c r="AO88" s="351" t="n">
        <f aca="false">AO37-AO87</f>
        <v>-6</v>
      </c>
      <c r="AP88" s="351" t="n">
        <f aca="false">AP37-AP87</f>
        <v>-6</v>
      </c>
      <c r="AQ88" s="351" t="n">
        <f aca="false">AQ37-AQ87</f>
        <v>-6</v>
      </c>
      <c r="AR88" s="351" t="n">
        <f aca="false">AR37-AR87</f>
        <v>-6</v>
      </c>
      <c r="AS88" s="351" t="n">
        <f aca="false">AS37-AS87</f>
        <v>-6</v>
      </c>
      <c r="AT88" s="351" t="n">
        <f aca="false">AT37-AT87</f>
        <v>-6</v>
      </c>
      <c r="AU88" s="351" t="n">
        <f aca="false">AU37-AU87</f>
        <v>-6</v>
      </c>
      <c r="AV88" s="351" t="n">
        <f aca="false">AV37-AV87</f>
        <v>-6</v>
      </c>
      <c r="AW88" s="351" t="n">
        <f aca="false">AW37-AW87</f>
        <v>-7</v>
      </c>
      <c r="AX88" s="351" t="n">
        <f aca="false">AX37-AX87</f>
        <v>-7</v>
      </c>
      <c r="AY88" s="351" t="n">
        <f aca="false">AY37-AY87</f>
        <v>-7</v>
      </c>
      <c r="AZ88" s="351" t="n">
        <f aca="false">AZ37-AZ87</f>
        <v>-7</v>
      </c>
      <c r="BA88" s="351" t="n">
        <f aca="false">BA37-BA87</f>
        <v>-7</v>
      </c>
      <c r="BB88" s="351" t="n">
        <f aca="false">BB37-BB87</f>
        <v>-7</v>
      </c>
      <c r="BC88" s="351" t="n">
        <f aca="false">BC37-BC87</f>
        <v>-7</v>
      </c>
      <c r="BD88" s="351" t="n">
        <f aca="false">BD37-BD87</f>
        <v>-7</v>
      </c>
      <c r="BE88" s="351" t="n">
        <f aca="false">BE37-BE87</f>
        <v>-7</v>
      </c>
      <c r="BF88" s="351" t="n">
        <f aca="false">BF37-BF87</f>
        <v>-7</v>
      </c>
      <c r="BG88" s="351" t="n">
        <f aca="false">BG37-BG87</f>
        <v>-7</v>
      </c>
      <c r="BH88" s="351" t="n">
        <f aca="false">BH37-BH87</f>
        <v>-7</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1214</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1.5625</v>
      </c>
      <c r="R89" s="351" t="n">
        <f aca="false">(R87+R44+SUM(R61:R68)+R45+SUM(R71:R74))-(R38+R39+R40)</f>
        <v>1.5625</v>
      </c>
      <c r="S89" s="351" t="n">
        <f aca="false">(S87+S44+SUM(S61:S68)+S45+SUM(S71:S74))-(S38+S39+S40)</f>
        <v>0.912500000000001</v>
      </c>
      <c r="T89" s="351" t="n">
        <f aca="false">(T87+T44+SUM(T61:T68)+T45+SUM(T71:T74))-(T38+T39+T40)</f>
        <v>1.1375</v>
      </c>
      <c r="U89" s="351" t="n">
        <f aca="false">(U87+U44+SUM(U61:U68)+U45+SUM(U71:U74))-(U38+U39+U40)</f>
        <v>2.57</v>
      </c>
      <c r="V89" s="351" t="n">
        <f aca="false">(V87+V44+SUM(V61:V68)+V45+SUM(V71:V74))-(V38+V39+V40)</f>
        <v>2.57</v>
      </c>
      <c r="W89" s="351" t="n">
        <f aca="false">(W87+W44+SUM(W61:W68)+W45+SUM(W71:W74))-(W38+W39+W40)</f>
        <v>3.67</v>
      </c>
      <c r="X89" s="351" t="n">
        <f aca="false">(X87+X44+SUM(X61:X68)+X45+SUM(X71:X74))-(X38+X39+X40)</f>
        <v>4.77</v>
      </c>
      <c r="Y89" s="351" t="n">
        <f aca="false">(Y87+Y44+SUM(Y61:Y68)+Y45+SUM(Y71:Y74))-(Y38+Y39+Y40)</f>
        <v>6.095</v>
      </c>
      <c r="Z89" s="351" t="n">
        <f aca="false">(Z87+Z44+SUM(Z61:Z68)+Z45+SUM(Z71:Z74))-(Z38+Z39+Z40)</f>
        <v>4.32</v>
      </c>
      <c r="AA89" s="351" t="n">
        <f aca="false">(AA87+AA44+SUM(AA61:AA68)+AA45+SUM(AA71:AA74))-(AA38+AA39+AA40)</f>
        <v>4.32</v>
      </c>
      <c r="AB89" s="351" t="n">
        <f aca="false">(AB87+AB44+SUM(AB61:AB68)+AB45+SUM(AB71:AB74))-(AB38+AB39+AB40)</f>
        <v>3.32</v>
      </c>
      <c r="AC89" s="351" t="n">
        <f aca="false">(AC87+AC44+SUM(AC61:AC68)+AC45+SUM(AC71:AC74))-(AC38+AC39+AC40)</f>
        <v>3.42</v>
      </c>
      <c r="AD89" s="351" t="n">
        <f aca="false">(AD87+AD44+SUM(AD61:AD68)+AD45+SUM(AD71:AD74))-(AD38+AD39+AD40)</f>
        <v>3.0775</v>
      </c>
      <c r="AE89" s="351" t="n">
        <f aca="false">(AE87+AE44+SUM(AE61:AE68)+AE45+SUM(AE71:AE74))-(AE38+AE39+AE40)</f>
        <v>3.41</v>
      </c>
      <c r="AF89" s="351" t="n">
        <f aca="false">(AF87+AF44+SUM(AF61:AF68)+AF45+SUM(AF71:AF74))-(AF38+AF39+AF40)</f>
        <v>3.41</v>
      </c>
      <c r="AG89" s="351" t="n">
        <f aca="false">(AG87+AG44+SUM(AG61:AG68)+AG45+SUM(AG71:AG74))-(AG38+AG39+AG40)</f>
        <v>3.41</v>
      </c>
      <c r="AH89" s="351" t="n">
        <f aca="false">(AH87+AH44+SUM(AH61:AH68)+AH45+SUM(AH71:AH74))-(AH38+AH39+AH40)</f>
        <v>5.9425</v>
      </c>
      <c r="AI89" s="351" t="n">
        <f aca="false">(AI87+AI44+SUM(AI61:AI68)+AI45+SUM(AI71:AI74))-(AI38+AI39+AI40)</f>
        <v>7.15</v>
      </c>
      <c r="AJ89" s="351" t="n">
        <f aca="false">(AJ87+AJ44+SUM(AJ61:AJ68)+AJ45+SUM(AJ71:AJ74))-(AJ38+AJ39+AJ40)</f>
        <v>7.15</v>
      </c>
      <c r="AK89" s="351" t="n">
        <f aca="false">(AK87+AK44+SUM(AK61:AK68)+AK45+SUM(AK71:AK74))-(AK38+AK39+AK40)</f>
        <v>7.15</v>
      </c>
      <c r="AL89" s="351" t="n">
        <f aca="false">(AL87+AL44+SUM(AL61:AL68)+AL45+SUM(AL71:AL74))-(AL38+AL39+AL40)</f>
        <v>8.75</v>
      </c>
      <c r="AM89" s="351" t="n">
        <f aca="false">(AM87+AM44+SUM(AM61:AM68)+AM45+SUM(AM71:AM74))-(AM38+AM39+AM40)</f>
        <v>8.75</v>
      </c>
      <c r="AN89" s="351" t="n">
        <f aca="false">(AN87+AN44+SUM(AN61:AN68)+AN45+SUM(AN71:AN74))-(AN38+AN39+AN40)</f>
        <v>8.75</v>
      </c>
      <c r="AO89" s="351" t="n">
        <f aca="false">(AO87+AO44+SUM(AO61:AO68)+AO45+SUM(AO71:AO74))-(AO38+AO39+AO40)</f>
        <v>8.75</v>
      </c>
      <c r="AP89" s="351" t="n">
        <f aca="false">(AP87+AP44+SUM(AP61:AP68)+AP45+SUM(AP71:AP74))-(AP38+AP39+AP40)</f>
        <v>10.125</v>
      </c>
      <c r="AQ89" s="351" t="n">
        <f aca="false">(AQ87+AQ44+SUM(AQ61:AQ68)+AQ45+SUM(AQ71:AQ74))-(AQ38+AQ39+AQ40)</f>
        <v>10.125</v>
      </c>
      <c r="AR89" s="351" t="n">
        <f aca="false">(AR87+AR44+SUM(AR61:AR68)+AR45+SUM(AR71:AR74))-(AR38+AR39+AR40)</f>
        <v>10.125</v>
      </c>
      <c r="AS89" s="351" t="n">
        <f aca="false">(AS87+AS44+SUM(AS61:AS68)+AS45+SUM(AS71:AS74))-(AS38+AS39+AS40)</f>
        <v>10.125</v>
      </c>
      <c r="AT89" s="351" t="n">
        <f aca="false">(AT87+AT44+SUM(AT61:AT68)+AT45+SUM(AT71:AT74))-(AT38+AT39+AT40)</f>
        <v>10.625</v>
      </c>
      <c r="AU89" s="351" t="n">
        <f aca="false">(AU87+AU44+SUM(AU61:AU68)+AU45+SUM(AU71:AU74))-(AU38+AU39+AU40)</f>
        <v>10.625</v>
      </c>
      <c r="AV89" s="351" t="n">
        <f aca="false">(AV87+AV44+SUM(AV61:AV68)+AV45+SUM(AV71:AV74))-(AV38+AV39+AV40)</f>
        <v>10.625</v>
      </c>
      <c r="AW89" s="351" t="n">
        <f aca="false">(AW87+AW44+SUM(AW61:AW68)+AW45+SUM(AW71:AW74))-(AW38+AW39+AW40)</f>
        <v>10.625</v>
      </c>
      <c r="AX89" s="351" t="n">
        <f aca="false">(AX87+AX44+SUM(AX61:AX68)+AX45+SUM(AX71:AX74))-(AX38+AX39+AX40)</f>
        <v>12</v>
      </c>
      <c r="AY89" s="351" t="n">
        <f aca="false">(AY87+AY44+SUM(AY61:AY68)+AY45+SUM(AY71:AY74))-(AY38+AY39+AY40)</f>
        <v>12</v>
      </c>
      <c r="AZ89" s="351" t="n">
        <f aca="false">(AZ87+AZ44+SUM(AZ61:AZ68)+AZ45+SUM(AZ71:AZ74))-(AZ38+AZ39+AZ40)</f>
        <v>12</v>
      </c>
      <c r="BA89" s="351" t="n">
        <f aca="false">(BA87+BA44+SUM(BA61:BA68)+BA45+SUM(BA71:BA74))-(BA38+BA39+BA40)</f>
        <v>12</v>
      </c>
      <c r="BB89" s="351" t="n">
        <f aca="false">(BB87+BB44+SUM(BB61:BB68)+BB45+SUM(BB71:BB74))-(BB38+BB39+BB40)</f>
        <v>12</v>
      </c>
      <c r="BC89" s="351" t="n">
        <f aca="false">(BC87+BC44+SUM(BC61:BC68)+BC45+SUM(BC71:BC74))-(BC38+BC39+BC40)</f>
        <v>12</v>
      </c>
      <c r="BD89" s="351" t="n">
        <f aca="false">(BD87+BD44+SUM(BD61:BD68)+BD45+SUM(BD71:BD74))-(BD38+BD39+BD40)</f>
        <v>12</v>
      </c>
      <c r="BE89" s="351" t="n">
        <f aca="false">(BE87+BE44+SUM(BE61:BE68)+BE45+SUM(BE71:BE74))-(BE38+BE39+BE40)</f>
        <v>12</v>
      </c>
      <c r="BF89" s="351" t="n">
        <f aca="false">(BF87+BF44+SUM(BF61:BF68)+BF45+SUM(BF71:BF74))-(BF38+BF39+BF40)</f>
        <v>12</v>
      </c>
      <c r="BG89" s="351" t="n">
        <f aca="false">(BG87+BG44+SUM(BG61:BG68)+BG45+SUM(BG71:BG74))-(BG38+BG39+BG40)</f>
        <v>12</v>
      </c>
      <c r="BH89" s="351" t="n">
        <f aca="false">(BH87+BH44+SUM(BH61:BH68)+BH45+SUM(BH71:BH74))-(BH38+BH39+BH40)</f>
        <v>12</v>
      </c>
      <c r="BI89" s="351" t="n">
        <f aca="false">(BI87+BI44+SUM(BI61:BI68)+BI45+SUM(BI71:BI74))-(BI38+BI39+BI40)</f>
        <v>12</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1215</v>
      </c>
      <c r="B91" s="210"/>
    </row>
    <row r="92" customFormat="false" ht="13.5" hidden="false" customHeight="true" outlineLevel="0" collapsed="false">
      <c r="A92" s="109" t="s">
        <v>1216</v>
      </c>
      <c r="B92" s="348" t="n">
        <v>1</v>
      </c>
    </row>
    <row r="93" customFormat="false" ht="13.5" hidden="false" customHeight="true" outlineLevel="0" collapsed="false">
      <c r="A93" s="109" t="s">
        <v>1217</v>
      </c>
      <c r="B93" s="348" t="n">
        <v>0.5</v>
      </c>
    </row>
    <row r="94" customFormat="false" ht="13.5" hidden="false" customHeight="true" outlineLevel="0" collapsed="false">
      <c r="A94" s="109" t="s">
        <v>1218</v>
      </c>
      <c r="B94" s="348" t="n">
        <v>0.33</v>
      </c>
    </row>
    <row r="96" customFormat="false" ht="13.5" hidden="false" customHeight="true" outlineLevel="0" collapsed="false">
      <c r="A96" s="1" t="s">
        <v>1219</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5.49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v>
      </c>
      <c r="AM96" s="1" t="n">
        <f aca="false">SUMPRODUCT((Projects!$G$2:$G$45="Yes")*(35&gt;=Projects!$C$2:$C$45-$B$15)*(35&lt;=Projects!$W$2:$W$45+$B$17)*((Projects!$B$2:$B$45&gt;=$B$12)*$B$92+(Projects!$B$2:$B$45&lt;$B$12)*(Projects!$B$2:$B$45&gt;=$B$13)*$B$93+(Projects!$B$2:$B$45&lt;$B$13)*$B$94))</f>
        <v>2</v>
      </c>
      <c r="AN96" s="1" t="n">
        <f aca="false">SUMPRODUCT((Projects!$G$2:$G$45="Yes")*(36&gt;=Projects!$C$2:$C$45-$B$15)*(36&lt;=Projects!$W$2:$W$45+$B$17)*((Projects!$B$2:$B$45&gt;=$B$12)*$B$92+(Projects!$B$2:$B$45&lt;$B$12)*(Projects!$B$2:$B$45&gt;=$B$13)*$B$93+(Projects!$B$2:$B$45&lt;$B$13)*$B$94))</f>
        <v>2</v>
      </c>
      <c r="AO96" s="1" t="n">
        <f aca="false">SUMPRODUCT((Projects!$G$2:$G$45="Yes")*(37&gt;=Projects!$C$2:$C$45-$B$15)*(37&lt;=Projects!$W$2:$W$45+$B$17)*((Projects!$B$2:$B$45&gt;=$B$12)*$B$92+(Projects!$B$2:$B$45&lt;$B$12)*(Projects!$B$2:$B$45&gt;=$B$13)*$B$93+(Projects!$B$2:$B$45&lt;$B$13)*$B$94))</f>
        <v>2</v>
      </c>
      <c r="AP96" s="1" t="n">
        <f aca="false">SUMPRODUCT((Projects!$G$2:$G$45="Yes")*(38&gt;=Projects!$C$2:$C$45-$B$15)*(38&lt;=Projects!$W$2:$W$45+$B$17)*((Projects!$B$2:$B$45&gt;=$B$12)*$B$92+(Projects!$B$2:$B$45&lt;$B$12)*(Projects!$B$2:$B$45&gt;=$B$13)*$B$93+(Projects!$B$2:$B$45&lt;$B$13)*$B$94))</f>
        <v>1</v>
      </c>
      <c r="AQ96" s="1" t="n">
        <f aca="false">SUMPRODUCT((Projects!$G$2:$G$45="Yes")*(39&gt;=Projects!$C$2:$C$45-$B$15)*(39&lt;=Projects!$W$2:$W$45+$B$17)*((Projects!$B$2:$B$45&gt;=$B$12)*$B$92+(Projects!$B$2:$B$45&lt;$B$12)*(Projects!$B$2:$B$45&gt;=$B$13)*$B$93+(Projects!$B$2:$B$45&lt;$B$13)*$B$94))</f>
        <v>1</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1220</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1221</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0</v>
      </c>
      <c r="AI99" s="352" t="n">
        <f aca="false">IF(31&lt;5,0,IF(MAX(AD96:AI96)&gt;AI97+0+$B$18,1,0))</f>
        <v>0</v>
      </c>
      <c r="AJ99" s="352" t="n">
        <f aca="false">IF(32&lt;5,0,IF(MAX(AE96:AJ96)&gt;AJ97+0+$B$18,1,0))</f>
        <v>0</v>
      </c>
      <c r="AK99" s="352" t="n">
        <f aca="false">IF(33&lt;5,0,IF(MAX(AF96:AK96)&gt;AK97+0+$B$18,1,0))</f>
        <v>0</v>
      </c>
      <c r="AL99" s="352" t="n">
        <f aca="false">IF(34&lt;5,0,IF(MAX(AG96:AL96)&gt;AL97+0+$B$18,1,0))</f>
        <v>0</v>
      </c>
      <c r="AM99" s="352" t="n">
        <f aca="false">IF(35&lt;5,0,IF(MAX(AH96:AM96)&gt;AM97+0+$B$18,1,0))</f>
        <v>0</v>
      </c>
      <c r="AN99" s="352" t="n">
        <f aca="false">IF(36&lt;5,0,IF(MAX(AI96:AN96)&gt;AN97+0+$B$18,1,0))</f>
        <v>0</v>
      </c>
      <c r="AO99" s="352" t="n">
        <f aca="false">IF(37&lt;5,0,IF(MAX(AJ96:AO96)&gt;AO97+0+$B$18,1,0))</f>
        <v>0</v>
      </c>
      <c r="AP99" s="352" t="n">
        <f aca="false">IF(38&lt;5,0,IF(MAX(AK96:AP96)&gt;AP97+0+$B$18,1,0))</f>
        <v>0</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1222</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0</v>
      </c>
      <c r="AD100" s="352" t="n">
        <f aca="false">IF(26&lt;5,0,IF(MAX(Y96:AD96)&gt;AD97+1+$B$18,1,0))</f>
        <v>0</v>
      </c>
      <c r="AE100" s="352" t="n">
        <f aca="false">IF(27&lt;5,0,IF(MAX(Z96:AE96)&gt;AE97+1+$B$18,1,0))</f>
        <v>0</v>
      </c>
      <c r="AF100" s="352" t="n">
        <f aca="false">IF(28&lt;5,0,IF(MAX(AA96:AF96)&gt;AF97+1+$B$18,1,0))</f>
        <v>0</v>
      </c>
      <c r="AG100" s="352" t="n">
        <f aca="false">IF(29&lt;5,0,IF(MAX(AB96:AG96)&gt;AG97+1+$B$18,1,0))</f>
        <v>0</v>
      </c>
      <c r="AH100" s="352" t="n">
        <f aca="false">IF(30&lt;5,0,IF(MAX(AC96:AH96)&gt;AH97+1+$B$18,1,0))</f>
        <v>0</v>
      </c>
      <c r="AI100" s="352" t="n">
        <f aca="false">IF(31&lt;5,0,IF(MAX(AD96:AI96)&gt;AI97+1+$B$18,1,0))</f>
        <v>0</v>
      </c>
      <c r="AJ100" s="352" t="n">
        <f aca="false">IF(32&lt;5,0,IF(MAX(AE96:AJ96)&gt;AJ97+1+$B$18,1,0))</f>
        <v>0</v>
      </c>
      <c r="AK100" s="352" t="n">
        <f aca="false">IF(33&lt;5,0,IF(MAX(AF96:AK96)&gt;AK97+1+$B$18,1,0))</f>
        <v>0</v>
      </c>
      <c r="AL100" s="352" t="n">
        <f aca="false">IF(34&lt;5,0,IF(MAX(AG96:AL96)&gt;AL97+1+$B$18,1,0))</f>
        <v>0</v>
      </c>
      <c r="AM100" s="352" t="n">
        <f aca="false">IF(35&lt;5,0,IF(MAX(AH96:AM96)&gt;AM97+1+$B$18,1,0))</f>
        <v>0</v>
      </c>
      <c r="AN100" s="352" t="n">
        <f aca="false">IF(36&lt;5,0,IF(MAX(AI96:AN96)&gt;AN97+1+$B$18,1,0))</f>
        <v>0</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1223</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0</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0</v>
      </c>
      <c r="AA101" s="352" t="n">
        <f aca="false">IF(23&lt;5,0,IF(MAX(V96:AA96)&gt;AA97+2+$B$18,1,0))</f>
        <v>0</v>
      </c>
      <c r="AB101" s="352" t="n">
        <f aca="false">IF(24&lt;5,0,IF(MAX(W96:AB96)&gt;AB97+2+$B$18,1,0))</f>
        <v>0</v>
      </c>
      <c r="AC101" s="352" t="n">
        <f aca="false">IF(25&lt;5,0,IF(MAX(X96:AC96)&gt;AC97+2+$B$18,1,0))</f>
        <v>0</v>
      </c>
      <c r="AD101" s="352" t="n">
        <f aca="false">IF(26&lt;5,0,IF(MAX(Y96:AD96)&gt;AD97+2+$B$18,1,0))</f>
        <v>0</v>
      </c>
      <c r="AE101" s="352" t="n">
        <f aca="false">IF(27&lt;5,0,IF(MAX(Z96:AE96)&gt;AE97+2+$B$18,1,0))</f>
        <v>0</v>
      </c>
      <c r="AF101" s="352" t="n">
        <f aca="false">IF(28&lt;5,0,IF(MAX(AA96:AF96)&gt;AF97+2+$B$18,1,0))</f>
        <v>0</v>
      </c>
      <c r="AG101" s="352" t="n">
        <f aca="false">IF(29&lt;5,0,IF(MAX(AB96:AG96)&gt;AG97+2+$B$18,1,0))</f>
        <v>0</v>
      </c>
      <c r="AH101" s="352" t="n">
        <f aca="false">IF(30&lt;5,0,IF(MAX(AC96:AH96)&gt;AH97+2+$B$18,1,0))</f>
        <v>0</v>
      </c>
      <c r="AI101" s="352" t="n">
        <f aca="false">IF(31&lt;5,0,IF(MAX(AD96:AI96)&gt;AI97+2+$B$18,1,0))</f>
        <v>0</v>
      </c>
      <c r="AJ101" s="352" t="n">
        <f aca="false">IF(32&lt;5,0,IF(MAX(AE96:AJ96)&gt;AJ97+2+$B$18,1,0))</f>
        <v>0</v>
      </c>
      <c r="AK101" s="352" t="n">
        <f aca="false">IF(33&lt;5,0,IF(MAX(AF96:AK96)&gt;AK97+2+$B$18,1,0))</f>
        <v>0</v>
      </c>
      <c r="AL101" s="352" t="n">
        <f aca="false">IF(34&lt;5,0,IF(MAX(AG96:AL96)&gt;AL97+2+$B$18,1,0))</f>
        <v>0</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1224</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0</v>
      </c>
      <c r="T102" s="352" t="n">
        <f aca="false">IF(16&lt;5,0,IF(MAX(O96:T96)&gt;T97+3+$B$18,1,0))</f>
        <v>0</v>
      </c>
      <c r="U102" s="352" t="n">
        <f aca="false">IF(17&lt;5,0,IF(MAX(P96:U96)&gt;U97+3+$B$18,1,0))</f>
        <v>0</v>
      </c>
      <c r="V102" s="352" t="n">
        <f aca="false">IF(18&lt;5,0,IF(MAX(Q96:V96)&gt;V97+3+$B$18,1,0))</f>
        <v>0</v>
      </c>
      <c r="W102" s="352" t="n">
        <f aca="false">IF(19&lt;5,0,IF(MAX(R96:W96)&gt;W97+3+$B$18,1,0))</f>
        <v>0</v>
      </c>
      <c r="X102" s="352" t="n">
        <f aca="false">IF(20&lt;5,0,IF(MAX(S96:X96)&gt;X97+3+$B$18,1,0))</f>
        <v>0</v>
      </c>
      <c r="Y102" s="352" t="n">
        <f aca="false">IF(21&lt;5,0,IF(MAX(T96:Y96)&gt;Y97+3+$B$18,1,0))</f>
        <v>0</v>
      </c>
      <c r="Z102" s="352" t="n">
        <f aca="false">IF(22&lt;5,0,IF(MAX(U96:Z96)&gt;Z97+3+$B$18,1,0))</f>
        <v>0</v>
      </c>
      <c r="AA102" s="352" t="n">
        <f aca="false">IF(23&lt;5,0,IF(MAX(V96:AA96)&gt;AA97+3+$B$18,1,0))</f>
        <v>0</v>
      </c>
      <c r="AB102" s="352" t="n">
        <f aca="false">IF(24&lt;5,0,IF(MAX(W96:AB96)&gt;AB97+3+$B$18,1,0))</f>
        <v>0</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1225</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1226</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1227</v>
      </c>
      <c r="B106" s="348" t="n">
        <v>3</v>
      </c>
    </row>
    <row r="107" customFormat="false" ht="13.5" hidden="false" customHeight="true" outlineLevel="0" collapsed="false">
      <c r="A107" s="109" t="s">
        <v>1228</v>
      </c>
      <c r="B107" s="348" t="n">
        <v>0.5</v>
      </c>
    </row>
    <row r="108" customFormat="false" ht="13.5" hidden="false" customHeight="true" outlineLevel="0" collapsed="false">
      <c r="A108" s="1" t="s">
        <v>1229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1230</v>
      </c>
    </row>
    <row r="2" customFormat="false" ht="13.5" hidden="false" customHeight="true" outlineLevel="0" collapsed="false">
      <c r="A2" s="354" t="s">
        <v>1231</v>
      </c>
    </row>
    <row r="3" customFormat="false" ht="15" hidden="false" customHeight="true" outlineLevel="0" collapsed="false">
      <c r="A3" s="355" t="s">
        <v>1232</v>
      </c>
    </row>
    <row r="4" customFormat="false" ht="15" hidden="false" customHeight="true" outlineLevel="0" collapsed="false">
      <c r="A4" s="118" t="s">
        <v>1233</v>
      </c>
      <c r="C4" s="356" t="n">
        <f aca="false">Assumptions!$B$15</f>
        <v>0.015</v>
      </c>
      <c r="D4" s="357" t="s">
        <v>1234</v>
      </c>
    </row>
    <row r="5" customFormat="false" ht="15" hidden="false" customHeight="true" outlineLevel="0" collapsed="false">
      <c r="A5" s="118" t="s">
        <v>1235</v>
      </c>
      <c r="C5" s="358" t="n">
        <f aca="false">95034/12993776.05</f>
        <v>0.00731380929102591</v>
      </c>
      <c r="D5" s="357" t="s">
        <v>1236</v>
      </c>
    </row>
    <row r="6" customFormat="false" ht="15" hidden="false" customHeight="true" outlineLevel="0" collapsed="false">
      <c r="A6" s="118" t="s">
        <v>1237</v>
      </c>
      <c r="C6" s="356" t="n">
        <f aca="false">Assumptions!$B$17</f>
        <v>0.0325</v>
      </c>
      <c r="D6" s="357" t="s">
        <v>1238</v>
      </c>
    </row>
    <row r="7" customFormat="false" ht="15" hidden="false" customHeight="true" outlineLevel="0" collapsed="false">
      <c r="A7" s="118" t="s">
        <v>1239</v>
      </c>
      <c r="C7" s="359" t="n">
        <v>1800000</v>
      </c>
      <c r="D7" s="357" t="s">
        <v>1240</v>
      </c>
      <c r="F7" s="118" t="s">
        <v>1241</v>
      </c>
      <c r="H7" s="360" t="n">
        <f aca="false">SUMPRODUCT(($S$11:$S$54=1)*($H$11:$H$54&lt;=$C$8)*$Z$11:$Z$54)</f>
        <v>692876.895125</v>
      </c>
    </row>
    <row r="8" customFormat="false" ht="15" hidden="false" customHeight="true" outlineLevel="0" collapsed="false">
      <c r="A8" s="118" t="s">
        <v>1242</v>
      </c>
      <c r="C8" s="361" t="n">
        <f aca="false">SUMPRODUCT(--(Model!$B$4:$DE$4="Actuals"))-3</f>
        <v>5</v>
      </c>
      <c r="D8" s="357" t="s">
        <v>1243</v>
      </c>
      <c r="F8" s="118" t="s">
        <v>1244</v>
      </c>
      <c r="H8" s="360" t="n">
        <f aca="false">SUMIFS($O$11:$O$54,$H$11:$H$54,"&lt;="&amp;$C$8)</f>
        <v>0</v>
      </c>
    </row>
    <row r="9" customFormat="false" ht="15" hidden="false" customHeight="true" outlineLevel="0" collapsed="false">
      <c r="A9" s="118" t="s">
        <v>1245</v>
      </c>
      <c r="C9" s="362" t="n">
        <f aca="false">SUM(AC11:AC54)</f>
        <v>692876.895125</v>
      </c>
      <c r="D9" s="357" t="s">
        <v>1246</v>
      </c>
      <c r="F9" s="118" t="s">
        <v>1247</v>
      </c>
      <c r="H9" s="363" t="n">
        <v>10</v>
      </c>
    </row>
    <row r="10" customFormat="false" ht="48" hidden="false" customHeight="true" outlineLevel="0" collapsed="false">
      <c r="A10" s="173" t="s">
        <v>469</v>
      </c>
      <c r="B10" s="173" t="s">
        <v>1248</v>
      </c>
      <c r="C10" s="173" t="s">
        <v>567</v>
      </c>
      <c r="D10" s="173" t="s">
        <v>568</v>
      </c>
      <c r="E10" s="173" t="s">
        <v>1249</v>
      </c>
      <c r="F10" s="173" t="s">
        <v>1250</v>
      </c>
      <c r="G10" s="173" t="s">
        <v>1251</v>
      </c>
      <c r="H10" s="173" t="s">
        <v>1252</v>
      </c>
      <c r="I10" s="173" t="s">
        <v>1253</v>
      </c>
      <c r="J10" s="173" t="s">
        <v>1254</v>
      </c>
      <c r="K10" s="173" t="s">
        <v>1255</v>
      </c>
      <c r="L10" s="173" t="s">
        <v>1256</v>
      </c>
      <c r="M10" s="173" t="s">
        <v>1255</v>
      </c>
      <c r="N10" s="173" t="s">
        <v>1257</v>
      </c>
      <c r="O10" s="173" t="s">
        <v>1258</v>
      </c>
      <c r="P10" s="173" t="s">
        <v>1255</v>
      </c>
      <c r="Q10" s="173" t="s">
        <v>1259</v>
      </c>
      <c r="R10" s="173" t="s">
        <v>1260</v>
      </c>
      <c r="S10" s="173" t="s">
        <v>1261</v>
      </c>
      <c r="T10" s="173" t="s">
        <v>1262</v>
      </c>
      <c r="U10" s="173" t="s">
        <v>1263</v>
      </c>
      <c r="V10" s="173" t="s">
        <v>1264</v>
      </c>
      <c r="W10" s="173" t="s">
        <v>1265</v>
      </c>
      <c r="X10" s="173" t="s">
        <v>1266</v>
      </c>
      <c r="Y10" s="173" t="s">
        <v>1267</v>
      </c>
      <c r="Z10" s="173" t="s">
        <v>1268</v>
      </c>
      <c r="AA10" s="173" t="s">
        <v>1269</v>
      </c>
      <c r="AB10" s="173" t="s">
        <v>1270</v>
      </c>
      <c r="AC10" s="173" t="s">
        <v>1271</v>
      </c>
      <c r="AD10" s="173" t="s">
        <v>630</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1272</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1272</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1273</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1274</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1275</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1276</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No</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0</v>
      </c>
      <c r="T23" s="368" t="n">
        <f aca="false">$S23*IF($J23&lt;&gt;"",$J23,$F23*IF($I23&lt;&gt;"",$I23,$C$4)/(1+IF($I23&lt;&gt;"",$I23,$C$4)))</f>
        <v>0</v>
      </c>
      <c r="U23" s="368" t="n">
        <f aca="false">$S23*IF($L23&lt;&gt;"",$L23,$F23*$C$5)</f>
        <v>0</v>
      </c>
      <c r="V23" s="368" t="n">
        <f aca="false">$S23*$F23*IF($N23&lt;&gt;"",$N23,$C$6)</f>
        <v>0</v>
      </c>
      <c r="W23" s="368" t="n">
        <f aca="false">MAX(0,$V23-$U23)</f>
        <v>0</v>
      </c>
      <c r="X23" s="369" t="n">
        <f aca="false">IF($B23&lt;&gt;"",$B23,100+$H23)</f>
        <v>127</v>
      </c>
      <c r="Y23" s="368" t="n">
        <f aca="false">$S23*MAX(0,MIN($W23,$C$7-SUMIFS($W$11:$W$54,$X$11:$X$54,"&lt;"&amp;$X23)))</f>
        <v>0</v>
      </c>
      <c r="Z23" s="368" t="n">
        <f aca="false">$W23-$Y23</f>
        <v>0</v>
      </c>
      <c r="AA23" s="371" t="n">
        <f aca="false">$S23*($T23-$U23-$Z23)</f>
        <v>0</v>
      </c>
      <c r="AB23" s="371" t="n">
        <f aca="false">$S23*($T23-$U23)</f>
        <v>0</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No</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0</v>
      </c>
      <c r="T24" s="375" t="n">
        <f aca="false">$S24*IF($J24&lt;&gt;"",$J24,$F24*IF($I24&lt;&gt;"",$I24,$C$4)/(1+IF($I24&lt;&gt;"",$I24,$C$4)))</f>
        <v>0</v>
      </c>
      <c r="U24" s="375" t="n">
        <f aca="false">$S24*IF($L24&lt;&gt;"",$L24,$F24*$C$5)</f>
        <v>0</v>
      </c>
      <c r="V24" s="375" t="n">
        <f aca="false">$S24*$F24*IF($N24&lt;&gt;"",$N24,$C$6)</f>
        <v>0</v>
      </c>
      <c r="W24" s="375" t="n">
        <f aca="false">MAX(0,$V24-$U24)</f>
        <v>0</v>
      </c>
      <c r="X24" s="376" t="n">
        <f aca="false">IF($B24&lt;&gt;"",$B24,100+$H24)</f>
        <v>118</v>
      </c>
      <c r="Y24" s="375" t="n">
        <f aca="false">$S24*MAX(0,MIN($W24,$C$7-SUMIFS($W$11:$W$54,$X$11:$X$54,"&lt;"&amp;$X24)))</f>
        <v>0</v>
      </c>
      <c r="Z24" s="375" t="n">
        <f aca="false">$W24-$Y24</f>
        <v>0</v>
      </c>
      <c r="AA24" s="377" t="n">
        <f aca="false">$S24*($T24-$U24-$Z24)</f>
        <v>0</v>
      </c>
      <c r="AB24" s="377" t="n">
        <f aca="false">$S24*($T24-$U24)</f>
        <v>0</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No</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0</v>
      </c>
      <c r="T25" s="368" t="n">
        <f aca="false">$S25*IF($J25&lt;&gt;"",$J25,$F25*IF($I25&lt;&gt;"",$I25,$C$4)/(1+IF($I25&lt;&gt;"",$I25,$C$4)))</f>
        <v>0</v>
      </c>
      <c r="U25" s="368" t="n">
        <f aca="false">$S25*IF($L25&lt;&gt;"",$L25,$F25*$C$5)</f>
        <v>0</v>
      </c>
      <c r="V25" s="368" t="n">
        <f aca="false">$S25*$F25*IF($N25&lt;&gt;"",$N25,$C$6)</f>
        <v>0</v>
      </c>
      <c r="W25" s="368" t="n">
        <f aca="false">MAX(0,$V25-$U25)</f>
        <v>0</v>
      </c>
      <c r="X25" s="369" t="n">
        <f aca="false">IF($B25&lt;&gt;"",$B25,100+$H25)</f>
        <v>114</v>
      </c>
      <c r="Y25" s="368" t="n">
        <f aca="false">$S25*MAX(0,MIN($W25,$C$7-SUMIFS($W$11:$W$54,$X$11:$X$54,"&lt;"&amp;$X25)))</f>
        <v>0</v>
      </c>
      <c r="Z25" s="368" t="n">
        <f aca="false">$W25-$Y25</f>
        <v>0</v>
      </c>
      <c r="AA25" s="371" t="n">
        <f aca="false">$S25*($T25-$U25-$Z25)</f>
        <v>0</v>
      </c>
      <c r="AB25" s="371" t="n">
        <f aca="false">$S25*($T25-$U25)</f>
        <v>0</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No</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0</v>
      </c>
      <c r="T26" s="375" t="n">
        <f aca="false">$S26*IF($J26&lt;&gt;"",$J26,$F26*IF($I26&lt;&gt;"",$I26,$C$4)/(1+IF($I26&lt;&gt;"",$I26,$C$4)))</f>
        <v>0</v>
      </c>
      <c r="U26" s="375" t="n">
        <f aca="false">$S26*IF($L26&lt;&gt;"",$L26,$F26*$C$5)</f>
        <v>0</v>
      </c>
      <c r="V26" s="375" t="n">
        <f aca="false">$S26*$F26*IF($N26&lt;&gt;"",$N26,$C$6)</f>
        <v>0</v>
      </c>
      <c r="W26" s="375" t="n">
        <f aca="false">MAX(0,$V26-$U26)</f>
        <v>0</v>
      </c>
      <c r="X26" s="376" t="n">
        <f aca="false">IF($B26&lt;&gt;"",$B26,100+$H26)</f>
        <v>113</v>
      </c>
      <c r="Y26" s="375" t="n">
        <f aca="false">$S26*MAX(0,MIN($W26,$C$7-SUMIFS($W$11:$W$54,$X$11:$X$54,"&lt;"&amp;$X26)))</f>
        <v>0</v>
      </c>
      <c r="Z26" s="375" t="n">
        <f aca="false">$W26-$Y26</f>
        <v>0</v>
      </c>
      <c r="AA26" s="377" t="n">
        <f aca="false">$S26*($T26-$U26-$Z26)</f>
        <v>0</v>
      </c>
      <c r="AB26" s="377" t="n">
        <f aca="false">$S26*($T26-$U26)</f>
        <v>0</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No</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0</v>
      </c>
      <c r="T29" s="368" t="n">
        <f aca="false">$S29*IF($J29&lt;&gt;"",$J29,$F29*IF($I29&lt;&gt;"",$I29,$C$4)/(1+IF($I29&lt;&gt;"",$I29,$C$4)))</f>
        <v>0</v>
      </c>
      <c r="U29" s="368" t="n">
        <f aca="false">$S29*IF($L29&lt;&gt;"",$L29,$F29*$C$5)</f>
        <v>0</v>
      </c>
      <c r="V29" s="368" t="n">
        <f aca="false">$S29*$F29*IF($N29&lt;&gt;"",$N29,$C$6)</f>
        <v>0</v>
      </c>
      <c r="W29" s="368" t="n">
        <f aca="false">MAX(0,$V29-$U29)</f>
        <v>0</v>
      </c>
      <c r="X29" s="369" t="n">
        <f aca="false">IF($B29&lt;&gt;"",$B29,100+$H29)</f>
        <v>119</v>
      </c>
      <c r="Y29" s="368" t="n">
        <f aca="false">$S29*MAX(0,MIN($W29,$C$7-SUMIFS($W$11:$W$54,$X$11:$X$54,"&lt;"&amp;$X29)))</f>
        <v>0</v>
      </c>
      <c r="Z29" s="368" t="n">
        <f aca="false">$W29-$Y29</f>
        <v>0</v>
      </c>
      <c r="AA29" s="371" t="n">
        <f aca="false">$S29*($T29-$U29-$Z29)</f>
        <v>0</v>
      </c>
      <c r="AB29" s="371" t="n">
        <f aca="false">$S29*($T29-$U29)</f>
        <v>0</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584</v>
      </c>
      <c r="D54" s="374" t="s">
        <v>584</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488</v>
      </c>
      <c r="B56" s="380"/>
      <c r="C56" s="380"/>
      <c r="D56" s="380"/>
      <c r="E56" s="380"/>
      <c r="F56" s="380"/>
      <c r="G56" s="380"/>
      <c r="H56" s="380"/>
      <c r="I56" s="380"/>
      <c r="J56" s="380"/>
      <c r="K56" s="380"/>
      <c r="L56" s="380"/>
      <c r="M56" s="380"/>
      <c r="N56" s="380"/>
      <c r="O56" s="380"/>
      <c r="P56" s="380"/>
      <c r="Q56" s="380"/>
      <c r="R56" s="380"/>
      <c r="S56" s="380"/>
      <c r="T56" s="380" t="n">
        <f aca="false">SUM(T11:T54)</f>
        <v>2651436.80665025</v>
      </c>
      <c r="U56" s="380" t="n">
        <f aca="false">SUM(U11:U54)</f>
        <v>1207914.01204858</v>
      </c>
      <c r="V56" s="380" t="n">
        <f aca="false">SUM(V11:V54)</f>
        <v>5376432.582625</v>
      </c>
      <c r="W56" s="380" t="n">
        <f aca="false">SUM(W11:W54)</f>
        <v>4168518.57057642</v>
      </c>
      <c r="X56" s="380"/>
      <c r="Y56" s="380" t="n">
        <f aca="false">SUM(Y11:Y54)</f>
        <v>1800000</v>
      </c>
      <c r="Z56" s="381" t="n">
        <f aca="false">SUM(Z11:Z54)</f>
        <v>2368518.57057642</v>
      </c>
      <c r="AA56" s="381" t="n">
        <f aca="false">SUM(AA11:AA54)</f>
        <v>-924995.775974754</v>
      </c>
      <c r="AB56" s="381" t="n">
        <f aca="false">SUM(AB11:AB54)</f>
        <v>1443522.79460167</v>
      </c>
      <c r="AC56" s="381" t="n">
        <f aca="false">SUM(AC11:AC54)</f>
        <v>692876.895125</v>
      </c>
      <c r="AD56" s="380"/>
    </row>
    <row r="57" customFormat="false" ht="15" hidden="false" customHeight="true" outlineLevel="0" collapsed="false">
      <c r="A57" s="118" t="s">
        <v>1277</v>
      </c>
      <c r="C57" s="382" t="str">
        <f aca="false">IF(Y56&lt;=$C$7+0.5,"OK","OVER CAP")</f>
        <v>OK</v>
      </c>
      <c r="D57" s="357" t="s">
        <v>1278</v>
      </c>
    </row>
    <row r="58" customFormat="false" ht="15" hidden="false" customHeight="true" outlineLevel="0" collapsed="false">
      <c r="A58" s="118" t="s">
        <v>1277</v>
      </c>
      <c r="C58" s="382" t="str">
        <f aca="false">IF(ABS(SUM(Model!$B$150:$DE$150)-SUMPRODUCT((H11:H54&gt;=-2)*(H11:H54&lt;=105)*T11:T54))&lt;1,"OK","CHECK")</f>
        <v>OK</v>
      </c>
      <c r="D58" s="357" t="s">
        <v>1279</v>
      </c>
    </row>
    <row r="60" customFormat="false" ht="15" hidden="false" customHeight="true" outlineLevel="0" collapsed="false">
      <c r="A60" s="383" t="s">
        <v>1280</v>
      </c>
    </row>
    <row r="61" customFormat="false" ht="15" hidden="false" customHeight="true" outlineLevel="0" collapsed="false">
      <c r="A61" s="357" t="s">
        <v>1281</v>
      </c>
    </row>
    <row r="62" customFormat="false" ht="15" hidden="false" customHeight="true" outlineLevel="0" collapsed="false">
      <c r="A62" s="357" t="s">
        <v>1282</v>
      </c>
    </row>
    <row r="63" customFormat="false" ht="15" hidden="false" customHeight="true" outlineLevel="0" collapsed="false">
      <c r="A63" s="357" t="s">
        <v>1283</v>
      </c>
    </row>
    <row r="64" customFormat="false" ht="15" hidden="false" customHeight="true" outlineLevel="0" collapsed="false">
      <c r="A64" s="357" t="s">
        <v>1284</v>
      </c>
    </row>
    <row r="65" customFormat="false" ht="15" hidden="false" customHeight="true" outlineLevel="0" collapsed="false">
      <c r="A65" s="357" t="s">
        <v>1285</v>
      </c>
    </row>
    <row r="66" customFormat="false" ht="15" hidden="false" customHeight="true" outlineLevel="0" collapsed="false">
      <c r="A66" s="357" t="s">
        <v>1286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1287</v>
      </c>
    </row>
    <row r="3" customFormat="false" ht="15" hidden="false" customHeight="true" outlineLevel="0" collapsed="false">
      <c r="B3" s="385" t="s">
        <v>1288</v>
      </c>
    </row>
    <row r="5" customFormat="false" ht="15" hidden="false" customHeight="true" outlineLevel="0" collapsed="false">
      <c r="B5" s="386" t="s">
        <v>1289</v>
      </c>
      <c r="C5" s="387" t="s">
        <v>1290</v>
      </c>
    </row>
    <row r="6" customFormat="false" ht="24.75" hidden="false" customHeight="true" outlineLevel="0" collapsed="false">
      <c r="B6" s="386" t="s">
        <v>1291</v>
      </c>
      <c r="C6" s="387" t="s">
        <v>1292</v>
      </c>
    </row>
    <row r="7" customFormat="false" ht="24.75" hidden="false" customHeight="true" outlineLevel="0" collapsed="false">
      <c r="B7" s="386" t="s">
        <v>1293</v>
      </c>
      <c r="C7" s="387" t="s">
        <v>1294</v>
      </c>
    </row>
    <row r="8" customFormat="false" ht="24.75" hidden="false" customHeight="true" outlineLevel="0" collapsed="false">
      <c r="B8" s="386" t="s">
        <v>1295</v>
      </c>
      <c r="C8" s="387" t="s">
        <v>1296</v>
      </c>
    </row>
    <row r="9" customFormat="false" ht="24.75" hidden="false" customHeight="true" outlineLevel="0" collapsed="false">
      <c r="B9" s="386" t="s">
        <v>1297</v>
      </c>
      <c r="C9" s="387" t="s">
        <v>1298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60"/>
    <col collapsed="false" customWidth="true" hidden="false" outlineLevel="0" max="5" min="5" style="1" width="16"/>
  </cols>
  <sheetData>
    <row r="1" customFormat="false" ht="17.25" hidden="false" customHeight="true" outlineLevel="0" collapsed="false">
      <c r="A1" s="388" t="s">
        <v>1299</v>
      </c>
    </row>
    <row r="2" customFormat="false" ht="15" hidden="false" customHeight="true" outlineLevel="0" collapsed="false">
      <c r="A2" s="389" t="s">
        <v>1300</v>
      </c>
    </row>
    <row r="3" customFormat="false" ht="15" hidden="false" customHeight="true" outlineLevel="0" collapsed="false">
      <c r="A3" s="390" t="s">
        <v>1301</v>
      </c>
      <c r="B3" s="391" t="s">
        <v>584</v>
      </c>
    </row>
    <row r="4" customFormat="false" ht="15" hidden="false" customHeight="true" outlineLevel="0" collapsed="false">
      <c r="A4" s="386" t="s">
        <v>1302</v>
      </c>
    </row>
    <row r="5" customFormat="false" ht="15" hidden="false" customHeight="true" outlineLevel="0" collapsed="false">
      <c r="A5" s="123" t="s">
        <v>1303</v>
      </c>
      <c r="B5" s="392" t="n">
        <v>11</v>
      </c>
      <c r="C5" s="389" t="s">
        <v>1304</v>
      </c>
    </row>
    <row r="6" customFormat="false" ht="15" hidden="false" customHeight="true" outlineLevel="0" collapsed="false">
      <c r="A6" s="123" t="s">
        <v>1305</v>
      </c>
      <c r="B6" s="392" t="n">
        <v>13</v>
      </c>
      <c r="C6" s="389" t="s">
        <v>1306</v>
      </c>
    </row>
    <row r="7" customFormat="false" ht="15" hidden="false" customHeight="true" outlineLevel="0" collapsed="false">
      <c r="A7" s="123" t="s">
        <v>1307</v>
      </c>
      <c r="B7" s="392" t="n">
        <v>60</v>
      </c>
      <c r="C7" s="389" t="s">
        <v>1308</v>
      </c>
    </row>
    <row r="8" customFormat="false" ht="15" hidden="false" customHeight="true" outlineLevel="0" collapsed="false">
      <c r="A8" s="123" t="s">
        <v>1309</v>
      </c>
      <c r="B8" s="392" t="n">
        <v>24</v>
      </c>
      <c r="C8" s="389" t="s">
        <v>1310</v>
      </c>
    </row>
    <row r="9" customFormat="false" ht="15" hidden="false" customHeight="true" outlineLevel="0" collapsed="false">
      <c r="A9" s="386" t="s">
        <v>1311</v>
      </c>
    </row>
    <row r="10" customFormat="false" ht="15" hidden="false" customHeight="true" outlineLevel="0" collapsed="false">
      <c r="A10" s="123" t="s">
        <v>1312</v>
      </c>
      <c r="B10" s="393" t="n">
        <v>14000</v>
      </c>
      <c r="C10" s="389" t="s">
        <v>1313</v>
      </c>
    </row>
    <row r="11" customFormat="false" ht="15" hidden="false" customHeight="true" outlineLevel="0" collapsed="false">
      <c r="A11" s="123" t="s">
        <v>1314</v>
      </c>
      <c r="B11" s="393" t="n">
        <v>96563</v>
      </c>
      <c r="C11" s="389" t="s">
        <v>1315</v>
      </c>
    </row>
    <row r="12" customFormat="false" ht="15" hidden="false" customHeight="true" outlineLevel="0" collapsed="false">
      <c r="A12" s="123" t="s">
        <v>1316</v>
      </c>
      <c r="B12" s="393" t="n">
        <v>5400</v>
      </c>
      <c r="C12" s="389" t="s">
        <v>1317</v>
      </c>
    </row>
    <row r="13" customFormat="false" ht="15" hidden="false" customHeight="true" outlineLevel="0" collapsed="false">
      <c r="A13" s="123" t="s">
        <v>1318</v>
      </c>
      <c r="B13" s="393" t="n">
        <v>34198</v>
      </c>
      <c r="C13" s="389" t="s">
        <v>1319</v>
      </c>
    </row>
    <row r="14" customFormat="false" ht="15" hidden="false" customHeight="true" outlineLevel="0" collapsed="false">
      <c r="A14" s="386" t="s">
        <v>1320</v>
      </c>
    </row>
    <row r="15" customFormat="false" ht="15" hidden="false" customHeight="true" outlineLevel="0" collapsed="false">
      <c r="A15" s="123" t="s">
        <v>1321</v>
      </c>
      <c r="B15" s="392" t="n">
        <v>4</v>
      </c>
      <c r="C15" s="389" t="s">
        <v>1322</v>
      </c>
    </row>
    <row r="16" customFormat="false" ht="15" hidden="false" customHeight="true" outlineLevel="0" collapsed="false">
      <c r="A16" s="123" t="s">
        <v>1323</v>
      </c>
      <c r="B16" s="392" t="n">
        <v>12</v>
      </c>
      <c r="C16" s="389" t="s">
        <v>1324</v>
      </c>
    </row>
    <row r="17" customFormat="false" ht="15" hidden="false" customHeight="true" outlineLevel="0" collapsed="false">
      <c r="A17" s="123" t="s">
        <v>1325</v>
      </c>
      <c r="B17" s="392" t="n">
        <v>14</v>
      </c>
      <c r="C17" s="389" t="s">
        <v>1326</v>
      </c>
    </row>
    <row r="18" customFormat="false" ht="15" hidden="false" customHeight="true" outlineLevel="0" collapsed="false">
      <c r="A18" s="123" t="s">
        <v>1327</v>
      </c>
      <c r="B18" s="392" t="n">
        <v>1</v>
      </c>
      <c r="C18" s="389" t="s">
        <v>1328</v>
      </c>
    </row>
    <row r="19" customFormat="false" ht="15" hidden="false" customHeight="true" outlineLevel="0" collapsed="false">
      <c r="A19" s="386" t="s">
        <v>1329</v>
      </c>
    </row>
    <row r="20" customFormat="false" ht="15" hidden="false" customHeight="true" outlineLevel="0" collapsed="false">
      <c r="A20" s="123" t="s">
        <v>1330</v>
      </c>
      <c r="B20" s="393" t="n">
        <v>400000</v>
      </c>
      <c r="C20" s="389" t="s">
        <v>1331</v>
      </c>
    </row>
    <row r="21" customFormat="false" ht="15" hidden="false" customHeight="true" outlineLevel="0" collapsed="false">
      <c r="A21" s="123" t="s">
        <v>1332</v>
      </c>
      <c r="B21" s="393" t="n">
        <v>400000</v>
      </c>
      <c r="C21" s="389" t="s">
        <v>1333</v>
      </c>
    </row>
    <row r="22" customFormat="false" ht="15" hidden="false" customHeight="true" outlineLevel="0" collapsed="false">
      <c r="A22" s="123" t="s">
        <v>1334</v>
      </c>
      <c r="B22" s="392" t="n">
        <v>60</v>
      </c>
      <c r="C22" s="389" t="s">
        <v>1335</v>
      </c>
    </row>
    <row r="23" customFormat="false" ht="15" hidden="false" customHeight="true" outlineLevel="0" collapsed="false">
      <c r="A23" s="123" t="s">
        <v>1336</v>
      </c>
      <c r="B23" s="392" t="n">
        <v>1</v>
      </c>
      <c r="C23" s="389" t="s">
        <v>1337</v>
      </c>
    </row>
    <row r="24" customFormat="false" ht="15" hidden="false" customHeight="true" outlineLevel="0" collapsed="false">
      <c r="A24" s="123" t="s">
        <v>1338</v>
      </c>
      <c r="B24" s="392" t="n">
        <v>4</v>
      </c>
      <c r="C24" s="389" t="s">
        <v>1339</v>
      </c>
    </row>
    <row r="25" customFormat="false" ht="15" hidden="false" customHeight="true" outlineLevel="0" collapsed="false">
      <c r="A25" s="123" t="s">
        <v>1340</v>
      </c>
      <c r="B25" s="392" t="n">
        <v>20</v>
      </c>
      <c r="C25" s="389" t="s">
        <v>1341</v>
      </c>
    </row>
    <row r="26" customFormat="false" ht="15" hidden="false" customHeight="true" outlineLevel="0" collapsed="false">
      <c r="A26" s="123" t="s">
        <v>1342</v>
      </c>
      <c r="B26" s="392" t="n">
        <v>40</v>
      </c>
      <c r="C26" s="389"/>
    </row>
    <row r="27" customFormat="false" ht="15" hidden="false" customHeight="true" outlineLevel="0" collapsed="false">
      <c r="A27" s="123" t="s">
        <v>1343</v>
      </c>
      <c r="B27" s="392" t="n">
        <v>3</v>
      </c>
      <c r="C27" s="389"/>
    </row>
    <row r="28" customFormat="false" ht="15" hidden="false" customHeight="true" outlineLevel="0" collapsed="false">
      <c r="A28" s="123" t="s">
        <v>1344</v>
      </c>
      <c r="B28" s="392" t="n">
        <v>1</v>
      </c>
      <c r="C28" s="389" t="s">
        <v>1345</v>
      </c>
    </row>
    <row r="29" customFormat="false" ht="15" hidden="false" customHeight="true" outlineLevel="0" collapsed="false">
      <c r="A29" s="123" t="s">
        <v>1346</v>
      </c>
      <c r="B29" s="393" t="n">
        <v>3000000</v>
      </c>
      <c r="C29" s="389" t="s">
        <v>1347</v>
      </c>
    </row>
    <row r="30" customFormat="false" ht="15" hidden="false" customHeight="true" outlineLevel="0" collapsed="false">
      <c r="A30" s="123" t="s">
        <v>1348</v>
      </c>
      <c r="B30" s="394" t="n">
        <v>0.5</v>
      </c>
      <c r="C30" s="389"/>
    </row>
    <row r="31" customFormat="false" ht="15" hidden="false" customHeight="true" outlineLevel="0" collapsed="false">
      <c r="A31" s="123" t="s">
        <v>1349</v>
      </c>
      <c r="B31" s="394" t="n">
        <v>0.5</v>
      </c>
      <c r="C31" s="389"/>
    </row>
    <row r="32" customFormat="false" ht="15" hidden="false" customHeight="true" outlineLevel="0" collapsed="false">
      <c r="A32" s="123" t="s">
        <v>1350</v>
      </c>
      <c r="B32" s="394" t="n">
        <v>0</v>
      </c>
      <c r="C32" s="389" t="s">
        <v>1351</v>
      </c>
    </row>
    <row r="33" customFormat="false" ht="15" hidden="false" customHeight="true" outlineLevel="0" collapsed="false">
      <c r="A33" s="123" t="s">
        <v>1352</v>
      </c>
      <c r="B33" s="392" t="n">
        <v>3</v>
      </c>
      <c r="C33" s="389" t="s">
        <v>1353</v>
      </c>
    </row>
    <row r="34" customFormat="false" ht="15" hidden="false" customHeight="true" outlineLevel="0" collapsed="false">
      <c r="A34" s="386" t="s">
        <v>1354</v>
      </c>
    </row>
    <row r="35" customFormat="false" ht="15" hidden="false" customHeight="true" outlineLevel="0" collapsed="false">
      <c r="A35" s="123" t="s">
        <v>1355</v>
      </c>
      <c r="B35" s="393" t="n">
        <v>184500</v>
      </c>
      <c r="C35" s="389" t="s">
        <v>1356</v>
      </c>
    </row>
    <row r="36" customFormat="false" ht="15" hidden="false" customHeight="true" outlineLevel="0" collapsed="false">
      <c r="A36" s="123" t="s">
        <v>1357</v>
      </c>
      <c r="B36" s="394" t="n">
        <v>0.062</v>
      </c>
      <c r="C36" s="389"/>
    </row>
    <row r="37" customFormat="false" ht="15" hidden="false" customHeight="true" outlineLevel="0" collapsed="false">
      <c r="A37" s="123" t="s">
        <v>1358</v>
      </c>
      <c r="B37" s="394" t="n">
        <v>0.0145</v>
      </c>
      <c r="C37" s="389"/>
    </row>
    <row r="38" customFormat="false" ht="15" hidden="false" customHeight="true" outlineLevel="0" collapsed="false">
      <c r="A38" s="123" t="s">
        <v>1359</v>
      </c>
      <c r="B38" s="394" t="n">
        <v>0.05</v>
      </c>
      <c r="C38" s="389" t="s">
        <v>1360</v>
      </c>
    </row>
    <row r="39" customFormat="false" ht="15" hidden="false" customHeight="true" outlineLevel="0" collapsed="false">
      <c r="A39" s="123" t="s">
        <v>1361</v>
      </c>
      <c r="B39" s="394" t="n">
        <v>0.12</v>
      </c>
      <c r="C39" s="389" t="s">
        <v>1362</v>
      </c>
    </row>
    <row r="40" customFormat="false" ht="15" hidden="false" customHeight="true" outlineLevel="0" collapsed="false">
      <c r="A40" s="123" t="s">
        <v>1363</v>
      </c>
      <c r="B40" s="394" t="n">
        <v>0.15</v>
      </c>
      <c r="C40" s="389" t="s">
        <v>1364</v>
      </c>
    </row>
    <row r="41" customFormat="false" ht="15" hidden="false" customHeight="true" outlineLevel="0" collapsed="false">
      <c r="A41" s="386" t="s">
        <v>1365</v>
      </c>
    </row>
    <row r="42" customFormat="false" ht="15" hidden="false" customHeight="true" outlineLevel="0" collapsed="false">
      <c r="A42" s="123" t="s">
        <v>1366</v>
      </c>
      <c r="B42" s="393" t="n">
        <v>10000</v>
      </c>
      <c r="C42" s="389" t="s">
        <v>1367</v>
      </c>
    </row>
    <row r="43" customFormat="false" ht="15" hidden="false" customHeight="true" outlineLevel="0" collapsed="false">
      <c r="A43" s="123" t="s">
        <v>1368</v>
      </c>
      <c r="B43" s="393" t="n">
        <v>700</v>
      </c>
      <c r="C43" s="389" t="s">
        <v>1369</v>
      </c>
    </row>
    <row r="44" customFormat="false" ht="15" hidden="false" customHeight="true" outlineLevel="0" collapsed="false">
      <c r="A44" s="123" t="s">
        <v>1370</v>
      </c>
      <c r="B44" s="393" t="n">
        <v>15000</v>
      </c>
      <c r="C44" s="389" t="s">
        <v>1371</v>
      </c>
    </row>
    <row r="45" customFormat="false" ht="15" hidden="false" customHeight="true" outlineLevel="0" collapsed="false">
      <c r="A45" s="123" t="s">
        <v>1372</v>
      </c>
      <c r="B45" s="393" t="n">
        <v>25000</v>
      </c>
      <c r="C45" s="389" t="s">
        <v>1373</v>
      </c>
    </row>
    <row r="46" customFormat="false" ht="15" hidden="false" customHeight="true" outlineLevel="0" collapsed="false">
      <c r="A46" s="386" t="s">
        <v>1374</v>
      </c>
    </row>
    <row r="47" customFormat="false" ht="15" hidden="false" customHeight="true" outlineLevel="0" collapsed="false">
      <c r="A47" s="123" t="s">
        <v>1375</v>
      </c>
      <c r="B47" s="392" t="n">
        <v>12</v>
      </c>
      <c r="C47" s="389" t="s">
        <v>1376</v>
      </c>
    </row>
    <row r="48" customFormat="false" ht="15" hidden="false" customHeight="true" outlineLevel="0" collapsed="false">
      <c r="A48" s="123" t="s">
        <v>1377</v>
      </c>
      <c r="B48" s="393" t="n">
        <v>125000</v>
      </c>
      <c r="C48" s="389"/>
    </row>
    <row r="49" customFormat="false" ht="15" hidden="false" customHeight="true" outlineLevel="0" collapsed="false">
      <c r="A49" s="123" t="s">
        <v>1378</v>
      </c>
      <c r="B49" s="393" t="n">
        <v>110000</v>
      </c>
      <c r="C49" s="389" t="s">
        <v>1379</v>
      </c>
    </row>
    <row r="50" customFormat="false" ht="15" hidden="false" customHeight="true" outlineLevel="0" collapsed="false">
      <c r="A50" s="123" t="s">
        <v>1380</v>
      </c>
      <c r="B50" s="392" t="n">
        <v>25</v>
      </c>
      <c r="C50" s="389"/>
    </row>
    <row r="51" customFormat="false" ht="15" hidden="false" customHeight="true" outlineLevel="0" collapsed="false">
      <c r="A51" s="123" t="s">
        <v>1381</v>
      </c>
      <c r="B51" s="393" t="n">
        <v>5000</v>
      </c>
      <c r="C51" s="389" t="s">
        <v>1382</v>
      </c>
    </row>
    <row r="53" customFormat="false" ht="15" hidden="false" customHeight="true" outlineLevel="0" collapsed="false">
      <c r="A53" s="386" t="s">
        <v>1383</v>
      </c>
    </row>
    <row r="54" customFormat="false" ht="15" hidden="false" customHeight="true" outlineLevel="0" collapsed="false">
      <c r="A54" s="123" t="s">
        <v>1384</v>
      </c>
      <c r="B54" s="393" t="n">
        <v>5000</v>
      </c>
      <c r="C54" s="389" t="s">
        <v>1385</v>
      </c>
    </row>
    <row r="55" customFormat="false" ht="15" hidden="false" customHeight="true" outlineLevel="0" collapsed="false">
      <c r="A55" s="123" t="s">
        <v>1386</v>
      </c>
      <c r="B55" s="393" t="n">
        <v>5000</v>
      </c>
      <c r="C55" s="389" t="s">
        <v>510</v>
      </c>
    </row>
    <row r="56" customFormat="false" ht="15" hidden="false" customHeight="true" outlineLevel="0" collapsed="false">
      <c r="A56" s="123" t="s">
        <v>1387</v>
      </c>
      <c r="B56" s="393" t="n">
        <v>10000</v>
      </c>
      <c r="C56" s="389" t="s">
        <v>1388</v>
      </c>
    </row>
    <row r="57" customFormat="false" ht="15" hidden="false" customHeight="true" outlineLevel="0" collapsed="false">
      <c r="A57" s="386" t="s">
        <v>1389</v>
      </c>
    </row>
    <row r="58" customFormat="false" ht="15" hidden="false" customHeight="true" outlineLevel="0" collapsed="false">
      <c r="A58" s="123" t="s">
        <v>1390</v>
      </c>
      <c r="B58" s="393" t="n">
        <v>115000</v>
      </c>
      <c r="C58" s="389" t="s">
        <v>1391</v>
      </c>
    </row>
    <row r="59" customFormat="false" ht="15" hidden="false" customHeight="true" outlineLevel="0" collapsed="false">
      <c r="A59" s="123" t="s">
        <v>1392</v>
      </c>
      <c r="B59" s="395" t="n">
        <v>7</v>
      </c>
      <c r="C59" s="389" t="s">
        <v>1393</v>
      </c>
    </row>
    <row r="60" customFormat="false" ht="15" hidden="false" customHeight="true" outlineLevel="0" collapsed="false">
      <c r="A60" s="386" t="s">
        <v>1394</v>
      </c>
      <c r="E60" s="386" t="s">
        <v>1395</v>
      </c>
    </row>
    <row r="61" customFormat="false" ht="15" hidden="false" customHeight="true" outlineLevel="0" collapsed="false">
      <c r="A61" s="118" t="s">
        <v>1396</v>
      </c>
      <c r="B61" s="118" t="s">
        <v>1397</v>
      </c>
      <c r="E61" s="118" t="s">
        <v>1398</v>
      </c>
      <c r="F61" s="118" t="s">
        <v>1397</v>
      </c>
      <c r="G61" s="118" t="s">
        <v>1399</v>
      </c>
      <c r="H61" s="118" t="s">
        <v>1400</v>
      </c>
    </row>
    <row r="62" customFormat="false" ht="15" hidden="false" customHeight="true" outlineLevel="0" collapsed="false">
      <c r="A62" s="123" t="n">
        <v>1</v>
      </c>
      <c r="B62" s="396" t="n">
        <v>1</v>
      </c>
      <c r="E62" s="123" t="n">
        <v>1</v>
      </c>
      <c r="F62" s="351" t="n">
        <f aca="false">IF(1&gt;'Uplifters Inputs'!$B$8,0,INDEX($B$62:$B$85,INT((1+(1-1)*23/MAX(1,'Uplifters Inputs'!$B$8-1))))*(1-((1+(1-1)*23/MAX(1,'Uplifters Inputs'!$B$8-1))-INT((1+(1-1)*23/MAX(1,'Uplifters Inputs'!$B$8-1)))))+INDEX($B$62:$B$85,MIN(24,INT((1+(1-1)*23/MAX(1,'Uplifters Inputs'!$B$8-1)))+1))*((1+(1-1)*23/MAX(1,'Uplifters Inputs'!$B$8-1))-INT((1+(1-1)*23/MAX(1,'Uplifters Inputs'!$B$8-1)))))</f>
        <v>1</v>
      </c>
      <c r="G62" s="351" t="n">
        <f aca="false">SUM($F$62:F62)</f>
        <v>1</v>
      </c>
      <c r="H62" s="397" t="n">
        <f aca="false">ROUND('Uplifters Inputs'!$B$7*G62/$G$121,0)-0</f>
        <v>1</v>
      </c>
    </row>
    <row r="63" customFormat="false" ht="15" hidden="false" customHeight="true" outlineLevel="0" collapsed="false">
      <c r="A63" s="123" t="n">
        <v>2</v>
      </c>
      <c r="B63" s="396" t="n">
        <v>2</v>
      </c>
      <c r="E63" s="123" t="n">
        <v>2</v>
      </c>
      <c r="F63" s="351" t="n">
        <f aca="false">IF(2&gt;'Uplifters Inputs'!$B$8,0,INDEX($B$62:$B$85,INT((1+(2-1)*23/MAX(1,'Uplifters Inputs'!$B$8-1))))*(1-((1+(2-1)*23/MAX(1,'Uplifters Inputs'!$B$8-1))-INT((1+(2-1)*23/MAX(1,'Uplifters Inputs'!$B$8-1)))))+INDEX($B$62:$B$85,MIN(24,INT((1+(2-1)*23/MAX(1,'Uplifters Inputs'!$B$8-1)))+1))*((1+(2-1)*23/MAX(1,'Uplifters Inputs'!$B$8-1))-INT((1+(2-1)*23/MAX(1,'Uplifters Inputs'!$B$8-1)))))</f>
        <v>2</v>
      </c>
      <c r="G63" s="351" t="n">
        <f aca="false">SUM($F$62:F63)</f>
        <v>3</v>
      </c>
      <c r="H63" s="397" t="n">
        <f aca="false">ROUND('Uplifters Inputs'!$B$7*G63/$G$121,0)-ROUND('Uplifters Inputs'!$B$7*G62/$G$121,0)</f>
        <v>2</v>
      </c>
    </row>
    <row r="64" customFormat="false" ht="15" hidden="false" customHeight="true" outlineLevel="0" collapsed="false">
      <c r="A64" s="123" t="n">
        <v>3</v>
      </c>
      <c r="B64" s="396" t="n">
        <v>3</v>
      </c>
      <c r="E64" s="123" t="n">
        <v>3</v>
      </c>
      <c r="F64" s="351" t="n">
        <f aca="false">IF(3&gt;'Uplifters Inputs'!$B$8,0,INDEX($B$62:$B$85,INT((1+(3-1)*23/MAX(1,'Uplifters Inputs'!$B$8-1))))*(1-((1+(3-1)*23/MAX(1,'Uplifters Inputs'!$B$8-1))-INT((1+(3-1)*23/MAX(1,'Uplifters Inputs'!$B$8-1)))))+INDEX($B$62:$B$85,MIN(24,INT((1+(3-1)*23/MAX(1,'Uplifters Inputs'!$B$8-1)))+1))*((1+(3-1)*23/MAX(1,'Uplifters Inputs'!$B$8-1))-INT((1+(3-1)*23/MAX(1,'Uplifters Inputs'!$B$8-1)))))</f>
        <v>3</v>
      </c>
      <c r="G64" s="351" t="n">
        <f aca="false">SUM($F$62:F64)</f>
        <v>6</v>
      </c>
      <c r="H64" s="397" t="n">
        <f aca="false">ROUND('Uplifters Inputs'!$B$7*G64/$G$121,0)-ROUND('Uplifters Inputs'!$B$7*G63/$G$121,0)</f>
        <v>3</v>
      </c>
    </row>
    <row r="65" customFormat="false" ht="15" hidden="false" customHeight="true" outlineLevel="0" collapsed="false">
      <c r="A65" s="123" t="n">
        <v>4</v>
      </c>
      <c r="B65" s="396" t="n">
        <v>4</v>
      </c>
      <c r="E65" s="123" t="n">
        <v>4</v>
      </c>
      <c r="F65" s="351" t="n">
        <f aca="false">IF(4&gt;'Uplifters Inputs'!$B$8,0,INDEX($B$62:$B$85,INT((1+(4-1)*23/MAX(1,'Uplifters Inputs'!$B$8-1))))*(1-((1+(4-1)*23/MAX(1,'Uplifters Inputs'!$B$8-1))-INT((1+(4-1)*23/MAX(1,'Uplifters Inputs'!$B$8-1)))))+INDEX($B$62:$B$85,MIN(24,INT((1+(4-1)*23/MAX(1,'Uplifters Inputs'!$B$8-1)))+1))*((1+(4-1)*23/MAX(1,'Uplifters Inputs'!$B$8-1))-INT((1+(4-1)*23/MAX(1,'Uplifters Inputs'!$B$8-1)))))</f>
        <v>4</v>
      </c>
      <c r="G65" s="351" t="n">
        <f aca="false">SUM($F$62:F65)</f>
        <v>10</v>
      </c>
      <c r="H65" s="397" t="n">
        <f aca="false">ROUND('Uplifters Inputs'!$B$7*G65/$G$121,0)-ROUND('Uplifters Inputs'!$B$7*G64/$G$121,0)</f>
        <v>4</v>
      </c>
    </row>
    <row r="66" customFormat="false" ht="15" hidden="false" customHeight="true" outlineLevel="0" collapsed="false">
      <c r="A66" s="123" t="n">
        <v>5</v>
      </c>
      <c r="B66" s="396" t="n">
        <v>5</v>
      </c>
      <c r="E66" s="123" t="n">
        <v>5</v>
      </c>
      <c r="F66" s="351" t="n">
        <f aca="false">IF(5&gt;'Uplifters Inputs'!$B$8,0,INDEX($B$62:$B$85,INT((1+(5-1)*23/MAX(1,'Uplifters Inputs'!$B$8-1))))*(1-((1+(5-1)*23/MAX(1,'Uplifters Inputs'!$B$8-1))-INT((1+(5-1)*23/MAX(1,'Uplifters Inputs'!$B$8-1)))))+INDEX($B$62:$B$85,MIN(24,INT((1+(5-1)*23/MAX(1,'Uplifters Inputs'!$B$8-1)))+1))*((1+(5-1)*23/MAX(1,'Uplifters Inputs'!$B$8-1))-INT((1+(5-1)*23/MAX(1,'Uplifters Inputs'!$B$8-1)))))</f>
        <v>5</v>
      </c>
      <c r="G66" s="351" t="n">
        <f aca="false">SUM($F$62:F66)</f>
        <v>15</v>
      </c>
      <c r="H66" s="397" t="n">
        <f aca="false">ROUND('Uplifters Inputs'!$B$7*G66/$G$121,0)-ROUND('Uplifters Inputs'!$B$7*G65/$G$121,0)</f>
        <v>5</v>
      </c>
    </row>
    <row r="67" customFormat="false" ht="15" hidden="false" customHeight="true" outlineLevel="0" collapsed="false">
      <c r="A67" s="123" t="n">
        <v>6</v>
      </c>
      <c r="B67" s="396" t="n">
        <v>5</v>
      </c>
      <c r="E67" s="123" t="n">
        <v>6</v>
      </c>
      <c r="F67" s="351" t="n">
        <f aca="false">IF(6&gt;'Uplifters Inputs'!$B$8,0,INDEX($B$62:$B$85,INT((1+(6-1)*23/MAX(1,'Uplifters Inputs'!$B$8-1))))*(1-((1+(6-1)*23/MAX(1,'Uplifters Inputs'!$B$8-1))-INT((1+(6-1)*23/MAX(1,'Uplifters Inputs'!$B$8-1)))))+INDEX($B$62:$B$85,MIN(24,INT((1+(6-1)*23/MAX(1,'Uplifters Inputs'!$B$8-1)))+1))*((1+(6-1)*23/MAX(1,'Uplifters Inputs'!$B$8-1))-INT((1+(6-1)*23/MAX(1,'Uplifters Inputs'!$B$8-1)))))</f>
        <v>5</v>
      </c>
      <c r="G67" s="351" t="n">
        <f aca="false">SUM($F$62:F67)</f>
        <v>20</v>
      </c>
      <c r="H67" s="397" t="n">
        <f aca="false">ROUND('Uplifters Inputs'!$B$7*G67/$G$121,0)-ROUND('Uplifters Inputs'!$B$7*G66/$G$121,0)</f>
        <v>5</v>
      </c>
    </row>
    <row r="68" customFormat="false" ht="15" hidden="false" customHeight="true" outlineLevel="0" collapsed="false">
      <c r="A68" s="123" t="n">
        <v>7</v>
      </c>
      <c r="B68" s="396" t="n">
        <v>5</v>
      </c>
      <c r="E68" s="123" t="n">
        <v>7</v>
      </c>
      <c r="F68" s="351" t="n">
        <f aca="false">IF(7&gt;'Uplifters Inputs'!$B$8,0,INDEX($B$62:$B$85,INT((1+(7-1)*23/MAX(1,'Uplifters Inputs'!$B$8-1))))*(1-((1+(7-1)*23/MAX(1,'Uplifters Inputs'!$B$8-1))-INT((1+(7-1)*23/MAX(1,'Uplifters Inputs'!$B$8-1)))))+INDEX($B$62:$B$85,MIN(24,INT((1+(7-1)*23/MAX(1,'Uplifters Inputs'!$B$8-1)))+1))*((1+(7-1)*23/MAX(1,'Uplifters Inputs'!$B$8-1))-INT((1+(7-1)*23/MAX(1,'Uplifters Inputs'!$B$8-1)))))</f>
        <v>5</v>
      </c>
      <c r="G68" s="351" t="n">
        <f aca="false">SUM($F$62:F68)</f>
        <v>25</v>
      </c>
      <c r="H68" s="397" t="n">
        <f aca="false">ROUND('Uplifters Inputs'!$B$7*G68/$G$121,0)-ROUND('Uplifters Inputs'!$B$7*G67/$G$121,0)</f>
        <v>5</v>
      </c>
    </row>
    <row r="69" customFormat="false" ht="15" hidden="false" customHeight="true" outlineLevel="0" collapsed="false">
      <c r="A69" s="123" t="n">
        <v>8</v>
      </c>
      <c r="B69" s="396" t="n">
        <v>5</v>
      </c>
      <c r="E69" s="123" t="n">
        <v>8</v>
      </c>
      <c r="F69" s="351" t="n">
        <f aca="false">IF(8&gt;'Uplifters Inputs'!$B$8,0,INDEX($B$62:$B$85,INT((1+(8-1)*23/MAX(1,'Uplifters Inputs'!$B$8-1))))*(1-((1+(8-1)*23/MAX(1,'Uplifters Inputs'!$B$8-1))-INT((1+(8-1)*23/MAX(1,'Uplifters Inputs'!$B$8-1)))))+INDEX($B$62:$B$85,MIN(24,INT((1+(8-1)*23/MAX(1,'Uplifters Inputs'!$B$8-1)))+1))*((1+(8-1)*23/MAX(1,'Uplifters Inputs'!$B$8-1))-INT((1+(8-1)*23/MAX(1,'Uplifters Inputs'!$B$8-1)))))</f>
        <v>5</v>
      </c>
      <c r="G69" s="351" t="n">
        <f aca="false">SUM($F$62:F69)</f>
        <v>30</v>
      </c>
      <c r="H69" s="397" t="n">
        <f aca="false">ROUND('Uplifters Inputs'!$B$7*G69/$G$121,0)-ROUND('Uplifters Inputs'!$B$7*G68/$G$121,0)</f>
        <v>5</v>
      </c>
    </row>
    <row r="70" customFormat="false" ht="15" hidden="false" customHeight="true" outlineLevel="0" collapsed="false">
      <c r="A70" s="123" t="n">
        <v>9</v>
      </c>
      <c r="B70" s="396" t="n">
        <v>4</v>
      </c>
      <c r="E70" s="123" t="n">
        <v>9</v>
      </c>
      <c r="F70" s="351" t="n">
        <f aca="false">IF(9&gt;'Uplifters Inputs'!$B$8,0,INDEX($B$62:$B$85,INT((1+(9-1)*23/MAX(1,'Uplifters Inputs'!$B$8-1))))*(1-((1+(9-1)*23/MAX(1,'Uplifters Inputs'!$B$8-1))-INT((1+(9-1)*23/MAX(1,'Uplifters Inputs'!$B$8-1)))))+INDEX($B$62:$B$85,MIN(24,INT((1+(9-1)*23/MAX(1,'Uplifters Inputs'!$B$8-1)))+1))*((1+(9-1)*23/MAX(1,'Uplifters Inputs'!$B$8-1))-INT((1+(9-1)*23/MAX(1,'Uplifters Inputs'!$B$8-1)))))</f>
        <v>4</v>
      </c>
      <c r="G70" s="351" t="n">
        <f aca="false">SUM($F$62:F70)</f>
        <v>34</v>
      </c>
      <c r="H70" s="397" t="n">
        <f aca="false">ROUND('Uplifters Inputs'!$B$7*G70/$G$121,0)-ROUND('Uplifters Inputs'!$B$7*G69/$G$121,0)</f>
        <v>4</v>
      </c>
    </row>
    <row r="71" customFormat="false" ht="15" hidden="false" customHeight="true" outlineLevel="0" collapsed="false">
      <c r="A71" s="123" t="n">
        <v>10</v>
      </c>
      <c r="B71" s="396" t="n">
        <v>4</v>
      </c>
      <c r="E71" s="123" t="n">
        <v>10</v>
      </c>
      <c r="F71" s="351" t="n">
        <f aca="false">IF(10&gt;'Uplifters Inputs'!$B$8,0,INDEX($B$62:$B$85,INT((1+(10-1)*23/MAX(1,'Uplifters Inputs'!$B$8-1))))*(1-((1+(10-1)*23/MAX(1,'Uplifters Inputs'!$B$8-1))-INT((1+(10-1)*23/MAX(1,'Uplifters Inputs'!$B$8-1)))))+INDEX($B$62:$B$85,MIN(24,INT((1+(10-1)*23/MAX(1,'Uplifters Inputs'!$B$8-1)))+1))*((1+(10-1)*23/MAX(1,'Uplifters Inputs'!$B$8-1))-INT((1+(10-1)*23/MAX(1,'Uplifters Inputs'!$B$8-1)))))</f>
        <v>4</v>
      </c>
      <c r="G71" s="351" t="n">
        <f aca="false">SUM($F$62:F71)</f>
        <v>38</v>
      </c>
      <c r="H71" s="397" t="n">
        <f aca="false">ROUND('Uplifters Inputs'!$B$7*G71/$G$121,0)-ROUND('Uplifters Inputs'!$B$7*G70/$G$121,0)</f>
        <v>4</v>
      </c>
    </row>
    <row r="72" customFormat="false" ht="15" hidden="false" customHeight="true" outlineLevel="0" collapsed="false">
      <c r="A72" s="123" t="n">
        <v>11</v>
      </c>
      <c r="B72" s="396" t="n">
        <v>3</v>
      </c>
      <c r="E72" s="123" t="n">
        <v>11</v>
      </c>
      <c r="F72" s="351" t="n">
        <f aca="false">IF(11&gt;'Uplifters Inputs'!$B$8,0,INDEX($B$62:$B$85,INT((1+(11-1)*23/MAX(1,'Uplifters Inputs'!$B$8-1))))*(1-((1+(11-1)*23/MAX(1,'Uplifters Inputs'!$B$8-1))-INT((1+(11-1)*23/MAX(1,'Uplifters Inputs'!$B$8-1)))))+INDEX($B$62:$B$85,MIN(24,INT((1+(11-1)*23/MAX(1,'Uplifters Inputs'!$B$8-1)))+1))*((1+(11-1)*23/MAX(1,'Uplifters Inputs'!$B$8-1))-INT((1+(11-1)*23/MAX(1,'Uplifters Inputs'!$B$8-1)))))</f>
        <v>3</v>
      </c>
      <c r="G72" s="351" t="n">
        <f aca="false">SUM($F$62:F72)</f>
        <v>41</v>
      </c>
      <c r="H72" s="397" t="n">
        <f aca="false">ROUND('Uplifters Inputs'!$B$7*G72/$G$121,0)-ROUND('Uplifters Inputs'!$B$7*G71/$G$121,0)</f>
        <v>3</v>
      </c>
    </row>
    <row r="73" customFormat="false" ht="15" hidden="false" customHeight="true" outlineLevel="0" collapsed="false">
      <c r="A73" s="123" t="n">
        <v>12</v>
      </c>
      <c r="B73" s="396" t="n">
        <v>3</v>
      </c>
      <c r="E73" s="123" t="n">
        <v>12</v>
      </c>
      <c r="F73" s="351" t="n">
        <f aca="false">IF(12&gt;'Uplifters Inputs'!$B$8,0,INDEX($B$62:$B$85,INT((1+(12-1)*23/MAX(1,'Uplifters Inputs'!$B$8-1))))*(1-((1+(12-1)*23/MAX(1,'Uplifters Inputs'!$B$8-1))-INT((1+(12-1)*23/MAX(1,'Uplifters Inputs'!$B$8-1)))))+INDEX($B$62:$B$85,MIN(24,INT((1+(12-1)*23/MAX(1,'Uplifters Inputs'!$B$8-1)))+1))*((1+(12-1)*23/MAX(1,'Uplifters Inputs'!$B$8-1))-INT((1+(12-1)*23/MAX(1,'Uplifters Inputs'!$B$8-1)))))</f>
        <v>3</v>
      </c>
      <c r="G73" s="351" t="n">
        <f aca="false">SUM($F$62:F73)</f>
        <v>44</v>
      </c>
      <c r="H73" s="397" t="n">
        <f aca="false">ROUND('Uplifters Inputs'!$B$7*G73/$G$121,0)-ROUND('Uplifters Inputs'!$B$7*G72/$G$121,0)</f>
        <v>3</v>
      </c>
    </row>
    <row r="74" customFormat="false" ht="15" hidden="false" customHeight="true" outlineLevel="0" collapsed="false">
      <c r="A74" s="123" t="n">
        <v>13</v>
      </c>
      <c r="B74" s="396" t="n">
        <v>2</v>
      </c>
      <c r="E74" s="123" t="n">
        <v>13</v>
      </c>
      <c r="F74" s="351" t="n">
        <f aca="false">IF(13&gt;'Uplifters Inputs'!$B$8,0,INDEX($B$62:$B$85,INT((1+(13-1)*23/MAX(1,'Uplifters Inputs'!$B$8-1))))*(1-((1+(13-1)*23/MAX(1,'Uplifters Inputs'!$B$8-1))-INT((1+(13-1)*23/MAX(1,'Uplifters Inputs'!$B$8-1)))))+INDEX($B$62:$B$85,MIN(24,INT((1+(13-1)*23/MAX(1,'Uplifters Inputs'!$B$8-1)))+1))*((1+(13-1)*23/MAX(1,'Uplifters Inputs'!$B$8-1))-INT((1+(13-1)*23/MAX(1,'Uplifters Inputs'!$B$8-1)))))</f>
        <v>2</v>
      </c>
      <c r="G74" s="351" t="n">
        <f aca="false">SUM($F$62:F74)</f>
        <v>46</v>
      </c>
      <c r="H74" s="397" t="n">
        <f aca="false">ROUND('Uplifters Inputs'!$B$7*G74/$G$121,0)-ROUND('Uplifters Inputs'!$B$7*G73/$G$121,0)</f>
        <v>2</v>
      </c>
    </row>
    <row r="75" customFormat="false" ht="15" hidden="false" customHeight="true" outlineLevel="0" collapsed="false">
      <c r="A75" s="123" t="n">
        <v>14</v>
      </c>
      <c r="B75" s="396" t="n">
        <v>2</v>
      </c>
      <c r="E75" s="123" t="n">
        <v>14</v>
      </c>
      <c r="F75" s="351" t="n">
        <f aca="false">IF(14&gt;'Uplifters Inputs'!$B$8,0,INDEX($B$62:$B$85,INT((1+(14-1)*23/MAX(1,'Uplifters Inputs'!$B$8-1))))*(1-((1+(14-1)*23/MAX(1,'Uplifters Inputs'!$B$8-1))-INT((1+(14-1)*23/MAX(1,'Uplifters Inputs'!$B$8-1)))))+INDEX($B$62:$B$85,MIN(24,INT((1+(14-1)*23/MAX(1,'Uplifters Inputs'!$B$8-1)))+1))*((1+(14-1)*23/MAX(1,'Uplifters Inputs'!$B$8-1))-INT((1+(14-1)*23/MAX(1,'Uplifters Inputs'!$B$8-1)))))</f>
        <v>2</v>
      </c>
      <c r="G75" s="351" t="n">
        <f aca="false">SUM($F$62:F75)</f>
        <v>48</v>
      </c>
      <c r="H75" s="397" t="n">
        <f aca="false">ROUND('Uplifters Inputs'!$B$7*G75/$G$121,0)-ROUND('Uplifters Inputs'!$B$7*G74/$G$121,0)</f>
        <v>2</v>
      </c>
    </row>
    <row r="76" customFormat="false" ht="15" hidden="false" customHeight="true" outlineLevel="0" collapsed="false">
      <c r="A76" s="123" t="n">
        <v>15</v>
      </c>
      <c r="B76" s="396" t="n">
        <v>2</v>
      </c>
      <c r="E76" s="123" t="n">
        <v>15</v>
      </c>
      <c r="F76" s="351" t="n">
        <f aca="false">IF(15&gt;'Uplifters Inputs'!$B$8,0,INDEX($B$62:$B$85,INT((1+(15-1)*23/MAX(1,'Uplifters Inputs'!$B$8-1))))*(1-((1+(15-1)*23/MAX(1,'Uplifters Inputs'!$B$8-1))-INT((1+(15-1)*23/MAX(1,'Uplifters Inputs'!$B$8-1)))))+INDEX($B$62:$B$85,MIN(24,INT((1+(15-1)*23/MAX(1,'Uplifters Inputs'!$B$8-1)))+1))*((1+(15-1)*23/MAX(1,'Uplifters Inputs'!$B$8-1))-INT((1+(15-1)*23/MAX(1,'Uplifters Inputs'!$B$8-1)))))</f>
        <v>2</v>
      </c>
      <c r="G76" s="351" t="n">
        <f aca="false">SUM($F$62:F76)</f>
        <v>50</v>
      </c>
      <c r="H76" s="397" t="n">
        <f aca="false">ROUND('Uplifters Inputs'!$B$7*G76/$G$121,0)-ROUND('Uplifters Inputs'!$B$7*G75/$G$121,0)</f>
        <v>2</v>
      </c>
    </row>
    <row r="77" customFormat="false" ht="15" hidden="false" customHeight="true" outlineLevel="0" collapsed="false">
      <c r="A77" s="123" t="n">
        <v>16</v>
      </c>
      <c r="B77" s="396" t="n">
        <v>2</v>
      </c>
      <c r="E77" s="123" t="n">
        <v>16</v>
      </c>
      <c r="F77" s="351" t="n">
        <f aca="false">IF(16&gt;'Uplifters Inputs'!$B$8,0,INDEX($B$62:$B$85,INT((1+(16-1)*23/MAX(1,'Uplifters Inputs'!$B$8-1))))*(1-((1+(16-1)*23/MAX(1,'Uplifters Inputs'!$B$8-1))-INT((1+(16-1)*23/MAX(1,'Uplifters Inputs'!$B$8-1)))))+INDEX($B$62:$B$85,MIN(24,INT((1+(16-1)*23/MAX(1,'Uplifters Inputs'!$B$8-1)))+1))*((1+(16-1)*23/MAX(1,'Uplifters Inputs'!$B$8-1))-INT((1+(16-1)*23/MAX(1,'Uplifters Inputs'!$B$8-1)))))</f>
        <v>2</v>
      </c>
      <c r="G77" s="351" t="n">
        <f aca="false">SUM($F$62:F77)</f>
        <v>52</v>
      </c>
      <c r="H77" s="397" t="n">
        <f aca="false">ROUND('Uplifters Inputs'!$B$7*G77/$G$121,0)-ROUND('Uplifters Inputs'!$B$7*G76/$G$121,0)</f>
        <v>2</v>
      </c>
    </row>
    <row r="78" customFormat="false" ht="15" hidden="false" customHeight="true" outlineLevel="0" collapsed="false">
      <c r="A78" s="123" t="n">
        <v>17</v>
      </c>
      <c r="B78" s="396" t="n">
        <v>1</v>
      </c>
      <c r="E78" s="123" t="n">
        <v>17</v>
      </c>
      <c r="F78" s="351" t="n">
        <f aca="false">IF(17&gt;'Uplifters Inputs'!$B$8,0,INDEX($B$62:$B$85,INT((1+(17-1)*23/MAX(1,'Uplifters Inputs'!$B$8-1))))*(1-((1+(17-1)*23/MAX(1,'Uplifters Inputs'!$B$8-1))-INT((1+(17-1)*23/MAX(1,'Uplifters Inputs'!$B$8-1)))))+INDEX($B$62:$B$85,MIN(24,INT((1+(17-1)*23/MAX(1,'Uplifters Inputs'!$B$8-1)))+1))*((1+(17-1)*23/MAX(1,'Uplifters Inputs'!$B$8-1))-INT((1+(17-1)*23/MAX(1,'Uplifters Inputs'!$B$8-1)))))</f>
        <v>1</v>
      </c>
      <c r="G78" s="351" t="n">
        <f aca="false">SUM($F$62:F78)</f>
        <v>53</v>
      </c>
      <c r="H78" s="397" t="n">
        <f aca="false">ROUND('Uplifters Inputs'!$B$7*G78/$G$121,0)-ROUND('Uplifters Inputs'!$B$7*G77/$G$121,0)</f>
        <v>1</v>
      </c>
    </row>
    <row r="79" customFormat="false" ht="15" hidden="false" customHeight="true" outlineLevel="0" collapsed="false">
      <c r="A79" s="123" t="n">
        <v>18</v>
      </c>
      <c r="B79" s="396" t="n">
        <v>1</v>
      </c>
      <c r="E79" s="123" t="n">
        <v>18</v>
      </c>
      <c r="F79" s="351" t="n">
        <f aca="false">IF(18&gt;'Uplifters Inputs'!$B$8,0,INDEX($B$62:$B$85,INT((1+(18-1)*23/MAX(1,'Uplifters Inputs'!$B$8-1))))*(1-((1+(18-1)*23/MAX(1,'Uplifters Inputs'!$B$8-1))-INT((1+(18-1)*23/MAX(1,'Uplifters Inputs'!$B$8-1)))))+INDEX($B$62:$B$85,MIN(24,INT((1+(18-1)*23/MAX(1,'Uplifters Inputs'!$B$8-1)))+1))*((1+(18-1)*23/MAX(1,'Uplifters Inputs'!$B$8-1))-INT((1+(18-1)*23/MAX(1,'Uplifters Inputs'!$B$8-1)))))</f>
        <v>1</v>
      </c>
      <c r="G79" s="351" t="n">
        <f aca="false">SUM($F$62:F79)</f>
        <v>54</v>
      </c>
      <c r="H79" s="397" t="n">
        <f aca="false">ROUND('Uplifters Inputs'!$B$7*G79/$G$121,0)-ROUND('Uplifters Inputs'!$B$7*G78/$G$121,0)</f>
        <v>1</v>
      </c>
    </row>
    <row r="80" customFormat="false" ht="15" hidden="false" customHeight="true" outlineLevel="0" collapsed="false">
      <c r="A80" s="123" t="n">
        <v>19</v>
      </c>
      <c r="B80" s="396" t="n">
        <v>1</v>
      </c>
      <c r="E80" s="123" t="n">
        <v>19</v>
      </c>
      <c r="F80" s="351" t="n">
        <f aca="false">IF(19&gt;'Uplifters Inputs'!$B$8,0,INDEX($B$62:$B$85,INT((1+(19-1)*23/MAX(1,'Uplifters Inputs'!$B$8-1))))*(1-((1+(19-1)*23/MAX(1,'Uplifters Inputs'!$B$8-1))-INT((1+(19-1)*23/MAX(1,'Uplifters Inputs'!$B$8-1)))))+INDEX($B$62:$B$85,MIN(24,INT((1+(19-1)*23/MAX(1,'Uplifters Inputs'!$B$8-1)))+1))*((1+(19-1)*23/MAX(1,'Uplifters Inputs'!$B$8-1))-INT((1+(19-1)*23/MAX(1,'Uplifters Inputs'!$B$8-1)))))</f>
        <v>1</v>
      </c>
      <c r="G80" s="351" t="n">
        <f aca="false">SUM($F$62:F80)</f>
        <v>55</v>
      </c>
      <c r="H80" s="397" t="n">
        <f aca="false">ROUND('Uplifters Inputs'!$B$7*G80/$G$121,0)-ROUND('Uplifters Inputs'!$B$7*G79/$G$121,0)</f>
        <v>1</v>
      </c>
    </row>
    <row r="81" customFormat="false" ht="15" hidden="false" customHeight="true" outlineLevel="0" collapsed="false">
      <c r="A81" s="123" t="n">
        <v>20</v>
      </c>
      <c r="B81" s="396" t="n">
        <v>1</v>
      </c>
      <c r="E81" s="123" t="n">
        <v>20</v>
      </c>
      <c r="F81" s="351" t="n">
        <f aca="false">IF(20&gt;'Uplifters Inputs'!$B$8,0,INDEX($B$62:$B$85,INT((1+(20-1)*23/MAX(1,'Uplifters Inputs'!$B$8-1))))*(1-((1+(20-1)*23/MAX(1,'Uplifters Inputs'!$B$8-1))-INT((1+(20-1)*23/MAX(1,'Uplifters Inputs'!$B$8-1)))))+INDEX($B$62:$B$85,MIN(24,INT((1+(20-1)*23/MAX(1,'Uplifters Inputs'!$B$8-1)))+1))*((1+(20-1)*23/MAX(1,'Uplifters Inputs'!$B$8-1))-INT((1+(20-1)*23/MAX(1,'Uplifters Inputs'!$B$8-1)))))</f>
        <v>1</v>
      </c>
      <c r="G81" s="351" t="n">
        <f aca="false">SUM($F$62:F81)</f>
        <v>56</v>
      </c>
      <c r="H81" s="397" t="n">
        <f aca="false">ROUND('Uplifters Inputs'!$B$7*G81/$G$121,0)-ROUND('Uplifters Inputs'!$B$7*G80/$G$121,0)</f>
        <v>1</v>
      </c>
    </row>
    <row r="82" customFormat="false" ht="15" hidden="false" customHeight="true" outlineLevel="0" collapsed="false">
      <c r="A82" s="123" t="n">
        <v>21</v>
      </c>
      <c r="B82" s="396" t="n">
        <v>1</v>
      </c>
      <c r="E82" s="123" t="n">
        <v>21</v>
      </c>
      <c r="F82" s="351" t="n">
        <f aca="false">IF(21&gt;'Uplifters Inputs'!$B$8,0,INDEX($B$62:$B$85,INT((1+(21-1)*23/MAX(1,'Uplifters Inputs'!$B$8-1))))*(1-((1+(21-1)*23/MAX(1,'Uplifters Inputs'!$B$8-1))-INT((1+(21-1)*23/MAX(1,'Uplifters Inputs'!$B$8-1)))))+INDEX($B$62:$B$85,MIN(24,INT((1+(21-1)*23/MAX(1,'Uplifters Inputs'!$B$8-1)))+1))*((1+(21-1)*23/MAX(1,'Uplifters Inputs'!$B$8-1))-INT((1+(21-1)*23/MAX(1,'Uplifters Inputs'!$B$8-1)))))</f>
        <v>1</v>
      </c>
      <c r="G82" s="351" t="n">
        <f aca="false">SUM($F$62:F82)</f>
        <v>57</v>
      </c>
      <c r="H82" s="397" t="n">
        <f aca="false">ROUND('Uplifters Inputs'!$B$7*G82/$G$121,0)-ROUND('Uplifters Inputs'!$B$7*G81/$G$121,0)</f>
        <v>1</v>
      </c>
    </row>
    <row r="83" customFormat="false" ht="15" hidden="false" customHeight="true" outlineLevel="0" collapsed="false">
      <c r="A83" s="123" t="n">
        <v>22</v>
      </c>
      <c r="B83" s="396" t="n">
        <v>1</v>
      </c>
      <c r="E83" s="123" t="n">
        <v>22</v>
      </c>
      <c r="F83" s="351" t="n">
        <f aca="false">IF(22&gt;'Uplifters Inputs'!$B$8,0,INDEX($B$62:$B$85,INT((1+(22-1)*23/MAX(1,'Uplifters Inputs'!$B$8-1))))*(1-((1+(22-1)*23/MAX(1,'Uplifters Inputs'!$B$8-1))-INT((1+(22-1)*23/MAX(1,'Uplifters Inputs'!$B$8-1)))))+INDEX($B$62:$B$85,MIN(24,INT((1+(22-1)*23/MAX(1,'Uplifters Inputs'!$B$8-1)))+1))*((1+(22-1)*23/MAX(1,'Uplifters Inputs'!$B$8-1))-INT((1+(22-1)*23/MAX(1,'Uplifters Inputs'!$B$8-1)))))</f>
        <v>1</v>
      </c>
      <c r="G83" s="351" t="n">
        <f aca="false">SUM($F$62:F83)</f>
        <v>58</v>
      </c>
      <c r="H83" s="397" t="n">
        <f aca="false">ROUND('Uplifters Inputs'!$B$7*G83/$G$121,0)-ROUND('Uplifters Inputs'!$B$7*G82/$G$121,0)</f>
        <v>1</v>
      </c>
    </row>
    <row r="84" customFormat="false" ht="15" hidden="false" customHeight="true" outlineLevel="0" collapsed="false">
      <c r="A84" s="123" t="n">
        <v>23</v>
      </c>
      <c r="B84" s="396" t="n">
        <v>1</v>
      </c>
      <c r="E84" s="123" t="n">
        <v>23</v>
      </c>
      <c r="F84" s="351" t="n">
        <f aca="false">IF(23&gt;'Uplifters Inputs'!$B$8,0,INDEX($B$62:$B$85,INT((1+(23-1)*23/MAX(1,'Uplifters Inputs'!$B$8-1))))*(1-((1+(23-1)*23/MAX(1,'Uplifters Inputs'!$B$8-1))-INT((1+(23-1)*23/MAX(1,'Uplifters Inputs'!$B$8-1)))))+INDEX($B$62:$B$85,MIN(24,INT((1+(23-1)*23/MAX(1,'Uplifters Inputs'!$B$8-1)))+1))*((1+(23-1)*23/MAX(1,'Uplifters Inputs'!$B$8-1))-INT((1+(23-1)*23/MAX(1,'Uplifters Inputs'!$B$8-1)))))</f>
        <v>1</v>
      </c>
      <c r="G84" s="351" t="n">
        <f aca="false">SUM($F$62:F84)</f>
        <v>59</v>
      </c>
      <c r="H84" s="397" t="n">
        <f aca="false">ROUND('Uplifters Inputs'!$B$7*G84/$G$121,0)-ROUND('Uplifters Inputs'!$B$7*G83/$G$121,0)</f>
        <v>1</v>
      </c>
    </row>
    <row r="85" customFormat="false" ht="15" hidden="false" customHeight="true" outlineLevel="0" collapsed="false">
      <c r="A85" s="123" t="n">
        <v>24</v>
      </c>
      <c r="B85" s="396" t="n">
        <v>1</v>
      </c>
      <c r="E85" s="123" t="n">
        <v>24</v>
      </c>
      <c r="F85" s="351" t="n">
        <f aca="false">IF(24&gt;'Uplifters Inputs'!$B$8,0,INDEX($B$62:$B$85,INT((1+(24-1)*23/MAX(1,'Uplifters Inputs'!$B$8-1))))*(1-((1+(24-1)*23/MAX(1,'Uplifters Inputs'!$B$8-1))-INT((1+(24-1)*23/MAX(1,'Uplifters Inputs'!$B$8-1)))))+INDEX($B$62:$B$85,MIN(24,INT((1+(24-1)*23/MAX(1,'Uplifters Inputs'!$B$8-1)))+1))*((1+(24-1)*23/MAX(1,'Uplifters Inputs'!$B$8-1))-INT((1+(24-1)*23/MAX(1,'Uplifters Inputs'!$B$8-1)))))</f>
        <v>1</v>
      </c>
      <c r="G85" s="351" t="n">
        <f aca="false">SUM($F$62:F85)</f>
        <v>60</v>
      </c>
      <c r="H85" s="397" t="n">
        <f aca="false">ROUND('Uplifters Inputs'!$B$7*G85/$G$121,0)-ROUND('Uplifters Inputs'!$B$7*G84/$G$121,0)</f>
        <v>1</v>
      </c>
    </row>
    <row r="86" customFormat="false" ht="15" hidden="false" customHeight="true" outlineLevel="0" collapsed="false">
      <c r="A86" s="389" t="s">
        <v>1401</v>
      </c>
      <c r="E86" s="123" t="n">
        <v>25</v>
      </c>
      <c r="F86" s="351" t="n">
        <f aca="false">IF(25&gt;'Uplifters Inputs'!$B$8,0,INDEX($B$62:$B$85,INT((1+(25-1)*23/MAX(1,'Uplifters Inputs'!$B$8-1))))*(1-((1+(25-1)*23/MAX(1,'Uplifters Inputs'!$B$8-1))-INT((1+(25-1)*23/MAX(1,'Uplifters Inputs'!$B$8-1)))))+INDEX($B$62:$B$85,MIN(24,INT((1+(25-1)*23/MAX(1,'Uplifters Inputs'!$B$8-1)))+1))*((1+(25-1)*23/MAX(1,'Uplifters Inputs'!$B$8-1))-INT((1+(25-1)*23/MAX(1,'Uplifters Inputs'!$B$8-1)))))</f>
        <v>0</v>
      </c>
      <c r="G86" s="351" t="n">
        <f aca="false">SUM($F$62:F86)</f>
        <v>60</v>
      </c>
      <c r="H86" s="397" t="n">
        <f aca="false">ROUND('Uplifters Inputs'!$B$7*G86/$G$121,0)-ROUND('Uplifters Inputs'!$B$7*G85/$G$121,0)</f>
        <v>0</v>
      </c>
    </row>
    <row r="87" customFormat="false" ht="15" hidden="false" customHeight="true" outlineLevel="0" collapsed="false">
      <c r="E87" s="123" t="n">
        <v>26</v>
      </c>
      <c r="F87" s="351" t="n">
        <f aca="false">IF(26&gt;'Uplifters Inputs'!$B$8,0,INDEX($B$62:$B$85,INT((1+(26-1)*23/MAX(1,'Uplifters Inputs'!$B$8-1))))*(1-((1+(26-1)*23/MAX(1,'Uplifters Inputs'!$B$8-1))-INT((1+(26-1)*23/MAX(1,'Uplifters Inputs'!$B$8-1)))))+INDEX($B$62:$B$85,MIN(24,INT((1+(26-1)*23/MAX(1,'Uplifters Inputs'!$B$8-1)))+1))*((1+(26-1)*23/MAX(1,'Uplifters Inputs'!$B$8-1))-INT((1+(26-1)*23/MAX(1,'Uplifters Inputs'!$B$8-1)))))</f>
        <v>0</v>
      </c>
      <c r="G87" s="351" t="n">
        <f aca="false">SUM($F$62:F87)</f>
        <v>60</v>
      </c>
      <c r="H87" s="397" t="n">
        <f aca="false">ROUND('Uplifters Inputs'!$B$7*G87/$G$121,0)-ROUND('Uplifters Inputs'!$B$7*G86/$G$121,0)</f>
        <v>0</v>
      </c>
    </row>
    <row r="88" customFormat="false" ht="15" hidden="false" customHeight="true" outlineLevel="0" collapsed="false">
      <c r="E88" s="123" t="n">
        <v>27</v>
      </c>
      <c r="F88" s="351" t="n">
        <f aca="false">IF(27&gt;'Uplifters Inputs'!$B$8,0,INDEX($B$62:$B$85,INT((1+(27-1)*23/MAX(1,'Uplifters Inputs'!$B$8-1))))*(1-((1+(27-1)*23/MAX(1,'Uplifters Inputs'!$B$8-1))-INT((1+(27-1)*23/MAX(1,'Uplifters Inputs'!$B$8-1)))))+INDEX($B$62:$B$85,MIN(24,INT((1+(27-1)*23/MAX(1,'Uplifters Inputs'!$B$8-1)))+1))*((1+(27-1)*23/MAX(1,'Uplifters Inputs'!$B$8-1))-INT((1+(27-1)*23/MAX(1,'Uplifters Inputs'!$B$8-1)))))</f>
        <v>0</v>
      </c>
      <c r="G88" s="351" t="n">
        <f aca="false">SUM($F$62:F88)</f>
        <v>60</v>
      </c>
      <c r="H88" s="397" t="n">
        <f aca="false">ROUND('Uplifters Inputs'!$B$7*G88/$G$121,0)-ROUND('Uplifters Inputs'!$B$7*G87/$G$121,0)</f>
        <v>0</v>
      </c>
    </row>
    <row r="89" customFormat="false" ht="15" hidden="false" customHeight="true" outlineLevel="0" collapsed="false">
      <c r="E89" s="123" t="n">
        <v>28</v>
      </c>
      <c r="F89" s="351" t="n">
        <f aca="false">IF(28&gt;'Uplifters Inputs'!$B$8,0,INDEX($B$62:$B$85,INT((1+(28-1)*23/MAX(1,'Uplifters Inputs'!$B$8-1))))*(1-((1+(28-1)*23/MAX(1,'Uplifters Inputs'!$B$8-1))-INT((1+(28-1)*23/MAX(1,'Uplifters Inputs'!$B$8-1)))))+INDEX($B$62:$B$85,MIN(24,INT((1+(28-1)*23/MAX(1,'Uplifters Inputs'!$B$8-1)))+1))*((1+(28-1)*23/MAX(1,'Uplifters Inputs'!$B$8-1))-INT((1+(28-1)*23/MAX(1,'Uplifters Inputs'!$B$8-1)))))</f>
        <v>0</v>
      </c>
      <c r="G89" s="351" t="n">
        <f aca="false">SUM($F$62:F89)</f>
        <v>60</v>
      </c>
      <c r="H89" s="397" t="n">
        <f aca="false">ROUND('Uplifters Inputs'!$B$7*G89/$G$121,0)-ROUND('Uplifters Inputs'!$B$7*G88/$G$121,0)</f>
        <v>0</v>
      </c>
    </row>
    <row r="90" customFormat="false" ht="15" hidden="false" customHeight="true" outlineLevel="0" collapsed="false">
      <c r="E90" s="123" t="n">
        <v>29</v>
      </c>
      <c r="F90" s="351" t="n">
        <f aca="false">IF(29&gt;'Uplifters Inputs'!$B$8,0,INDEX($B$62:$B$85,INT((1+(29-1)*23/MAX(1,'Uplifters Inputs'!$B$8-1))))*(1-((1+(29-1)*23/MAX(1,'Uplifters Inputs'!$B$8-1))-INT((1+(29-1)*23/MAX(1,'Uplifters Inputs'!$B$8-1)))))+INDEX($B$62:$B$85,MIN(24,INT((1+(29-1)*23/MAX(1,'Uplifters Inputs'!$B$8-1)))+1))*((1+(29-1)*23/MAX(1,'Uplifters Inputs'!$B$8-1))-INT((1+(29-1)*23/MAX(1,'Uplifters Inputs'!$B$8-1)))))</f>
        <v>0</v>
      </c>
      <c r="G90" s="351" t="n">
        <f aca="false">SUM($F$62:F90)</f>
        <v>60</v>
      </c>
      <c r="H90" s="397" t="n">
        <f aca="false">ROUND('Uplifters Inputs'!$B$7*G90/$G$121,0)-ROUND('Uplifters Inputs'!$B$7*G89/$G$121,0)</f>
        <v>0</v>
      </c>
    </row>
    <row r="91" customFormat="false" ht="15" hidden="false" customHeight="true" outlineLevel="0" collapsed="false">
      <c r="E91" s="123" t="n">
        <v>30</v>
      </c>
      <c r="F91" s="351" t="n">
        <f aca="false">IF(30&gt;'Uplifters Inputs'!$B$8,0,INDEX($B$62:$B$85,INT((1+(30-1)*23/MAX(1,'Uplifters Inputs'!$B$8-1))))*(1-((1+(30-1)*23/MAX(1,'Uplifters Inputs'!$B$8-1))-INT((1+(30-1)*23/MAX(1,'Uplifters Inputs'!$B$8-1)))))+INDEX($B$62:$B$85,MIN(24,INT((1+(30-1)*23/MAX(1,'Uplifters Inputs'!$B$8-1)))+1))*((1+(30-1)*23/MAX(1,'Uplifters Inputs'!$B$8-1))-INT((1+(30-1)*23/MAX(1,'Uplifters Inputs'!$B$8-1)))))</f>
        <v>0</v>
      </c>
      <c r="G91" s="351" t="n">
        <f aca="false">SUM($F$62:F91)</f>
        <v>60</v>
      </c>
      <c r="H91" s="397" t="n">
        <f aca="false">ROUND('Uplifters Inputs'!$B$7*G91/$G$121,0)-ROUND('Uplifters Inputs'!$B$7*G90/$G$121,0)</f>
        <v>0</v>
      </c>
    </row>
    <row r="92" customFormat="false" ht="15" hidden="false" customHeight="true" outlineLevel="0" collapsed="false">
      <c r="E92" s="123" t="n">
        <v>31</v>
      </c>
      <c r="F92" s="351" t="n">
        <f aca="false">IF(31&gt;'Uplifters Inputs'!$B$8,0,INDEX($B$62:$B$85,INT((1+(31-1)*23/MAX(1,'Uplifters Inputs'!$B$8-1))))*(1-((1+(31-1)*23/MAX(1,'Uplifters Inputs'!$B$8-1))-INT((1+(31-1)*23/MAX(1,'Uplifters Inputs'!$B$8-1)))))+INDEX($B$62:$B$85,MIN(24,INT((1+(31-1)*23/MAX(1,'Uplifters Inputs'!$B$8-1)))+1))*((1+(31-1)*23/MAX(1,'Uplifters Inputs'!$B$8-1))-INT((1+(31-1)*23/MAX(1,'Uplifters Inputs'!$B$8-1)))))</f>
        <v>0</v>
      </c>
      <c r="G92" s="351" t="n">
        <f aca="false">SUM($F$62:F92)</f>
        <v>60</v>
      </c>
      <c r="H92" s="397" t="n">
        <f aca="false">ROUND('Uplifters Inputs'!$B$7*G92/$G$121,0)-ROUND('Uplifters Inputs'!$B$7*G91/$G$121,0)</f>
        <v>0</v>
      </c>
    </row>
    <row r="93" customFormat="false" ht="15" hidden="false" customHeight="true" outlineLevel="0" collapsed="false">
      <c r="E93" s="123" t="n">
        <v>32</v>
      </c>
      <c r="F93" s="351" t="n">
        <f aca="false">IF(32&gt;'Uplifters Inputs'!$B$8,0,INDEX($B$62:$B$85,INT((1+(32-1)*23/MAX(1,'Uplifters Inputs'!$B$8-1))))*(1-((1+(32-1)*23/MAX(1,'Uplifters Inputs'!$B$8-1))-INT((1+(32-1)*23/MAX(1,'Uplifters Inputs'!$B$8-1)))))+INDEX($B$62:$B$85,MIN(24,INT((1+(32-1)*23/MAX(1,'Uplifters Inputs'!$B$8-1)))+1))*((1+(32-1)*23/MAX(1,'Uplifters Inputs'!$B$8-1))-INT((1+(32-1)*23/MAX(1,'Uplifters Inputs'!$B$8-1)))))</f>
        <v>0</v>
      </c>
      <c r="G93" s="351" t="n">
        <f aca="false">SUM($F$62:F93)</f>
        <v>60</v>
      </c>
      <c r="H93" s="397" t="n">
        <f aca="false">ROUND('Uplifters Inputs'!$B$7*G93/$G$121,0)-ROUND('Uplifters Inputs'!$B$7*G92/$G$121,0)</f>
        <v>0</v>
      </c>
    </row>
    <row r="94" customFormat="false" ht="15" hidden="false" customHeight="true" outlineLevel="0" collapsed="false">
      <c r="E94" s="123" t="n">
        <v>33</v>
      </c>
      <c r="F94" s="351" t="n">
        <f aca="false">IF(33&gt;'Uplifters Inputs'!$B$8,0,INDEX($B$62:$B$85,INT((1+(33-1)*23/MAX(1,'Uplifters Inputs'!$B$8-1))))*(1-((1+(33-1)*23/MAX(1,'Uplifters Inputs'!$B$8-1))-INT((1+(33-1)*23/MAX(1,'Uplifters Inputs'!$B$8-1)))))+INDEX($B$62:$B$85,MIN(24,INT((1+(33-1)*23/MAX(1,'Uplifters Inputs'!$B$8-1)))+1))*((1+(33-1)*23/MAX(1,'Uplifters Inputs'!$B$8-1))-INT((1+(33-1)*23/MAX(1,'Uplifters Inputs'!$B$8-1)))))</f>
        <v>0</v>
      </c>
      <c r="G94" s="351" t="n">
        <f aca="false">SUM($F$62:F94)</f>
        <v>60</v>
      </c>
      <c r="H94" s="397" t="n">
        <f aca="false">ROUND('Uplifters Inputs'!$B$7*G94/$G$121,0)-ROUND('Uplifters Inputs'!$B$7*G93/$G$121,0)</f>
        <v>0</v>
      </c>
    </row>
    <row r="95" customFormat="false" ht="15" hidden="false" customHeight="true" outlineLevel="0" collapsed="false">
      <c r="E95" s="123" t="n">
        <v>34</v>
      </c>
      <c r="F95" s="351" t="n">
        <f aca="false">IF(34&gt;'Uplifters Inputs'!$B$8,0,INDEX($B$62:$B$85,INT((1+(34-1)*23/MAX(1,'Uplifters Inputs'!$B$8-1))))*(1-((1+(34-1)*23/MAX(1,'Uplifters Inputs'!$B$8-1))-INT((1+(34-1)*23/MAX(1,'Uplifters Inputs'!$B$8-1)))))+INDEX($B$62:$B$85,MIN(24,INT((1+(34-1)*23/MAX(1,'Uplifters Inputs'!$B$8-1)))+1))*((1+(34-1)*23/MAX(1,'Uplifters Inputs'!$B$8-1))-INT((1+(34-1)*23/MAX(1,'Uplifters Inputs'!$B$8-1)))))</f>
        <v>0</v>
      </c>
      <c r="G95" s="351" t="n">
        <f aca="false">SUM($F$62:F95)</f>
        <v>60</v>
      </c>
      <c r="H95" s="397" t="n">
        <f aca="false">ROUND('Uplifters Inputs'!$B$7*G95/$G$121,0)-ROUND('Uplifters Inputs'!$B$7*G94/$G$121,0)</f>
        <v>0</v>
      </c>
    </row>
    <row r="96" customFormat="false" ht="15" hidden="false" customHeight="true" outlineLevel="0" collapsed="false">
      <c r="E96" s="123" t="n">
        <v>35</v>
      </c>
      <c r="F96" s="351" t="n">
        <f aca="false">IF(35&gt;'Uplifters Inputs'!$B$8,0,INDEX($B$62:$B$85,INT((1+(35-1)*23/MAX(1,'Uplifters Inputs'!$B$8-1))))*(1-((1+(35-1)*23/MAX(1,'Uplifters Inputs'!$B$8-1))-INT((1+(35-1)*23/MAX(1,'Uplifters Inputs'!$B$8-1)))))+INDEX($B$62:$B$85,MIN(24,INT((1+(35-1)*23/MAX(1,'Uplifters Inputs'!$B$8-1)))+1))*((1+(35-1)*23/MAX(1,'Uplifters Inputs'!$B$8-1))-INT((1+(35-1)*23/MAX(1,'Uplifters Inputs'!$B$8-1)))))</f>
        <v>0</v>
      </c>
      <c r="G96" s="351" t="n">
        <f aca="false">SUM($F$62:F96)</f>
        <v>60</v>
      </c>
      <c r="H96" s="397" t="n">
        <f aca="false">ROUND('Uplifters Inputs'!$B$7*G96/$G$121,0)-ROUND('Uplifters Inputs'!$B$7*G95/$G$121,0)</f>
        <v>0</v>
      </c>
    </row>
    <row r="97" customFormat="false" ht="15" hidden="false" customHeight="true" outlineLevel="0" collapsed="false">
      <c r="E97" s="123" t="n">
        <v>36</v>
      </c>
      <c r="F97" s="351" t="n">
        <f aca="false">IF(36&gt;'Uplifters Inputs'!$B$8,0,INDEX($B$62:$B$85,INT((1+(36-1)*23/MAX(1,'Uplifters Inputs'!$B$8-1))))*(1-((1+(36-1)*23/MAX(1,'Uplifters Inputs'!$B$8-1))-INT((1+(36-1)*23/MAX(1,'Uplifters Inputs'!$B$8-1)))))+INDEX($B$62:$B$85,MIN(24,INT((1+(36-1)*23/MAX(1,'Uplifters Inputs'!$B$8-1)))+1))*((1+(36-1)*23/MAX(1,'Uplifters Inputs'!$B$8-1))-INT((1+(36-1)*23/MAX(1,'Uplifters Inputs'!$B$8-1)))))</f>
        <v>0</v>
      </c>
      <c r="G97" s="351" t="n">
        <f aca="false">SUM($F$62:F97)</f>
        <v>60</v>
      </c>
      <c r="H97" s="397" t="n">
        <f aca="false">ROUND('Uplifters Inputs'!$B$7*G97/$G$121,0)-ROUND('Uplifters Inputs'!$B$7*G96/$G$121,0)</f>
        <v>0</v>
      </c>
    </row>
    <row r="98" customFormat="false" ht="15" hidden="false" customHeight="true" outlineLevel="0" collapsed="false">
      <c r="E98" s="123" t="n">
        <v>37</v>
      </c>
      <c r="F98" s="351" t="n">
        <f aca="false">IF(37&gt;'Uplifters Inputs'!$B$8,0,INDEX($B$62:$B$85,INT((1+(37-1)*23/MAX(1,'Uplifters Inputs'!$B$8-1))))*(1-((1+(37-1)*23/MAX(1,'Uplifters Inputs'!$B$8-1))-INT((1+(37-1)*23/MAX(1,'Uplifters Inputs'!$B$8-1)))))+INDEX($B$62:$B$85,MIN(24,INT((1+(37-1)*23/MAX(1,'Uplifters Inputs'!$B$8-1)))+1))*((1+(37-1)*23/MAX(1,'Uplifters Inputs'!$B$8-1))-INT((1+(37-1)*23/MAX(1,'Uplifters Inputs'!$B$8-1)))))</f>
        <v>0</v>
      </c>
      <c r="G98" s="351" t="n">
        <f aca="false">SUM($F$62:F98)</f>
        <v>60</v>
      </c>
      <c r="H98" s="397" t="n">
        <f aca="false">ROUND('Uplifters Inputs'!$B$7*G98/$G$121,0)-ROUND('Uplifters Inputs'!$B$7*G97/$G$121,0)</f>
        <v>0</v>
      </c>
    </row>
    <row r="99" customFormat="false" ht="15" hidden="false" customHeight="true" outlineLevel="0" collapsed="false">
      <c r="E99" s="123" t="n">
        <v>38</v>
      </c>
      <c r="F99" s="351" t="n">
        <f aca="false">IF(38&gt;'Uplifters Inputs'!$B$8,0,INDEX($B$62:$B$85,INT((1+(38-1)*23/MAX(1,'Uplifters Inputs'!$B$8-1))))*(1-((1+(38-1)*23/MAX(1,'Uplifters Inputs'!$B$8-1))-INT((1+(38-1)*23/MAX(1,'Uplifters Inputs'!$B$8-1)))))+INDEX($B$62:$B$85,MIN(24,INT((1+(38-1)*23/MAX(1,'Uplifters Inputs'!$B$8-1)))+1))*((1+(38-1)*23/MAX(1,'Uplifters Inputs'!$B$8-1))-INT((1+(38-1)*23/MAX(1,'Uplifters Inputs'!$B$8-1)))))</f>
        <v>0</v>
      </c>
      <c r="G99" s="351" t="n">
        <f aca="false">SUM($F$62:F99)</f>
        <v>60</v>
      </c>
      <c r="H99" s="397" t="n">
        <f aca="false">ROUND('Uplifters Inputs'!$B$7*G99/$G$121,0)-ROUND('Uplifters Inputs'!$B$7*G98/$G$121,0)</f>
        <v>0</v>
      </c>
    </row>
    <row r="100" customFormat="false" ht="15" hidden="false" customHeight="true" outlineLevel="0" collapsed="false">
      <c r="E100" s="123" t="n">
        <v>39</v>
      </c>
      <c r="F100" s="351" t="n">
        <f aca="false">IF(39&gt;'Uplifters Inputs'!$B$8,0,INDEX($B$62:$B$85,INT((1+(39-1)*23/MAX(1,'Uplifters Inputs'!$B$8-1))))*(1-((1+(39-1)*23/MAX(1,'Uplifters Inputs'!$B$8-1))-INT((1+(39-1)*23/MAX(1,'Uplifters Inputs'!$B$8-1)))))+INDEX($B$62:$B$85,MIN(24,INT((1+(39-1)*23/MAX(1,'Uplifters Inputs'!$B$8-1)))+1))*((1+(39-1)*23/MAX(1,'Uplifters Inputs'!$B$8-1))-INT((1+(39-1)*23/MAX(1,'Uplifters Inputs'!$B$8-1)))))</f>
        <v>0</v>
      </c>
      <c r="G100" s="351" t="n">
        <f aca="false">SUM($F$62:F100)</f>
        <v>60</v>
      </c>
      <c r="H100" s="397" t="n">
        <f aca="false">ROUND('Uplifters Inputs'!$B$7*G100/$G$121,0)-ROUND('Uplifters Inputs'!$B$7*G99/$G$121,0)</f>
        <v>0</v>
      </c>
    </row>
    <row r="101" customFormat="false" ht="15" hidden="false" customHeight="true" outlineLevel="0" collapsed="false">
      <c r="E101" s="123" t="n">
        <v>40</v>
      </c>
      <c r="F101" s="351" t="n">
        <f aca="false">IF(40&gt;'Uplifters Inputs'!$B$8,0,INDEX($B$62:$B$85,INT((1+(40-1)*23/MAX(1,'Uplifters Inputs'!$B$8-1))))*(1-((1+(40-1)*23/MAX(1,'Uplifters Inputs'!$B$8-1))-INT((1+(40-1)*23/MAX(1,'Uplifters Inputs'!$B$8-1)))))+INDEX($B$62:$B$85,MIN(24,INT((1+(40-1)*23/MAX(1,'Uplifters Inputs'!$B$8-1)))+1))*((1+(40-1)*23/MAX(1,'Uplifters Inputs'!$B$8-1))-INT((1+(40-1)*23/MAX(1,'Uplifters Inputs'!$B$8-1)))))</f>
        <v>0</v>
      </c>
      <c r="G101" s="351" t="n">
        <f aca="false">SUM($F$62:F101)</f>
        <v>60</v>
      </c>
      <c r="H101" s="397" t="n">
        <f aca="false">ROUND('Uplifters Inputs'!$B$7*G101/$G$121,0)-ROUND('Uplifters Inputs'!$B$7*G100/$G$121,0)</f>
        <v>0</v>
      </c>
    </row>
    <row r="102" customFormat="false" ht="15" hidden="false" customHeight="true" outlineLevel="0" collapsed="false">
      <c r="E102" s="123" t="n">
        <v>41</v>
      </c>
      <c r="F102" s="351" t="n">
        <f aca="false">IF(41&gt;'Uplifters Inputs'!$B$8,0,INDEX($B$62:$B$85,INT((1+(41-1)*23/MAX(1,'Uplifters Inputs'!$B$8-1))))*(1-((1+(41-1)*23/MAX(1,'Uplifters Inputs'!$B$8-1))-INT((1+(41-1)*23/MAX(1,'Uplifters Inputs'!$B$8-1)))))+INDEX($B$62:$B$85,MIN(24,INT((1+(41-1)*23/MAX(1,'Uplifters Inputs'!$B$8-1)))+1))*((1+(41-1)*23/MAX(1,'Uplifters Inputs'!$B$8-1))-INT((1+(41-1)*23/MAX(1,'Uplifters Inputs'!$B$8-1)))))</f>
        <v>0</v>
      </c>
      <c r="G102" s="351" t="n">
        <f aca="false">SUM($F$62:F102)</f>
        <v>60</v>
      </c>
      <c r="H102" s="397" t="n">
        <f aca="false">ROUND('Uplifters Inputs'!$B$7*G102/$G$121,0)-ROUND('Uplifters Inputs'!$B$7*G101/$G$121,0)</f>
        <v>0</v>
      </c>
    </row>
    <row r="103" customFormat="false" ht="15" hidden="false" customHeight="true" outlineLevel="0" collapsed="false">
      <c r="E103" s="123" t="n">
        <v>42</v>
      </c>
      <c r="F103" s="351" t="n">
        <f aca="false">IF(42&gt;'Uplifters Inputs'!$B$8,0,INDEX($B$62:$B$85,INT((1+(42-1)*23/MAX(1,'Uplifters Inputs'!$B$8-1))))*(1-((1+(42-1)*23/MAX(1,'Uplifters Inputs'!$B$8-1))-INT((1+(42-1)*23/MAX(1,'Uplifters Inputs'!$B$8-1)))))+INDEX($B$62:$B$85,MIN(24,INT((1+(42-1)*23/MAX(1,'Uplifters Inputs'!$B$8-1)))+1))*((1+(42-1)*23/MAX(1,'Uplifters Inputs'!$B$8-1))-INT((1+(42-1)*23/MAX(1,'Uplifters Inputs'!$B$8-1)))))</f>
        <v>0</v>
      </c>
      <c r="G103" s="351" t="n">
        <f aca="false">SUM($F$62:F103)</f>
        <v>60</v>
      </c>
      <c r="H103" s="397" t="n">
        <f aca="false">ROUND('Uplifters Inputs'!$B$7*G103/$G$121,0)-ROUND('Uplifters Inputs'!$B$7*G102/$G$121,0)</f>
        <v>0</v>
      </c>
    </row>
    <row r="104" customFormat="false" ht="15" hidden="false" customHeight="true" outlineLevel="0" collapsed="false">
      <c r="E104" s="123" t="n">
        <v>43</v>
      </c>
      <c r="F104" s="351" t="n">
        <f aca="false">IF(43&gt;'Uplifters Inputs'!$B$8,0,INDEX($B$62:$B$85,INT((1+(43-1)*23/MAX(1,'Uplifters Inputs'!$B$8-1))))*(1-((1+(43-1)*23/MAX(1,'Uplifters Inputs'!$B$8-1))-INT((1+(43-1)*23/MAX(1,'Uplifters Inputs'!$B$8-1)))))+INDEX($B$62:$B$85,MIN(24,INT((1+(43-1)*23/MAX(1,'Uplifters Inputs'!$B$8-1)))+1))*((1+(43-1)*23/MAX(1,'Uplifters Inputs'!$B$8-1))-INT((1+(43-1)*23/MAX(1,'Uplifters Inputs'!$B$8-1)))))</f>
        <v>0</v>
      </c>
      <c r="G104" s="351" t="n">
        <f aca="false">SUM($F$62:F104)</f>
        <v>60</v>
      </c>
      <c r="H104" s="397" t="n">
        <f aca="false">ROUND('Uplifters Inputs'!$B$7*G104/$G$121,0)-ROUND('Uplifters Inputs'!$B$7*G103/$G$121,0)</f>
        <v>0</v>
      </c>
    </row>
    <row r="105" customFormat="false" ht="15" hidden="false" customHeight="true" outlineLevel="0" collapsed="false">
      <c r="E105" s="123" t="n">
        <v>44</v>
      </c>
      <c r="F105" s="351" t="n">
        <f aca="false">IF(44&gt;'Uplifters Inputs'!$B$8,0,INDEX($B$62:$B$85,INT((1+(44-1)*23/MAX(1,'Uplifters Inputs'!$B$8-1))))*(1-((1+(44-1)*23/MAX(1,'Uplifters Inputs'!$B$8-1))-INT((1+(44-1)*23/MAX(1,'Uplifters Inputs'!$B$8-1)))))+INDEX($B$62:$B$85,MIN(24,INT((1+(44-1)*23/MAX(1,'Uplifters Inputs'!$B$8-1)))+1))*((1+(44-1)*23/MAX(1,'Uplifters Inputs'!$B$8-1))-INT((1+(44-1)*23/MAX(1,'Uplifters Inputs'!$B$8-1)))))</f>
        <v>0</v>
      </c>
      <c r="G105" s="351" t="n">
        <f aca="false">SUM($F$62:F105)</f>
        <v>60</v>
      </c>
      <c r="H105" s="397" t="n">
        <f aca="false">ROUND('Uplifters Inputs'!$B$7*G105/$G$121,0)-ROUND('Uplifters Inputs'!$B$7*G104/$G$121,0)</f>
        <v>0</v>
      </c>
    </row>
    <row r="106" customFormat="false" ht="15" hidden="false" customHeight="true" outlineLevel="0" collapsed="false">
      <c r="E106" s="123" t="n">
        <v>45</v>
      </c>
      <c r="F106" s="351" t="n">
        <f aca="false">IF(45&gt;'Uplifters Inputs'!$B$8,0,INDEX($B$62:$B$85,INT((1+(45-1)*23/MAX(1,'Uplifters Inputs'!$B$8-1))))*(1-((1+(45-1)*23/MAX(1,'Uplifters Inputs'!$B$8-1))-INT((1+(45-1)*23/MAX(1,'Uplifters Inputs'!$B$8-1)))))+INDEX($B$62:$B$85,MIN(24,INT((1+(45-1)*23/MAX(1,'Uplifters Inputs'!$B$8-1)))+1))*((1+(45-1)*23/MAX(1,'Uplifters Inputs'!$B$8-1))-INT((1+(45-1)*23/MAX(1,'Uplifters Inputs'!$B$8-1)))))</f>
        <v>0</v>
      </c>
      <c r="G106" s="351" t="n">
        <f aca="false">SUM($F$62:F106)</f>
        <v>60</v>
      </c>
      <c r="H106" s="397" t="n">
        <f aca="false">ROUND('Uplifters Inputs'!$B$7*G106/$G$121,0)-ROUND('Uplifters Inputs'!$B$7*G105/$G$121,0)</f>
        <v>0</v>
      </c>
    </row>
    <row r="107" customFormat="false" ht="15" hidden="false" customHeight="true" outlineLevel="0" collapsed="false">
      <c r="E107" s="123" t="n">
        <v>46</v>
      </c>
      <c r="F107" s="351" t="n">
        <f aca="false">IF(46&gt;'Uplifters Inputs'!$B$8,0,INDEX($B$62:$B$85,INT((1+(46-1)*23/MAX(1,'Uplifters Inputs'!$B$8-1))))*(1-((1+(46-1)*23/MAX(1,'Uplifters Inputs'!$B$8-1))-INT((1+(46-1)*23/MAX(1,'Uplifters Inputs'!$B$8-1)))))+INDEX($B$62:$B$85,MIN(24,INT((1+(46-1)*23/MAX(1,'Uplifters Inputs'!$B$8-1)))+1))*((1+(46-1)*23/MAX(1,'Uplifters Inputs'!$B$8-1))-INT((1+(46-1)*23/MAX(1,'Uplifters Inputs'!$B$8-1)))))</f>
        <v>0</v>
      </c>
      <c r="G107" s="351" t="n">
        <f aca="false">SUM($F$62:F107)</f>
        <v>60</v>
      </c>
      <c r="H107" s="397" t="n">
        <f aca="false">ROUND('Uplifters Inputs'!$B$7*G107/$G$121,0)-ROUND('Uplifters Inputs'!$B$7*G106/$G$121,0)</f>
        <v>0</v>
      </c>
    </row>
    <row r="108" customFormat="false" ht="15" hidden="false" customHeight="true" outlineLevel="0" collapsed="false">
      <c r="E108" s="123" t="n">
        <v>47</v>
      </c>
      <c r="F108" s="351" t="n">
        <f aca="false">IF(47&gt;'Uplifters Inputs'!$B$8,0,INDEX($B$62:$B$85,INT((1+(47-1)*23/MAX(1,'Uplifters Inputs'!$B$8-1))))*(1-((1+(47-1)*23/MAX(1,'Uplifters Inputs'!$B$8-1))-INT((1+(47-1)*23/MAX(1,'Uplifters Inputs'!$B$8-1)))))+INDEX($B$62:$B$85,MIN(24,INT((1+(47-1)*23/MAX(1,'Uplifters Inputs'!$B$8-1)))+1))*((1+(47-1)*23/MAX(1,'Uplifters Inputs'!$B$8-1))-INT((1+(47-1)*23/MAX(1,'Uplifters Inputs'!$B$8-1)))))</f>
        <v>0</v>
      </c>
      <c r="G108" s="351" t="n">
        <f aca="false">SUM($F$62:F108)</f>
        <v>60</v>
      </c>
      <c r="H108" s="397" t="n">
        <f aca="false">ROUND('Uplifters Inputs'!$B$7*G108/$G$121,0)-ROUND('Uplifters Inputs'!$B$7*G107/$G$121,0)</f>
        <v>0</v>
      </c>
    </row>
    <row r="109" customFormat="false" ht="15" hidden="false" customHeight="true" outlineLevel="0" collapsed="false">
      <c r="E109" s="123" t="n">
        <v>48</v>
      </c>
      <c r="F109" s="351" t="n">
        <f aca="false">IF(48&gt;'Uplifters Inputs'!$B$8,0,INDEX($B$62:$B$85,INT((1+(48-1)*23/MAX(1,'Uplifters Inputs'!$B$8-1))))*(1-((1+(48-1)*23/MAX(1,'Uplifters Inputs'!$B$8-1))-INT((1+(48-1)*23/MAX(1,'Uplifters Inputs'!$B$8-1)))))+INDEX($B$62:$B$85,MIN(24,INT((1+(48-1)*23/MAX(1,'Uplifters Inputs'!$B$8-1)))+1))*((1+(48-1)*23/MAX(1,'Uplifters Inputs'!$B$8-1))-INT((1+(48-1)*23/MAX(1,'Uplifters Inputs'!$B$8-1)))))</f>
        <v>0</v>
      </c>
      <c r="G109" s="351" t="n">
        <f aca="false">SUM($F$62:F109)</f>
        <v>60</v>
      </c>
      <c r="H109" s="397" t="n">
        <f aca="false">ROUND('Uplifters Inputs'!$B$7*G109/$G$121,0)-ROUND('Uplifters Inputs'!$B$7*G108/$G$121,0)</f>
        <v>0</v>
      </c>
    </row>
    <row r="110" customFormat="false" ht="15" hidden="false" customHeight="true" outlineLevel="0" collapsed="false">
      <c r="E110" s="123" t="n">
        <v>49</v>
      </c>
      <c r="F110" s="351" t="n">
        <f aca="false">IF(49&gt;'Uplifters Inputs'!$B$8,0,INDEX($B$62:$B$85,INT((1+(49-1)*23/MAX(1,'Uplifters Inputs'!$B$8-1))))*(1-((1+(49-1)*23/MAX(1,'Uplifters Inputs'!$B$8-1))-INT((1+(49-1)*23/MAX(1,'Uplifters Inputs'!$B$8-1)))))+INDEX($B$62:$B$85,MIN(24,INT((1+(49-1)*23/MAX(1,'Uplifters Inputs'!$B$8-1)))+1))*((1+(49-1)*23/MAX(1,'Uplifters Inputs'!$B$8-1))-INT((1+(49-1)*23/MAX(1,'Uplifters Inputs'!$B$8-1)))))</f>
        <v>0</v>
      </c>
      <c r="G110" s="351" t="n">
        <f aca="false">SUM($F$62:F110)</f>
        <v>60</v>
      </c>
      <c r="H110" s="397" t="n">
        <f aca="false">ROUND('Uplifters Inputs'!$B$7*G110/$G$121,0)-ROUND('Uplifters Inputs'!$B$7*G109/$G$121,0)</f>
        <v>0</v>
      </c>
    </row>
    <row r="111" customFormat="false" ht="15" hidden="false" customHeight="true" outlineLevel="0" collapsed="false">
      <c r="E111" s="123" t="n">
        <v>50</v>
      </c>
      <c r="F111" s="351" t="n">
        <f aca="false">IF(50&gt;'Uplifters Inputs'!$B$8,0,INDEX($B$62:$B$85,INT((1+(50-1)*23/MAX(1,'Uplifters Inputs'!$B$8-1))))*(1-((1+(50-1)*23/MAX(1,'Uplifters Inputs'!$B$8-1))-INT((1+(50-1)*23/MAX(1,'Uplifters Inputs'!$B$8-1)))))+INDEX($B$62:$B$85,MIN(24,INT((1+(50-1)*23/MAX(1,'Uplifters Inputs'!$B$8-1)))+1))*((1+(50-1)*23/MAX(1,'Uplifters Inputs'!$B$8-1))-INT((1+(50-1)*23/MAX(1,'Uplifters Inputs'!$B$8-1)))))</f>
        <v>0</v>
      </c>
      <c r="G111" s="351" t="n">
        <f aca="false">SUM($F$62:F111)</f>
        <v>60</v>
      </c>
      <c r="H111" s="397" t="n">
        <f aca="false">ROUND('Uplifters Inputs'!$B$7*G111/$G$121,0)-ROUND('Uplifters Inputs'!$B$7*G110/$G$121,0)</f>
        <v>0</v>
      </c>
    </row>
    <row r="112" customFormat="false" ht="15" hidden="false" customHeight="true" outlineLevel="0" collapsed="false">
      <c r="E112" s="123" t="n">
        <v>51</v>
      </c>
      <c r="F112" s="351" t="n">
        <f aca="false">IF(51&gt;'Uplifters Inputs'!$B$8,0,INDEX($B$62:$B$85,INT((1+(51-1)*23/MAX(1,'Uplifters Inputs'!$B$8-1))))*(1-((1+(51-1)*23/MAX(1,'Uplifters Inputs'!$B$8-1))-INT((1+(51-1)*23/MAX(1,'Uplifters Inputs'!$B$8-1)))))+INDEX($B$62:$B$85,MIN(24,INT((1+(51-1)*23/MAX(1,'Uplifters Inputs'!$B$8-1)))+1))*((1+(51-1)*23/MAX(1,'Uplifters Inputs'!$B$8-1))-INT((1+(51-1)*23/MAX(1,'Uplifters Inputs'!$B$8-1)))))</f>
        <v>0</v>
      </c>
      <c r="G112" s="351" t="n">
        <f aca="false">SUM($F$62:F112)</f>
        <v>60</v>
      </c>
      <c r="H112" s="397" t="n">
        <f aca="false">ROUND('Uplifters Inputs'!$B$7*G112/$G$121,0)-ROUND('Uplifters Inputs'!$B$7*G111/$G$121,0)</f>
        <v>0</v>
      </c>
    </row>
    <row r="113" customFormat="false" ht="15" hidden="false" customHeight="true" outlineLevel="0" collapsed="false">
      <c r="E113" s="123" t="n">
        <v>52</v>
      </c>
      <c r="F113" s="351" t="n">
        <f aca="false">IF(52&gt;'Uplifters Inputs'!$B$8,0,INDEX($B$62:$B$85,INT((1+(52-1)*23/MAX(1,'Uplifters Inputs'!$B$8-1))))*(1-((1+(52-1)*23/MAX(1,'Uplifters Inputs'!$B$8-1))-INT((1+(52-1)*23/MAX(1,'Uplifters Inputs'!$B$8-1)))))+INDEX($B$62:$B$85,MIN(24,INT((1+(52-1)*23/MAX(1,'Uplifters Inputs'!$B$8-1)))+1))*((1+(52-1)*23/MAX(1,'Uplifters Inputs'!$B$8-1))-INT((1+(52-1)*23/MAX(1,'Uplifters Inputs'!$B$8-1)))))</f>
        <v>0</v>
      </c>
      <c r="G113" s="351" t="n">
        <f aca="false">SUM($F$62:F113)</f>
        <v>60</v>
      </c>
      <c r="H113" s="397" t="n">
        <f aca="false">ROUND('Uplifters Inputs'!$B$7*G113/$G$121,0)-ROUND('Uplifters Inputs'!$B$7*G112/$G$121,0)</f>
        <v>0</v>
      </c>
    </row>
    <row r="114" customFormat="false" ht="15" hidden="false" customHeight="true" outlineLevel="0" collapsed="false">
      <c r="E114" s="123" t="n">
        <v>53</v>
      </c>
      <c r="F114" s="351" t="n">
        <f aca="false">IF(53&gt;'Uplifters Inputs'!$B$8,0,INDEX($B$62:$B$85,INT((1+(53-1)*23/MAX(1,'Uplifters Inputs'!$B$8-1))))*(1-((1+(53-1)*23/MAX(1,'Uplifters Inputs'!$B$8-1))-INT((1+(53-1)*23/MAX(1,'Uplifters Inputs'!$B$8-1)))))+INDEX($B$62:$B$85,MIN(24,INT((1+(53-1)*23/MAX(1,'Uplifters Inputs'!$B$8-1)))+1))*((1+(53-1)*23/MAX(1,'Uplifters Inputs'!$B$8-1))-INT((1+(53-1)*23/MAX(1,'Uplifters Inputs'!$B$8-1)))))</f>
        <v>0</v>
      </c>
      <c r="G114" s="351" t="n">
        <f aca="false">SUM($F$62:F114)</f>
        <v>60</v>
      </c>
      <c r="H114" s="397" t="n">
        <f aca="false">ROUND('Uplifters Inputs'!$B$7*G114/$G$121,0)-ROUND('Uplifters Inputs'!$B$7*G113/$G$121,0)</f>
        <v>0</v>
      </c>
    </row>
    <row r="115" customFormat="false" ht="15" hidden="false" customHeight="true" outlineLevel="0" collapsed="false">
      <c r="E115" s="123" t="n">
        <v>54</v>
      </c>
      <c r="F115" s="351" t="n">
        <f aca="false">IF(54&gt;'Uplifters Inputs'!$B$8,0,INDEX($B$62:$B$85,INT((1+(54-1)*23/MAX(1,'Uplifters Inputs'!$B$8-1))))*(1-((1+(54-1)*23/MAX(1,'Uplifters Inputs'!$B$8-1))-INT((1+(54-1)*23/MAX(1,'Uplifters Inputs'!$B$8-1)))))+INDEX($B$62:$B$85,MIN(24,INT((1+(54-1)*23/MAX(1,'Uplifters Inputs'!$B$8-1)))+1))*((1+(54-1)*23/MAX(1,'Uplifters Inputs'!$B$8-1))-INT((1+(54-1)*23/MAX(1,'Uplifters Inputs'!$B$8-1)))))</f>
        <v>0</v>
      </c>
      <c r="G115" s="351" t="n">
        <f aca="false">SUM($F$62:F115)</f>
        <v>60</v>
      </c>
      <c r="H115" s="397" t="n">
        <f aca="false">ROUND('Uplifters Inputs'!$B$7*G115/$G$121,0)-ROUND('Uplifters Inputs'!$B$7*G114/$G$121,0)</f>
        <v>0</v>
      </c>
    </row>
    <row r="116" customFormat="false" ht="15" hidden="false" customHeight="true" outlineLevel="0" collapsed="false">
      <c r="E116" s="123" t="n">
        <v>55</v>
      </c>
      <c r="F116" s="351" t="n">
        <f aca="false">IF(55&gt;'Uplifters Inputs'!$B$8,0,INDEX($B$62:$B$85,INT((1+(55-1)*23/MAX(1,'Uplifters Inputs'!$B$8-1))))*(1-((1+(55-1)*23/MAX(1,'Uplifters Inputs'!$B$8-1))-INT((1+(55-1)*23/MAX(1,'Uplifters Inputs'!$B$8-1)))))+INDEX($B$62:$B$85,MIN(24,INT((1+(55-1)*23/MAX(1,'Uplifters Inputs'!$B$8-1)))+1))*((1+(55-1)*23/MAX(1,'Uplifters Inputs'!$B$8-1))-INT((1+(55-1)*23/MAX(1,'Uplifters Inputs'!$B$8-1)))))</f>
        <v>0</v>
      </c>
      <c r="G116" s="351" t="n">
        <f aca="false">SUM($F$62:F116)</f>
        <v>60</v>
      </c>
      <c r="H116" s="397" t="n">
        <f aca="false">ROUND('Uplifters Inputs'!$B$7*G116/$G$121,0)-ROUND('Uplifters Inputs'!$B$7*G115/$G$121,0)</f>
        <v>0</v>
      </c>
    </row>
    <row r="117" customFormat="false" ht="15" hidden="false" customHeight="true" outlineLevel="0" collapsed="false">
      <c r="E117" s="123" t="n">
        <v>56</v>
      </c>
      <c r="F117" s="351" t="n">
        <f aca="false">IF(56&gt;'Uplifters Inputs'!$B$8,0,INDEX($B$62:$B$85,INT((1+(56-1)*23/MAX(1,'Uplifters Inputs'!$B$8-1))))*(1-((1+(56-1)*23/MAX(1,'Uplifters Inputs'!$B$8-1))-INT((1+(56-1)*23/MAX(1,'Uplifters Inputs'!$B$8-1)))))+INDEX($B$62:$B$85,MIN(24,INT((1+(56-1)*23/MAX(1,'Uplifters Inputs'!$B$8-1)))+1))*((1+(56-1)*23/MAX(1,'Uplifters Inputs'!$B$8-1))-INT((1+(56-1)*23/MAX(1,'Uplifters Inputs'!$B$8-1)))))</f>
        <v>0</v>
      </c>
      <c r="G117" s="351" t="n">
        <f aca="false">SUM($F$62:F117)</f>
        <v>60</v>
      </c>
      <c r="H117" s="397" t="n">
        <f aca="false">ROUND('Uplifters Inputs'!$B$7*G117/$G$121,0)-ROUND('Uplifters Inputs'!$B$7*G116/$G$121,0)</f>
        <v>0</v>
      </c>
    </row>
    <row r="118" customFormat="false" ht="15" hidden="false" customHeight="true" outlineLevel="0" collapsed="false">
      <c r="E118" s="123" t="n">
        <v>57</v>
      </c>
      <c r="F118" s="351" t="n">
        <f aca="false">IF(57&gt;'Uplifters Inputs'!$B$8,0,INDEX($B$62:$B$85,INT((1+(57-1)*23/MAX(1,'Uplifters Inputs'!$B$8-1))))*(1-((1+(57-1)*23/MAX(1,'Uplifters Inputs'!$B$8-1))-INT((1+(57-1)*23/MAX(1,'Uplifters Inputs'!$B$8-1)))))+INDEX($B$62:$B$85,MIN(24,INT((1+(57-1)*23/MAX(1,'Uplifters Inputs'!$B$8-1)))+1))*((1+(57-1)*23/MAX(1,'Uplifters Inputs'!$B$8-1))-INT((1+(57-1)*23/MAX(1,'Uplifters Inputs'!$B$8-1)))))</f>
        <v>0</v>
      </c>
      <c r="G118" s="351" t="n">
        <f aca="false">SUM($F$62:F118)</f>
        <v>60</v>
      </c>
      <c r="H118" s="397" t="n">
        <f aca="false">ROUND('Uplifters Inputs'!$B$7*G118/$G$121,0)-ROUND('Uplifters Inputs'!$B$7*G117/$G$121,0)</f>
        <v>0</v>
      </c>
    </row>
    <row r="119" customFormat="false" ht="15" hidden="false" customHeight="true" outlineLevel="0" collapsed="false">
      <c r="E119" s="123" t="n">
        <v>58</v>
      </c>
      <c r="F119" s="351" t="n">
        <f aca="false">IF(58&gt;'Uplifters Inputs'!$B$8,0,INDEX($B$62:$B$85,INT((1+(58-1)*23/MAX(1,'Uplifters Inputs'!$B$8-1))))*(1-((1+(58-1)*23/MAX(1,'Uplifters Inputs'!$B$8-1))-INT((1+(58-1)*23/MAX(1,'Uplifters Inputs'!$B$8-1)))))+INDEX($B$62:$B$85,MIN(24,INT((1+(58-1)*23/MAX(1,'Uplifters Inputs'!$B$8-1)))+1))*((1+(58-1)*23/MAX(1,'Uplifters Inputs'!$B$8-1))-INT((1+(58-1)*23/MAX(1,'Uplifters Inputs'!$B$8-1)))))</f>
        <v>0</v>
      </c>
      <c r="G119" s="351" t="n">
        <f aca="false">SUM($F$62:F119)</f>
        <v>60</v>
      </c>
      <c r="H119" s="397" t="n">
        <f aca="false">ROUND('Uplifters Inputs'!$B$7*G119/$G$121,0)-ROUND('Uplifters Inputs'!$B$7*G118/$G$121,0)</f>
        <v>0</v>
      </c>
    </row>
    <row r="120" customFormat="false" ht="15" hidden="false" customHeight="true" outlineLevel="0" collapsed="false">
      <c r="E120" s="123" t="n">
        <v>59</v>
      </c>
      <c r="F120" s="351" t="n">
        <f aca="false">IF(59&gt;'Uplifters Inputs'!$B$8,0,INDEX($B$62:$B$85,INT((1+(59-1)*23/MAX(1,'Uplifters Inputs'!$B$8-1))))*(1-((1+(59-1)*23/MAX(1,'Uplifters Inputs'!$B$8-1))-INT((1+(59-1)*23/MAX(1,'Uplifters Inputs'!$B$8-1)))))+INDEX($B$62:$B$85,MIN(24,INT((1+(59-1)*23/MAX(1,'Uplifters Inputs'!$B$8-1)))+1))*((1+(59-1)*23/MAX(1,'Uplifters Inputs'!$B$8-1))-INT((1+(59-1)*23/MAX(1,'Uplifters Inputs'!$B$8-1)))))</f>
        <v>0</v>
      </c>
      <c r="G120" s="351" t="n">
        <f aca="false">SUM($F$62:F120)</f>
        <v>60</v>
      </c>
      <c r="H120" s="397" t="n">
        <f aca="false">ROUND('Uplifters Inputs'!$B$7*G120/$G$121,0)-ROUND('Uplifters Inputs'!$B$7*G119/$G$121,0)</f>
        <v>0</v>
      </c>
    </row>
    <row r="121" customFormat="false" ht="15" hidden="false" customHeight="true" outlineLevel="0" collapsed="false">
      <c r="E121" s="123" t="n">
        <v>60</v>
      </c>
      <c r="F121" s="351" t="n">
        <f aca="false">IF(60&gt;'Uplifters Inputs'!$B$8,0,INDEX($B$62:$B$85,INT((1+(60-1)*23/MAX(1,'Uplifters Inputs'!$B$8-1))))*(1-((1+(60-1)*23/MAX(1,'Uplifters Inputs'!$B$8-1))-INT((1+(60-1)*23/MAX(1,'Uplifters Inputs'!$B$8-1)))))+INDEX($B$62:$B$85,MIN(24,INT((1+(60-1)*23/MAX(1,'Uplifters Inputs'!$B$8-1)))+1))*((1+(60-1)*23/MAX(1,'Uplifters Inputs'!$B$8-1))-INT((1+(60-1)*23/MAX(1,'Uplifters Inputs'!$B$8-1)))))</f>
        <v>0</v>
      </c>
      <c r="G121" s="351" t="n">
        <f aca="false">SUM($F$62:F121)</f>
        <v>60</v>
      </c>
      <c r="H121" s="397" t="n">
        <f aca="false">ROUND('Uplifters Inputs'!$B$7*G121/$G$121,0)-ROUND('Uplifters Inputs'!$B$7*G120/$G$121,0)</f>
        <v>0</v>
      </c>
    </row>
    <row r="122" customFormat="false" ht="15" hidden="false" customHeight="true" outlineLevel="0" collapsed="false">
      <c r="E122" s="123" t="s">
        <v>1402</v>
      </c>
      <c r="H122" s="398"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1" width="40"/>
    <col collapsed="false" customWidth="true" hidden="false" outlineLevel="0" max="2" min="2" style="1" width="11"/>
  </cols>
  <sheetData>
    <row r="1" customFormat="false" ht="17.25" hidden="false" customHeight="true" outlineLevel="0" collapsed="false">
      <c r="A1" s="388" t="s">
        <v>1403</v>
      </c>
    </row>
    <row r="2" customFormat="false" ht="15" hidden="false" customHeight="true" outlineLevel="0" collapsed="false">
      <c r="A2" s="389" t="s">
        <v>1404</v>
      </c>
    </row>
    <row r="4" customFormat="false" ht="15" hidden="false" customHeight="true" outlineLevel="0" collapsed="false">
      <c r="A4" s="399" t="s">
        <v>1030</v>
      </c>
      <c r="B4" s="400" t="n">
        <f aca="false">DATE(2026,1,1)</f>
        <v>46023</v>
      </c>
      <c r="C4" s="400" t="n">
        <f aca="false">DATE(2026,2,1)</f>
        <v>46054</v>
      </c>
      <c r="D4" s="400" t="n">
        <f aca="false">DATE(2026,3,1)</f>
        <v>46082</v>
      </c>
      <c r="E4" s="400" t="n">
        <f aca="false">DATE(2026,4,1)</f>
        <v>46113</v>
      </c>
      <c r="F4" s="400" t="n">
        <f aca="false">DATE(2026,5,1)</f>
        <v>46143</v>
      </c>
      <c r="G4" s="400" t="n">
        <f aca="false">DATE(2026,6,1)</f>
        <v>46174</v>
      </c>
      <c r="H4" s="400" t="n">
        <f aca="false">DATE(2026,7,1)</f>
        <v>46204</v>
      </c>
      <c r="I4" s="400" t="n">
        <f aca="false">DATE(2026,8,1)</f>
        <v>46235</v>
      </c>
      <c r="J4" s="400" t="n">
        <f aca="false">DATE(2026,9,1)</f>
        <v>46266</v>
      </c>
      <c r="K4" s="400" t="n">
        <f aca="false">DATE(2026,10,1)</f>
        <v>46296</v>
      </c>
      <c r="L4" s="400" t="n">
        <f aca="false">DATE(2026,11,1)</f>
        <v>46327</v>
      </c>
      <c r="M4" s="400" t="n">
        <f aca="false">DATE(2026,12,1)</f>
        <v>46357</v>
      </c>
      <c r="N4" s="400" t="n">
        <f aca="false">DATE(2026,13,1)</f>
        <v>46388</v>
      </c>
      <c r="O4" s="400" t="n">
        <f aca="false">DATE(2026,14,1)</f>
        <v>46419</v>
      </c>
      <c r="P4" s="400" t="n">
        <f aca="false">DATE(2026,15,1)</f>
        <v>46447</v>
      </c>
      <c r="Q4" s="400" t="n">
        <f aca="false">DATE(2026,16,1)</f>
        <v>46478</v>
      </c>
      <c r="R4" s="400" t="n">
        <f aca="false">DATE(2026,17,1)</f>
        <v>46508</v>
      </c>
      <c r="S4" s="400" t="n">
        <f aca="false">DATE(2026,18,1)</f>
        <v>46539</v>
      </c>
      <c r="T4" s="400" t="n">
        <f aca="false">DATE(2026,19,1)</f>
        <v>46569</v>
      </c>
      <c r="U4" s="400" t="n">
        <f aca="false">DATE(2026,20,1)</f>
        <v>46600</v>
      </c>
      <c r="V4" s="400" t="n">
        <f aca="false">DATE(2026,21,1)</f>
        <v>46631</v>
      </c>
      <c r="W4" s="400" t="n">
        <f aca="false">DATE(2026,22,1)</f>
        <v>46661</v>
      </c>
      <c r="X4" s="400" t="n">
        <f aca="false">DATE(2026,23,1)</f>
        <v>46692</v>
      </c>
      <c r="Y4" s="400" t="n">
        <f aca="false">DATE(2026,24,1)</f>
        <v>46722</v>
      </c>
      <c r="Z4" s="400" t="n">
        <f aca="false">DATE(2026,25,1)</f>
        <v>46753</v>
      </c>
      <c r="AA4" s="400" t="n">
        <f aca="false">DATE(2026,26,1)</f>
        <v>46784</v>
      </c>
      <c r="AB4" s="400" t="n">
        <f aca="false">DATE(2026,27,1)</f>
        <v>46813</v>
      </c>
      <c r="AC4" s="400" t="n">
        <f aca="false">DATE(2026,28,1)</f>
        <v>46844</v>
      </c>
      <c r="AD4" s="400" t="n">
        <f aca="false">DATE(2026,29,1)</f>
        <v>46874</v>
      </c>
      <c r="AE4" s="400" t="n">
        <f aca="false">DATE(2026,30,1)</f>
        <v>46905</v>
      </c>
      <c r="AF4" s="400" t="n">
        <f aca="false">DATE(2026,31,1)</f>
        <v>46935</v>
      </c>
      <c r="AG4" s="400" t="n">
        <f aca="false">DATE(2026,32,1)</f>
        <v>46966</v>
      </c>
      <c r="AH4" s="400" t="n">
        <f aca="false">DATE(2026,33,1)</f>
        <v>46997</v>
      </c>
      <c r="AI4" s="400" t="n">
        <f aca="false">DATE(2026,34,1)</f>
        <v>47027</v>
      </c>
      <c r="AJ4" s="400" t="n">
        <f aca="false">DATE(2026,35,1)</f>
        <v>47058</v>
      </c>
      <c r="AK4" s="400" t="n">
        <f aca="false">DATE(2026,36,1)</f>
        <v>47088</v>
      </c>
      <c r="AL4" s="400" t="n">
        <f aca="false">DATE(2026,37,1)</f>
        <v>47119</v>
      </c>
      <c r="AM4" s="400" t="n">
        <f aca="false">DATE(2026,38,1)</f>
        <v>47150</v>
      </c>
      <c r="AN4" s="400" t="n">
        <f aca="false">DATE(2026,39,1)</f>
        <v>47178</v>
      </c>
      <c r="AO4" s="400" t="n">
        <f aca="false">DATE(2026,40,1)</f>
        <v>47209</v>
      </c>
      <c r="AP4" s="400" t="n">
        <f aca="false">DATE(2026,41,1)</f>
        <v>47239</v>
      </c>
      <c r="AQ4" s="400" t="n">
        <f aca="false">DATE(2026,42,1)</f>
        <v>47270</v>
      </c>
      <c r="AR4" s="400" t="n">
        <f aca="false">DATE(2026,43,1)</f>
        <v>47300</v>
      </c>
      <c r="AS4" s="400" t="n">
        <f aca="false">DATE(2026,44,1)</f>
        <v>47331</v>
      </c>
      <c r="AT4" s="400" t="n">
        <f aca="false">DATE(2026,45,1)</f>
        <v>47362</v>
      </c>
      <c r="AU4" s="400" t="n">
        <f aca="false">DATE(2026,46,1)</f>
        <v>47392</v>
      </c>
      <c r="AV4" s="400" t="n">
        <f aca="false">DATE(2026,47,1)</f>
        <v>47423</v>
      </c>
      <c r="AW4" s="400" t="n">
        <f aca="false">DATE(2026,48,1)</f>
        <v>47453</v>
      </c>
      <c r="AX4" s="400" t="n">
        <f aca="false">DATE(2026,49,1)</f>
        <v>47484</v>
      </c>
      <c r="AY4" s="400" t="n">
        <f aca="false">DATE(2026,50,1)</f>
        <v>47515</v>
      </c>
      <c r="AZ4" s="400" t="n">
        <f aca="false">DATE(2026,51,1)</f>
        <v>47543</v>
      </c>
      <c r="BA4" s="400" t="n">
        <f aca="false">DATE(2026,52,1)</f>
        <v>47574</v>
      </c>
      <c r="BB4" s="400" t="n">
        <f aca="false">DATE(2026,53,1)</f>
        <v>47604</v>
      </c>
      <c r="BC4" s="400" t="n">
        <f aca="false">DATE(2026,54,1)</f>
        <v>47635</v>
      </c>
      <c r="BD4" s="400" t="n">
        <f aca="false">DATE(2026,55,1)</f>
        <v>47665</v>
      </c>
      <c r="BE4" s="400" t="n">
        <f aca="false">DATE(2026,56,1)</f>
        <v>47696</v>
      </c>
      <c r="BF4" s="400" t="n">
        <f aca="false">DATE(2026,57,1)</f>
        <v>47727</v>
      </c>
      <c r="BG4" s="400" t="n">
        <f aca="false">DATE(2026,58,1)</f>
        <v>47757</v>
      </c>
      <c r="BH4" s="400" t="n">
        <f aca="false">DATE(2026,59,1)</f>
        <v>47788</v>
      </c>
      <c r="BI4" s="400" t="n">
        <f aca="false">DATE(2026,60,1)</f>
        <v>47818</v>
      </c>
      <c r="BJ4" s="400" t="n">
        <f aca="false">DATE(2026,61,1)</f>
        <v>47849</v>
      </c>
      <c r="BK4" s="400" t="n">
        <f aca="false">DATE(2026,62,1)</f>
        <v>47880</v>
      </c>
      <c r="BL4" s="400" t="n">
        <f aca="false">DATE(2026,63,1)</f>
        <v>47908</v>
      </c>
      <c r="BM4" s="400" t="n">
        <f aca="false">DATE(2026,64,1)</f>
        <v>47939</v>
      </c>
      <c r="BN4" s="400" t="n">
        <f aca="false">DATE(2026,65,1)</f>
        <v>47969</v>
      </c>
      <c r="BO4" s="400" t="n">
        <f aca="false">DATE(2026,66,1)</f>
        <v>48000</v>
      </c>
      <c r="BP4" s="400" t="n">
        <f aca="false">DATE(2026,67,1)</f>
        <v>48030</v>
      </c>
      <c r="BQ4" s="400" t="n">
        <f aca="false">DATE(2026,68,1)</f>
        <v>48061</v>
      </c>
      <c r="BR4" s="400" t="n">
        <f aca="false">DATE(2026,69,1)</f>
        <v>48092</v>
      </c>
      <c r="BS4" s="400" t="n">
        <f aca="false">DATE(2026,70,1)</f>
        <v>48122</v>
      </c>
      <c r="BT4" s="400" t="n">
        <f aca="false">DATE(2026,71,1)</f>
        <v>48153</v>
      </c>
      <c r="BU4" s="400" t="n">
        <f aca="false">DATE(2026,72,1)</f>
        <v>48183</v>
      </c>
      <c r="BV4" s="400" t="n">
        <f aca="false">DATE(2026,73,1)</f>
        <v>48214</v>
      </c>
      <c r="BW4" s="400" t="n">
        <f aca="false">DATE(2026,74,1)</f>
        <v>48245</v>
      </c>
      <c r="BX4" s="400" t="n">
        <f aca="false">DATE(2026,75,1)</f>
        <v>48274</v>
      </c>
      <c r="BY4" s="400" t="n">
        <f aca="false">DATE(2026,76,1)</f>
        <v>48305</v>
      </c>
      <c r="BZ4" s="400" t="n">
        <f aca="false">DATE(2026,77,1)</f>
        <v>48335</v>
      </c>
      <c r="CA4" s="400" t="n">
        <f aca="false">DATE(2026,78,1)</f>
        <v>48366</v>
      </c>
      <c r="CB4" s="400" t="n">
        <f aca="false">DATE(2026,79,1)</f>
        <v>48396</v>
      </c>
      <c r="CC4" s="400" t="n">
        <f aca="false">DATE(2026,80,1)</f>
        <v>48427</v>
      </c>
      <c r="CD4" s="400" t="n">
        <f aca="false">DATE(2026,81,1)</f>
        <v>48458</v>
      </c>
      <c r="CE4" s="400" t="n">
        <f aca="false">DATE(2026,82,1)</f>
        <v>48488</v>
      </c>
      <c r="CF4" s="400" t="n">
        <f aca="false">DATE(2026,83,1)</f>
        <v>48519</v>
      </c>
      <c r="CG4" s="400" t="n">
        <f aca="false">DATE(2026,84,1)</f>
        <v>48549</v>
      </c>
      <c r="CH4" s="400" t="n">
        <f aca="false">DATE(2026,85,1)</f>
        <v>48580</v>
      </c>
      <c r="CI4" s="400" t="n">
        <f aca="false">DATE(2026,86,1)</f>
        <v>48611</v>
      </c>
      <c r="CJ4" s="400" t="n">
        <f aca="false">DATE(2026,87,1)</f>
        <v>48639</v>
      </c>
      <c r="CK4" s="400" t="n">
        <f aca="false">DATE(2026,88,1)</f>
        <v>48670</v>
      </c>
      <c r="CL4" s="400" t="n">
        <f aca="false">DATE(2026,89,1)</f>
        <v>48700</v>
      </c>
      <c r="CM4" s="400" t="n">
        <f aca="false">DATE(2026,90,1)</f>
        <v>48731</v>
      </c>
      <c r="CN4" s="400" t="n">
        <f aca="false">DATE(2026,91,1)</f>
        <v>48761</v>
      </c>
      <c r="CO4" s="400" t="n">
        <f aca="false">DATE(2026,92,1)</f>
        <v>48792</v>
      </c>
      <c r="CP4" s="400" t="n">
        <f aca="false">DATE(2026,93,1)</f>
        <v>48823</v>
      </c>
      <c r="CQ4" s="400" t="n">
        <f aca="false">DATE(2026,94,1)</f>
        <v>48853</v>
      </c>
      <c r="CR4" s="400" t="n">
        <f aca="false">DATE(2026,95,1)</f>
        <v>48884</v>
      </c>
      <c r="CS4" s="400" t="n">
        <f aca="false">DATE(2026,96,1)</f>
        <v>48914</v>
      </c>
    </row>
    <row r="5" customFormat="false" ht="15" hidden="false" customHeight="true" outlineLevel="0" collapsed="false">
      <c r="A5" s="399" t="s">
        <v>1405</v>
      </c>
      <c r="B5" s="401" t="n">
        <v>-2</v>
      </c>
      <c r="C5" s="401" t="n">
        <v>-1</v>
      </c>
      <c r="D5" s="401" t="n">
        <v>0</v>
      </c>
      <c r="E5" s="401" t="n">
        <v>1</v>
      </c>
      <c r="F5" s="401" t="n">
        <v>2</v>
      </c>
      <c r="G5" s="401" t="n">
        <v>3</v>
      </c>
      <c r="H5" s="401" t="n">
        <v>4</v>
      </c>
      <c r="I5" s="401" t="n">
        <v>5</v>
      </c>
      <c r="J5" s="401" t="n">
        <v>6</v>
      </c>
      <c r="K5" s="401" t="n">
        <v>7</v>
      </c>
      <c r="L5" s="401" t="n">
        <v>8</v>
      </c>
      <c r="M5" s="401" t="n">
        <v>9</v>
      </c>
      <c r="N5" s="401" t="n">
        <v>10</v>
      </c>
      <c r="O5" s="401" t="n">
        <v>11</v>
      </c>
      <c r="P5" s="401" t="n">
        <v>12</v>
      </c>
      <c r="Q5" s="401" t="n">
        <v>13</v>
      </c>
      <c r="R5" s="401" t="n">
        <v>14</v>
      </c>
      <c r="S5" s="401" t="n">
        <v>15</v>
      </c>
      <c r="T5" s="401" t="n">
        <v>16</v>
      </c>
      <c r="U5" s="401" t="n">
        <v>17</v>
      </c>
      <c r="V5" s="401" t="n">
        <v>18</v>
      </c>
      <c r="W5" s="401" t="n">
        <v>19</v>
      </c>
      <c r="X5" s="401" t="n">
        <v>20</v>
      </c>
      <c r="Y5" s="401" t="n">
        <v>21</v>
      </c>
      <c r="Z5" s="401" t="n">
        <v>22</v>
      </c>
      <c r="AA5" s="401" t="n">
        <v>23</v>
      </c>
      <c r="AB5" s="401" t="n">
        <v>24</v>
      </c>
      <c r="AC5" s="401" t="n">
        <v>25</v>
      </c>
      <c r="AD5" s="401" t="n">
        <v>26</v>
      </c>
      <c r="AE5" s="401" t="n">
        <v>27</v>
      </c>
      <c r="AF5" s="401" t="n">
        <v>28</v>
      </c>
      <c r="AG5" s="401" t="n">
        <v>29</v>
      </c>
      <c r="AH5" s="401" t="n">
        <v>30</v>
      </c>
      <c r="AI5" s="401" t="n">
        <v>31</v>
      </c>
      <c r="AJ5" s="401" t="n">
        <v>32</v>
      </c>
      <c r="AK5" s="401" t="n">
        <v>33</v>
      </c>
      <c r="AL5" s="401" t="n">
        <v>34</v>
      </c>
      <c r="AM5" s="401" t="n">
        <v>35</v>
      </c>
      <c r="AN5" s="401" t="n">
        <v>36</v>
      </c>
      <c r="AO5" s="401" t="n">
        <v>37</v>
      </c>
      <c r="AP5" s="401" t="n">
        <v>38</v>
      </c>
      <c r="AQ5" s="401" t="n">
        <v>39</v>
      </c>
      <c r="AR5" s="401" t="n">
        <v>40</v>
      </c>
      <c r="AS5" s="401" t="n">
        <v>41</v>
      </c>
      <c r="AT5" s="401" t="n">
        <v>42</v>
      </c>
      <c r="AU5" s="401" t="n">
        <v>43</v>
      </c>
      <c r="AV5" s="401" t="n">
        <v>44</v>
      </c>
      <c r="AW5" s="401" t="n">
        <v>45</v>
      </c>
      <c r="AX5" s="401" t="n">
        <v>46</v>
      </c>
      <c r="AY5" s="401" t="n">
        <v>47</v>
      </c>
      <c r="AZ5" s="401" t="n">
        <v>48</v>
      </c>
      <c r="BA5" s="401" t="n">
        <v>49</v>
      </c>
      <c r="BB5" s="401" t="n">
        <v>50</v>
      </c>
      <c r="BC5" s="401" t="n">
        <v>51</v>
      </c>
      <c r="BD5" s="401" t="n">
        <v>52</v>
      </c>
      <c r="BE5" s="401" t="n">
        <v>53</v>
      </c>
      <c r="BF5" s="401" t="n">
        <v>54</v>
      </c>
      <c r="BG5" s="401" t="n">
        <v>55</v>
      </c>
      <c r="BH5" s="401" t="n">
        <v>56</v>
      </c>
      <c r="BI5" s="401" t="n">
        <v>57</v>
      </c>
      <c r="BJ5" s="401" t="n">
        <v>58</v>
      </c>
      <c r="BK5" s="401" t="n">
        <v>59</v>
      </c>
      <c r="BL5" s="401" t="n">
        <v>60</v>
      </c>
      <c r="BM5" s="401" t="n">
        <v>61</v>
      </c>
      <c r="BN5" s="401" t="n">
        <v>62</v>
      </c>
      <c r="BO5" s="401" t="n">
        <v>63</v>
      </c>
      <c r="BP5" s="401" t="n">
        <v>64</v>
      </c>
      <c r="BQ5" s="401" t="n">
        <v>65</v>
      </c>
      <c r="BR5" s="401" t="n">
        <v>66</v>
      </c>
      <c r="BS5" s="401" t="n">
        <v>67</v>
      </c>
      <c r="BT5" s="401" t="n">
        <v>68</v>
      </c>
      <c r="BU5" s="401" t="n">
        <v>69</v>
      </c>
      <c r="BV5" s="401" t="n">
        <v>70</v>
      </c>
      <c r="BW5" s="401" t="n">
        <v>71</v>
      </c>
      <c r="BX5" s="401" t="n">
        <v>72</v>
      </c>
      <c r="BY5" s="401" t="n">
        <v>73</v>
      </c>
      <c r="BZ5" s="401" t="n">
        <v>74</v>
      </c>
      <c r="CA5" s="401" t="n">
        <v>75</v>
      </c>
      <c r="CB5" s="401" t="n">
        <v>76</v>
      </c>
      <c r="CC5" s="401" t="n">
        <v>77</v>
      </c>
      <c r="CD5" s="401" t="n">
        <v>78</v>
      </c>
      <c r="CE5" s="401" t="n">
        <v>79</v>
      </c>
      <c r="CF5" s="401" t="n">
        <v>80</v>
      </c>
      <c r="CG5" s="401" t="n">
        <v>81</v>
      </c>
      <c r="CH5" s="401" t="n">
        <v>82</v>
      </c>
      <c r="CI5" s="401" t="n">
        <v>83</v>
      </c>
      <c r="CJ5" s="401" t="n">
        <v>84</v>
      </c>
      <c r="CK5" s="401" t="n">
        <v>85</v>
      </c>
      <c r="CL5" s="401" t="n">
        <v>86</v>
      </c>
      <c r="CM5" s="401" t="n">
        <v>87</v>
      </c>
      <c r="CN5" s="401" t="n">
        <v>88</v>
      </c>
      <c r="CO5" s="401" t="n">
        <v>89</v>
      </c>
      <c r="CP5" s="401" t="n">
        <v>90</v>
      </c>
      <c r="CQ5" s="401" t="n">
        <v>91</v>
      </c>
      <c r="CR5" s="401" t="n">
        <v>92</v>
      </c>
      <c r="CS5" s="401" t="n">
        <v>93</v>
      </c>
    </row>
    <row r="6" customFormat="false" ht="15" hidden="false" customHeight="true" outlineLevel="0" collapsed="false">
      <c r="A6" s="399" t="s">
        <v>1406</v>
      </c>
      <c r="B6" s="401" t="n">
        <f aca="false">YEAR(B4)</f>
        <v>2026</v>
      </c>
      <c r="C6" s="401" t="n">
        <f aca="false">YEAR(C4)</f>
        <v>2026</v>
      </c>
      <c r="D6" s="401" t="n">
        <f aca="false">YEAR(D4)</f>
        <v>2026</v>
      </c>
      <c r="E6" s="401" t="n">
        <f aca="false">YEAR(E4)</f>
        <v>2026</v>
      </c>
      <c r="F6" s="401" t="n">
        <f aca="false">YEAR(F4)</f>
        <v>2026</v>
      </c>
      <c r="G6" s="401" t="n">
        <f aca="false">YEAR(G4)</f>
        <v>2026</v>
      </c>
      <c r="H6" s="401" t="n">
        <f aca="false">YEAR(H4)</f>
        <v>2026</v>
      </c>
      <c r="I6" s="401" t="n">
        <f aca="false">YEAR(I4)</f>
        <v>2026</v>
      </c>
      <c r="J6" s="401" t="n">
        <f aca="false">YEAR(J4)</f>
        <v>2026</v>
      </c>
      <c r="K6" s="401" t="n">
        <f aca="false">YEAR(K4)</f>
        <v>2026</v>
      </c>
      <c r="L6" s="401" t="n">
        <f aca="false">YEAR(L4)</f>
        <v>2026</v>
      </c>
      <c r="M6" s="401" t="n">
        <f aca="false">YEAR(M4)</f>
        <v>2026</v>
      </c>
      <c r="N6" s="401" t="n">
        <f aca="false">YEAR(N4)</f>
        <v>2027</v>
      </c>
      <c r="O6" s="401" t="n">
        <f aca="false">YEAR(O4)</f>
        <v>2027</v>
      </c>
      <c r="P6" s="401" t="n">
        <f aca="false">YEAR(P4)</f>
        <v>2027</v>
      </c>
      <c r="Q6" s="401" t="n">
        <f aca="false">YEAR(Q4)</f>
        <v>2027</v>
      </c>
      <c r="R6" s="401" t="n">
        <f aca="false">YEAR(R4)</f>
        <v>2027</v>
      </c>
      <c r="S6" s="401" t="n">
        <f aca="false">YEAR(S4)</f>
        <v>2027</v>
      </c>
      <c r="T6" s="401" t="n">
        <f aca="false">YEAR(T4)</f>
        <v>2027</v>
      </c>
      <c r="U6" s="401" t="n">
        <f aca="false">YEAR(U4)</f>
        <v>2027</v>
      </c>
      <c r="V6" s="401" t="n">
        <f aca="false">YEAR(V4)</f>
        <v>2027</v>
      </c>
      <c r="W6" s="401" t="n">
        <f aca="false">YEAR(W4)</f>
        <v>2027</v>
      </c>
      <c r="X6" s="401" t="n">
        <f aca="false">YEAR(X4)</f>
        <v>2027</v>
      </c>
      <c r="Y6" s="401" t="n">
        <f aca="false">YEAR(Y4)</f>
        <v>2027</v>
      </c>
      <c r="Z6" s="401" t="n">
        <f aca="false">YEAR(Z4)</f>
        <v>2028</v>
      </c>
      <c r="AA6" s="401" t="n">
        <f aca="false">YEAR(AA4)</f>
        <v>2028</v>
      </c>
      <c r="AB6" s="401" t="n">
        <f aca="false">YEAR(AB4)</f>
        <v>2028</v>
      </c>
      <c r="AC6" s="401" t="n">
        <f aca="false">YEAR(AC4)</f>
        <v>2028</v>
      </c>
      <c r="AD6" s="401" t="n">
        <f aca="false">YEAR(AD4)</f>
        <v>2028</v>
      </c>
      <c r="AE6" s="401" t="n">
        <f aca="false">YEAR(AE4)</f>
        <v>2028</v>
      </c>
      <c r="AF6" s="401" t="n">
        <f aca="false">YEAR(AF4)</f>
        <v>2028</v>
      </c>
      <c r="AG6" s="401" t="n">
        <f aca="false">YEAR(AG4)</f>
        <v>2028</v>
      </c>
      <c r="AH6" s="401" t="n">
        <f aca="false">YEAR(AH4)</f>
        <v>2028</v>
      </c>
      <c r="AI6" s="401" t="n">
        <f aca="false">YEAR(AI4)</f>
        <v>2028</v>
      </c>
      <c r="AJ6" s="401" t="n">
        <f aca="false">YEAR(AJ4)</f>
        <v>2028</v>
      </c>
      <c r="AK6" s="401" t="n">
        <f aca="false">YEAR(AK4)</f>
        <v>2028</v>
      </c>
      <c r="AL6" s="401" t="n">
        <f aca="false">YEAR(AL4)</f>
        <v>2029</v>
      </c>
      <c r="AM6" s="401" t="n">
        <f aca="false">YEAR(AM4)</f>
        <v>2029</v>
      </c>
      <c r="AN6" s="401" t="n">
        <f aca="false">YEAR(AN4)</f>
        <v>2029</v>
      </c>
      <c r="AO6" s="401" t="n">
        <f aca="false">YEAR(AO4)</f>
        <v>2029</v>
      </c>
      <c r="AP6" s="401" t="n">
        <f aca="false">YEAR(AP4)</f>
        <v>2029</v>
      </c>
      <c r="AQ6" s="401" t="n">
        <f aca="false">YEAR(AQ4)</f>
        <v>2029</v>
      </c>
      <c r="AR6" s="401" t="n">
        <f aca="false">YEAR(AR4)</f>
        <v>2029</v>
      </c>
      <c r="AS6" s="401" t="n">
        <f aca="false">YEAR(AS4)</f>
        <v>2029</v>
      </c>
      <c r="AT6" s="401" t="n">
        <f aca="false">YEAR(AT4)</f>
        <v>2029</v>
      </c>
      <c r="AU6" s="401" t="n">
        <f aca="false">YEAR(AU4)</f>
        <v>2029</v>
      </c>
      <c r="AV6" s="401" t="n">
        <f aca="false">YEAR(AV4)</f>
        <v>2029</v>
      </c>
      <c r="AW6" s="401" t="n">
        <f aca="false">YEAR(AW4)</f>
        <v>2029</v>
      </c>
      <c r="AX6" s="401" t="n">
        <f aca="false">YEAR(AX4)</f>
        <v>2030</v>
      </c>
      <c r="AY6" s="401" t="n">
        <f aca="false">YEAR(AY4)</f>
        <v>2030</v>
      </c>
      <c r="AZ6" s="401" t="n">
        <f aca="false">YEAR(AZ4)</f>
        <v>2030</v>
      </c>
      <c r="BA6" s="401" t="n">
        <f aca="false">YEAR(BA4)</f>
        <v>2030</v>
      </c>
      <c r="BB6" s="401" t="n">
        <f aca="false">YEAR(BB4)</f>
        <v>2030</v>
      </c>
      <c r="BC6" s="401" t="n">
        <f aca="false">YEAR(BC4)</f>
        <v>2030</v>
      </c>
      <c r="BD6" s="401" t="n">
        <f aca="false">YEAR(BD4)</f>
        <v>2030</v>
      </c>
      <c r="BE6" s="401" t="n">
        <f aca="false">YEAR(BE4)</f>
        <v>2030</v>
      </c>
      <c r="BF6" s="401" t="n">
        <f aca="false">YEAR(BF4)</f>
        <v>2030</v>
      </c>
      <c r="BG6" s="401" t="n">
        <f aca="false">YEAR(BG4)</f>
        <v>2030</v>
      </c>
      <c r="BH6" s="401" t="n">
        <f aca="false">YEAR(BH4)</f>
        <v>2030</v>
      </c>
      <c r="BI6" s="401" t="n">
        <f aca="false">YEAR(BI4)</f>
        <v>2030</v>
      </c>
      <c r="BJ6" s="401" t="n">
        <f aca="false">YEAR(BJ4)</f>
        <v>2031</v>
      </c>
      <c r="BK6" s="401" t="n">
        <f aca="false">YEAR(BK4)</f>
        <v>2031</v>
      </c>
      <c r="BL6" s="401" t="n">
        <f aca="false">YEAR(BL4)</f>
        <v>2031</v>
      </c>
      <c r="BM6" s="401" t="n">
        <f aca="false">YEAR(BM4)</f>
        <v>2031</v>
      </c>
      <c r="BN6" s="401" t="n">
        <f aca="false">YEAR(BN4)</f>
        <v>2031</v>
      </c>
      <c r="BO6" s="401" t="n">
        <f aca="false">YEAR(BO4)</f>
        <v>2031</v>
      </c>
      <c r="BP6" s="401" t="n">
        <f aca="false">YEAR(BP4)</f>
        <v>2031</v>
      </c>
      <c r="BQ6" s="401" t="n">
        <f aca="false">YEAR(BQ4)</f>
        <v>2031</v>
      </c>
      <c r="BR6" s="401" t="n">
        <f aca="false">YEAR(BR4)</f>
        <v>2031</v>
      </c>
      <c r="BS6" s="401" t="n">
        <f aca="false">YEAR(BS4)</f>
        <v>2031</v>
      </c>
      <c r="BT6" s="401" t="n">
        <f aca="false">YEAR(BT4)</f>
        <v>2031</v>
      </c>
      <c r="BU6" s="401" t="n">
        <f aca="false">YEAR(BU4)</f>
        <v>2031</v>
      </c>
      <c r="BV6" s="401" t="n">
        <f aca="false">YEAR(BV4)</f>
        <v>2032</v>
      </c>
      <c r="BW6" s="401" t="n">
        <f aca="false">YEAR(BW4)</f>
        <v>2032</v>
      </c>
      <c r="BX6" s="401" t="n">
        <f aca="false">YEAR(BX4)</f>
        <v>2032</v>
      </c>
      <c r="BY6" s="401" t="n">
        <f aca="false">YEAR(BY4)</f>
        <v>2032</v>
      </c>
      <c r="BZ6" s="401" t="n">
        <f aca="false">YEAR(BZ4)</f>
        <v>2032</v>
      </c>
      <c r="CA6" s="401" t="n">
        <f aca="false">YEAR(CA4)</f>
        <v>2032</v>
      </c>
      <c r="CB6" s="401" t="n">
        <f aca="false">YEAR(CB4)</f>
        <v>2032</v>
      </c>
      <c r="CC6" s="401" t="n">
        <f aca="false">YEAR(CC4)</f>
        <v>2032</v>
      </c>
      <c r="CD6" s="401" t="n">
        <f aca="false">YEAR(CD4)</f>
        <v>2032</v>
      </c>
      <c r="CE6" s="401" t="n">
        <f aca="false">YEAR(CE4)</f>
        <v>2032</v>
      </c>
      <c r="CF6" s="401" t="n">
        <f aca="false">YEAR(CF4)</f>
        <v>2032</v>
      </c>
      <c r="CG6" s="401" t="n">
        <f aca="false">YEAR(CG4)</f>
        <v>2032</v>
      </c>
      <c r="CH6" s="401" t="n">
        <f aca="false">YEAR(CH4)</f>
        <v>2033</v>
      </c>
      <c r="CI6" s="401" t="n">
        <f aca="false">YEAR(CI4)</f>
        <v>2033</v>
      </c>
      <c r="CJ6" s="401" t="n">
        <f aca="false">YEAR(CJ4)</f>
        <v>2033</v>
      </c>
      <c r="CK6" s="401" t="n">
        <f aca="false">YEAR(CK4)</f>
        <v>2033</v>
      </c>
      <c r="CL6" s="401" t="n">
        <f aca="false">YEAR(CL4)</f>
        <v>2033</v>
      </c>
      <c r="CM6" s="401" t="n">
        <f aca="false">YEAR(CM4)</f>
        <v>2033</v>
      </c>
      <c r="CN6" s="401" t="n">
        <f aca="false">YEAR(CN4)</f>
        <v>2033</v>
      </c>
      <c r="CO6" s="401" t="n">
        <f aca="false">YEAR(CO4)</f>
        <v>2033</v>
      </c>
      <c r="CP6" s="401" t="n">
        <f aca="false">YEAR(CP4)</f>
        <v>2033</v>
      </c>
      <c r="CQ6" s="401" t="n">
        <f aca="false">YEAR(CQ4)</f>
        <v>2033</v>
      </c>
      <c r="CR6" s="401" t="n">
        <f aca="false">YEAR(CR4)</f>
        <v>2033</v>
      </c>
      <c r="CS6" s="401" t="n">
        <f aca="false">YEAR(CS4)</f>
        <v>2033</v>
      </c>
    </row>
    <row r="7" customFormat="false" ht="15" hidden="false" customHeight="true" outlineLevel="0" collapsed="false">
      <c r="A7" s="399" t="s">
        <v>1407</v>
      </c>
      <c r="B7" s="401" t="n">
        <f aca="false">IF(B5&lt;'Uplifters Inputs'!$B$5,0,MIN(5,INT((B5-'Uplifters Inputs'!$B$5)/12)+1))</f>
        <v>0</v>
      </c>
      <c r="C7" s="401" t="n">
        <f aca="false">IF(C5&lt;'Uplifters Inputs'!$B$5,0,MIN(5,INT((C5-'Uplifters Inputs'!$B$5)/12)+1))</f>
        <v>0</v>
      </c>
      <c r="D7" s="401" t="n">
        <f aca="false">IF(D5&lt;'Uplifters Inputs'!$B$5,0,MIN(5,INT((D5-'Uplifters Inputs'!$B$5)/12)+1))</f>
        <v>0</v>
      </c>
      <c r="E7" s="401" t="n">
        <f aca="false">IF(E5&lt;'Uplifters Inputs'!$B$5,0,MIN(5,INT((E5-'Uplifters Inputs'!$B$5)/12)+1))</f>
        <v>0</v>
      </c>
      <c r="F7" s="401" t="n">
        <f aca="false">IF(F5&lt;'Uplifters Inputs'!$B$5,0,MIN(5,INT((F5-'Uplifters Inputs'!$B$5)/12)+1))</f>
        <v>0</v>
      </c>
      <c r="G7" s="401" t="n">
        <f aca="false">IF(G5&lt;'Uplifters Inputs'!$B$5,0,MIN(5,INT((G5-'Uplifters Inputs'!$B$5)/12)+1))</f>
        <v>0</v>
      </c>
      <c r="H7" s="401" t="n">
        <f aca="false">IF(H5&lt;'Uplifters Inputs'!$B$5,0,MIN(5,INT((H5-'Uplifters Inputs'!$B$5)/12)+1))</f>
        <v>0</v>
      </c>
      <c r="I7" s="401" t="n">
        <f aca="false">IF(I5&lt;'Uplifters Inputs'!$B$5,0,MIN(5,INT((I5-'Uplifters Inputs'!$B$5)/12)+1))</f>
        <v>0</v>
      </c>
      <c r="J7" s="401" t="n">
        <f aca="false">IF(J5&lt;'Uplifters Inputs'!$B$5,0,MIN(5,INT((J5-'Uplifters Inputs'!$B$5)/12)+1))</f>
        <v>0</v>
      </c>
      <c r="K7" s="401" t="n">
        <f aca="false">IF(K5&lt;'Uplifters Inputs'!$B$5,0,MIN(5,INT((K5-'Uplifters Inputs'!$B$5)/12)+1))</f>
        <v>0</v>
      </c>
      <c r="L7" s="401" t="n">
        <f aca="false">IF(L5&lt;'Uplifters Inputs'!$B$5,0,MIN(5,INT((L5-'Uplifters Inputs'!$B$5)/12)+1))</f>
        <v>0</v>
      </c>
      <c r="M7" s="401" t="n">
        <f aca="false">IF(M5&lt;'Uplifters Inputs'!$B$5,0,MIN(5,INT((M5-'Uplifters Inputs'!$B$5)/12)+1))</f>
        <v>0</v>
      </c>
      <c r="N7" s="401" t="n">
        <f aca="false">IF(N5&lt;'Uplifters Inputs'!$B$5,0,MIN(5,INT((N5-'Uplifters Inputs'!$B$5)/12)+1))</f>
        <v>0</v>
      </c>
      <c r="O7" s="401" t="n">
        <f aca="false">IF(O5&lt;'Uplifters Inputs'!$B$5,0,MIN(5,INT((O5-'Uplifters Inputs'!$B$5)/12)+1))</f>
        <v>1</v>
      </c>
      <c r="P7" s="401" t="n">
        <f aca="false">IF(P5&lt;'Uplifters Inputs'!$B$5,0,MIN(5,INT((P5-'Uplifters Inputs'!$B$5)/12)+1))</f>
        <v>1</v>
      </c>
      <c r="Q7" s="401" t="n">
        <f aca="false">IF(Q5&lt;'Uplifters Inputs'!$B$5,0,MIN(5,INT((Q5-'Uplifters Inputs'!$B$5)/12)+1))</f>
        <v>1</v>
      </c>
      <c r="R7" s="401" t="n">
        <f aca="false">IF(R5&lt;'Uplifters Inputs'!$B$5,0,MIN(5,INT((R5-'Uplifters Inputs'!$B$5)/12)+1))</f>
        <v>1</v>
      </c>
      <c r="S7" s="401" t="n">
        <f aca="false">IF(S5&lt;'Uplifters Inputs'!$B$5,0,MIN(5,INT((S5-'Uplifters Inputs'!$B$5)/12)+1))</f>
        <v>1</v>
      </c>
      <c r="T7" s="401" t="n">
        <f aca="false">IF(T5&lt;'Uplifters Inputs'!$B$5,0,MIN(5,INT((T5-'Uplifters Inputs'!$B$5)/12)+1))</f>
        <v>1</v>
      </c>
      <c r="U7" s="401" t="n">
        <f aca="false">IF(U5&lt;'Uplifters Inputs'!$B$5,0,MIN(5,INT((U5-'Uplifters Inputs'!$B$5)/12)+1))</f>
        <v>1</v>
      </c>
      <c r="V7" s="401" t="n">
        <f aca="false">IF(V5&lt;'Uplifters Inputs'!$B$5,0,MIN(5,INT((V5-'Uplifters Inputs'!$B$5)/12)+1))</f>
        <v>1</v>
      </c>
      <c r="W7" s="401" t="n">
        <f aca="false">IF(W5&lt;'Uplifters Inputs'!$B$5,0,MIN(5,INT((W5-'Uplifters Inputs'!$B$5)/12)+1))</f>
        <v>1</v>
      </c>
      <c r="X7" s="401" t="n">
        <f aca="false">IF(X5&lt;'Uplifters Inputs'!$B$5,0,MIN(5,INT((X5-'Uplifters Inputs'!$B$5)/12)+1))</f>
        <v>1</v>
      </c>
      <c r="Y7" s="401" t="n">
        <f aca="false">IF(Y5&lt;'Uplifters Inputs'!$B$5,0,MIN(5,INT((Y5-'Uplifters Inputs'!$B$5)/12)+1))</f>
        <v>1</v>
      </c>
      <c r="Z7" s="401" t="n">
        <f aca="false">IF(Z5&lt;'Uplifters Inputs'!$B$5,0,MIN(5,INT((Z5-'Uplifters Inputs'!$B$5)/12)+1))</f>
        <v>1</v>
      </c>
      <c r="AA7" s="401" t="n">
        <f aca="false">IF(AA5&lt;'Uplifters Inputs'!$B$5,0,MIN(5,INT((AA5-'Uplifters Inputs'!$B$5)/12)+1))</f>
        <v>2</v>
      </c>
      <c r="AB7" s="401" t="n">
        <f aca="false">IF(AB5&lt;'Uplifters Inputs'!$B$5,0,MIN(5,INT((AB5-'Uplifters Inputs'!$B$5)/12)+1))</f>
        <v>2</v>
      </c>
      <c r="AC7" s="401" t="n">
        <f aca="false">IF(AC5&lt;'Uplifters Inputs'!$B$5,0,MIN(5,INT((AC5-'Uplifters Inputs'!$B$5)/12)+1))</f>
        <v>2</v>
      </c>
      <c r="AD7" s="401" t="n">
        <f aca="false">IF(AD5&lt;'Uplifters Inputs'!$B$5,0,MIN(5,INT((AD5-'Uplifters Inputs'!$B$5)/12)+1))</f>
        <v>2</v>
      </c>
      <c r="AE7" s="401" t="n">
        <f aca="false">IF(AE5&lt;'Uplifters Inputs'!$B$5,0,MIN(5,INT((AE5-'Uplifters Inputs'!$B$5)/12)+1))</f>
        <v>2</v>
      </c>
      <c r="AF7" s="401" t="n">
        <f aca="false">IF(AF5&lt;'Uplifters Inputs'!$B$5,0,MIN(5,INT((AF5-'Uplifters Inputs'!$B$5)/12)+1))</f>
        <v>2</v>
      </c>
      <c r="AG7" s="401" t="n">
        <f aca="false">IF(AG5&lt;'Uplifters Inputs'!$B$5,0,MIN(5,INT((AG5-'Uplifters Inputs'!$B$5)/12)+1))</f>
        <v>2</v>
      </c>
      <c r="AH7" s="401" t="n">
        <f aca="false">IF(AH5&lt;'Uplifters Inputs'!$B$5,0,MIN(5,INT((AH5-'Uplifters Inputs'!$B$5)/12)+1))</f>
        <v>2</v>
      </c>
      <c r="AI7" s="401" t="n">
        <f aca="false">IF(AI5&lt;'Uplifters Inputs'!$B$5,0,MIN(5,INT((AI5-'Uplifters Inputs'!$B$5)/12)+1))</f>
        <v>2</v>
      </c>
      <c r="AJ7" s="401" t="n">
        <f aca="false">IF(AJ5&lt;'Uplifters Inputs'!$B$5,0,MIN(5,INT((AJ5-'Uplifters Inputs'!$B$5)/12)+1))</f>
        <v>2</v>
      </c>
      <c r="AK7" s="401" t="n">
        <f aca="false">IF(AK5&lt;'Uplifters Inputs'!$B$5,0,MIN(5,INT((AK5-'Uplifters Inputs'!$B$5)/12)+1))</f>
        <v>2</v>
      </c>
      <c r="AL7" s="401" t="n">
        <f aca="false">IF(AL5&lt;'Uplifters Inputs'!$B$5,0,MIN(5,INT((AL5-'Uplifters Inputs'!$B$5)/12)+1))</f>
        <v>2</v>
      </c>
      <c r="AM7" s="401" t="n">
        <f aca="false">IF(AM5&lt;'Uplifters Inputs'!$B$5,0,MIN(5,INT((AM5-'Uplifters Inputs'!$B$5)/12)+1))</f>
        <v>3</v>
      </c>
      <c r="AN7" s="401" t="n">
        <f aca="false">IF(AN5&lt;'Uplifters Inputs'!$B$5,0,MIN(5,INT((AN5-'Uplifters Inputs'!$B$5)/12)+1))</f>
        <v>3</v>
      </c>
      <c r="AO7" s="401" t="n">
        <f aca="false">IF(AO5&lt;'Uplifters Inputs'!$B$5,0,MIN(5,INT((AO5-'Uplifters Inputs'!$B$5)/12)+1))</f>
        <v>3</v>
      </c>
      <c r="AP7" s="401" t="n">
        <f aca="false">IF(AP5&lt;'Uplifters Inputs'!$B$5,0,MIN(5,INT((AP5-'Uplifters Inputs'!$B$5)/12)+1))</f>
        <v>3</v>
      </c>
      <c r="AQ7" s="401" t="n">
        <f aca="false">IF(AQ5&lt;'Uplifters Inputs'!$B$5,0,MIN(5,INT((AQ5-'Uplifters Inputs'!$B$5)/12)+1))</f>
        <v>3</v>
      </c>
      <c r="AR7" s="401" t="n">
        <f aca="false">IF(AR5&lt;'Uplifters Inputs'!$B$5,0,MIN(5,INT((AR5-'Uplifters Inputs'!$B$5)/12)+1))</f>
        <v>3</v>
      </c>
      <c r="AS7" s="401" t="n">
        <f aca="false">IF(AS5&lt;'Uplifters Inputs'!$B$5,0,MIN(5,INT((AS5-'Uplifters Inputs'!$B$5)/12)+1))</f>
        <v>3</v>
      </c>
      <c r="AT7" s="401" t="n">
        <f aca="false">IF(AT5&lt;'Uplifters Inputs'!$B$5,0,MIN(5,INT((AT5-'Uplifters Inputs'!$B$5)/12)+1))</f>
        <v>3</v>
      </c>
      <c r="AU7" s="401" t="n">
        <f aca="false">IF(AU5&lt;'Uplifters Inputs'!$B$5,0,MIN(5,INT((AU5-'Uplifters Inputs'!$B$5)/12)+1))</f>
        <v>3</v>
      </c>
      <c r="AV7" s="401" t="n">
        <f aca="false">IF(AV5&lt;'Uplifters Inputs'!$B$5,0,MIN(5,INT((AV5-'Uplifters Inputs'!$B$5)/12)+1))</f>
        <v>3</v>
      </c>
      <c r="AW7" s="401" t="n">
        <f aca="false">IF(AW5&lt;'Uplifters Inputs'!$B$5,0,MIN(5,INT((AW5-'Uplifters Inputs'!$B$5)/12)+1))</f>
        <v>3</v>
      </c>
      <c r="AX7" s="401" t="n">
        <f aca="false">IF(AX5&lt;'Uplifters Inputs'!$B$5,0,MIN(5,INT((AX5-'Uplifters Inputs'!$B$5)/12)+1))</f>
        <v>3</v>
      </c>
      <c r="AY7" s="401" t="n">
        <f aca="false">IF(AY5&lt;'Uplifters Inputs'!$B$5,0,MIN(5,INT((AY5-'Uplifters Inputs'!$B$5)/12)+1))</f>
        <v>4</v>
      </c>
      <c r="AZ7" s="401" t="n">
        <f aca="false">IF(AZ5&lt;'Uplifters Inputs'!$B$5,0,MIN(5,INT((AZ5-'Uplifters Inputs'!$B$5)/12)+1))</f>
        <v>4</v>
      </c>
      <c r="BA7" s="401" t="n">
        <f aca="false">IF(BA5&lt;'Uplifters Inputs'!$B$5,0,MIN(5,INT((BA5-'Uplifters Inputs'!$B$5)/12)+1))</f>
        <v>4</v>
      </c>
      <c r="BB7" s="401" t="n">
        <f aca="false">IF(BB5&lt;'Uplifters Inputs'!$B$5,0,MIN(5,INT((BB5-'Uplifters Inputs'!$B$5)/12)+1))</f>
        <v>4</v>
      </c>
      <c r="BC7" s="401" t="n">
        <f aca="false">IF(BC5&lt;'Uplifters Inputs'!$B$5,0,MIN(5,INT((BC5-'Uplifters Inputs'!$B$5)/12)+1))</f>
        <v>4</v>
      </c>
      <c r="BD7" s="401" t="n">
        <f aca="false">IF(BD5&lt;'Uplifters Inputs'!$B$5,0,MIN(5,INT((BD5-'Uplifters Inputs'!$B$5)/12)+1))</f>
        <v>4</v>
      </c>
      <c r="BE7" s="401" t="n">
        <f aca="false">IF(BE5&lt;'Uplifters Inputs'!$B$5,0,MIN(5,INT((BE5-'Uplifters Inputs'!$B$5)/12)+1))</f>
        <v>4</v>
      </c>
      <c r="BF7" s="401" t="n">
        <f aca="false">IF(BF5&lt;'Uplifters Inputs'!$B$5,0,MIN(5,INT((BF5-'Uplifters Inputs'!$B$5)/12)+1))</f>
        <v>4</v>
      </c>
      <c r="BG7" s="401" t="n">
        <f aca="false">IF(BG5&lt;'Uplifters Inputs'!$B$5,0,MIN(5,INT((BG5-'Uplifters Inputs'!$B$5)/12)+1))</f>
        <v>4</v>
      </c>
      <c r="BH7" s="401" t="n">
        <f aca="false">IF(BH5&lt;'Uplifters Inputs'!$B$5,0,MIN(5,INT((BH5-'Uplifters Inputs'!$B$5)/12)+1))</f>
        <v>4</v>
      </c>
      <c r="BI7" s="401" t="n">
        <f aca="false">IF(BI5&lt;'Uplifters Inputs'!$B$5,0,MIN(5,INT((BI5-'Uplifters Inputs'!$B$5)/12)+1))</f>
        <v>4</v>
      </c>
      <c r="BJ7" s="401" t="n">
        <f aca="false">IF(BJ5&lt;'Uplifters Inputs'!$B$5,0,MIN(5,INT((BJ5-'Uplifters Inputs'!$B$5)/12)+1))</f>
        <v>4</v>
      </c>
      <c r="BK7" s="401" t="n">
        <f aca="false">IF(BK5&lt;'Uplifters Inputs'!$B$5,0,MIN(5,INT((BK5-'Uplifters Inputs'!$B$5)/12)+1))</f>
        <v>5</v>
      </c>
      <c r="BL7" s="401" t="n">
        <f aca="false">IF(BL5&lt;'Uplifters Inputs'!$B$5,0,MIN(5,INT((BL5-'Uplifters Inputs'!$B$5)/12)+1))</f>
        <v>5</v>
      </c>
      <c r="BM7" s="401" t="n">
        <f aca="false">IF(BM5&lt;'Uplifters Inputs'!$B$5,0,MIN(5,INT((BM5-'Uplifters Inputs'!$B$5)/12)+1))</f>
        <v>5</v>
      </c>
      <c r="BN7" s="401" t="n">
        <f aca="false">IF(BN5&lt;'Uplifters Inputs'!$B$5,0,MIN(5,INT((BN5-'Uplifters Inputs'!$B$5)/12)+1))</f>
        <v>5</v>
      </c>
      <c r="BO7" s="401" t="n">
        <f aca="false">IF(BO5&lt;'Uplifters Inputs'!$B$5,0,MIN(5,INT((BO5-'Uplifters Inputs'!$B$5)/12)+1))</f>
        <v>5</v>
      </c>
      <c r="BP7" s="401" t="n">
        <f aca="false">IF(BP5&lt;'Uplifters Inputs'!$B$5,0,MIN(5,INT((BP5-'Uplifters Inputs'!$B$5)/12)+1))</f>
        <v>5</v>
      </c>
      <c r="BQ7" s="401" t="n">
        <f aca="false">IF(BQ5&lt;'Uplifters Inputs'!$B$5,0,MIN(5,INT((BQ5-'Uplifters Inputs'!$B$5)/12)+1))</f>
        <v>5</v>
      </c>
      <c r="BR7" s="401" t="n">
        <f aca="false">IF(BR5&lt;'Uplifters Inputs'!$B$5,0,MIN(5,INT((BR5-'Uplifters Inputs'!$B$5)/12)+1))</f>
        <v>5</v>
      </c>
      <c r="BS7" s="401" t="n">
        <f aca="false">IF(BS5&lt;'Uplifters Inputs'!$B$5,0,MIN(5,INT((BS5-'Uplifters Inputs'!$B$5)/12)+1))</f>
        <v>5</v>
      </c>
      <c r="BT7" s="401" t="n">
        <f aca="false">IF(BT5&lt;'Uplifters Inputs'!$B$5,0,MIN(5,INT((BT5-'Uplifters Inputs'!$B$5)/12)+1))</f>
        <v>5</v>
      </c>
      <c r="BU7" s="401" t="n">
        <f aca="false">IF(BU5&lt;'Uplifters Inputs'!$B$5,0,MIN(5,INT((BU5-'Uplifters Inputs'!$B$5)/12)+1))</f>
        <v>5</v>
      </c>
      <c r="BV7" s="401" t="n">
        <f aca="false">IF(BV5&lt;'Uplifters Inputs'!$B$5,0,MIN(5,INT((BV5-'Uplifters Inputs'!$B$5)/12)+1))</f>
        <v>5</v>
      </c>
      <c r="BW7" s="401" t="n">
        <f aca="false">IF(BW5&lt;'Uplifters Inputs'!$B$5,0,MIN(5,INT((BW5-'Uplifters Inputs'!$B$5)/12)+1))</f>
        <v>5</v>
      </c>
      <c r="BX7" s="401" t="n">
        <f aca="false">IF(BX5&lt;'Uplifters Inputs'!$B$5,0,MIN(5,INT((BX5-'Uplifters Inputs'!$B$5)/12)+1))</f>
        <v>5</v>
      </c>
      <c r="BY7" s="401" t="n">
        <f aca="false">IF(BY5&lt;'Uplifters Inputs'!$B$5,0,MIN(5,INT((BY5-'Uplifters Inputs'!$B$5)/12)+1))</f>
        <v>5</v>
      </c>
      <c r="BZ7" s="401" t="n">
        <f aca="false">IF(BZ5&lt;'Uplifters Inputs'!$B$5,0,MIN(5,INT((BZ5-'Uplifters Inputs'!$B$5)/12)+1))</f>
        <v>5</v>
      </c>
      <c r="CA7" s="401" t="n">
        <f aca="false">IF(CA5&lt;'Uplifters Inputs'!$B$5,0,MIN(5,INT((CA5-'Uplifters Inputs'!$B$5)/12)+1))</f>
        <v>5</v>
      </c>
      <c r="CB7" s="401" t="n">
        <f aca="false">IF(CB5&lt;'Uplifters Inputs'!$B$5,0,MIN(5,INT((CB5-'Uplifters Inputs'!$B$5)/12)+1))</f>
        <v>5</v>
      </c>
      <c r="CC7" s="401" t="n">
        <f aca="false">IF(CC5&lt;'Uplifters Inputs'!$B$5,0,MIN(5,INT((CC5-'Uplifters Inputs'!$B$5)/12)+1))</f>
        <v>5</v>
      </c>
      <c r="CD7" s="401" t="n">
        <f aca="false">IF(CD5&lt;'Uplifters Inputs'!$B$5,0,MIN(5,INT((CD5-'Uplifters Inputs'!$B$5)/12)+1))</f>
        <v>5</v>
      </c>
      <c r="CE7" s="401" t="n">
        <f aca="false">IF(CE5&lt;'Uplifters Inputs'!$B$5,0,MIN(5,INT((CE5-'Uplifters Inputs'!$B$5)/12)+1))</f>
        <v>5</v>
      </c>
      <c r="CF7" s="401" t="n">
        <f aca="false">IF(CF5&lt;'Uplifters Inputs'!$B$5,0,MIN(5,INT((CF5-'Uplifters Inputs'!$B$5)/12)+1))</f>
        <v>5</v>
      </c>
      <c r="CG7" s="401" t="n">
        <f aca="false">IF(CG5&lt;'Uplifters Inputs'!$B$5,0,MIN(5,INT((CG5-'Uplifters Inputs'!$B$5)/12)+1))</f>
        <v>5</v>
      </c>
      <c r="CH7" s="401" t="n">
        <f aca="false">IF(CH5&lt;'Uplifters Inputs'!$B$5,0,MIN(5,INT((CH5-'Uplifters Inputs'!$B$5)/12)+1))</f>
        <v>5</v>
      </c>
      <c r="CI7" s="401" t="n">
        <f aca="false">IF(CI5&lt;'Uplifters Inputs'!$B$5,0,MIN(5,INT((CI5-'Uplifters Inputs'!$B$5)/12)+1))</f>
        <v>5</v>
      </c>
      <c r="CJ7" s="401" t="n">
        <f aca="false">IF(CJ5&lt;'Uplifters Inputs'!$B$5,0,MIN(5,INT((CJ5-'Uplifters Inputs'!$B$5)/12)+1))</f>
        <v>5</v>
      </c>
      <c r="CK7" s="401" t="n">
        <f aca="false">IF(CK5&lt;'Uplifters Inputs'!$B$5,0,MIN(5,INT((CK5-'Uplifters Inputs'!$B$5)/12)+1))</f>
        <v>5</v>
      </c>
      <c r="CL7" s="401" t="n">
        <f aca="false">IF(CL5&lt;'Uplifters Inputs'!$B$5,0,MIN(5,INT((CL5-'Uplifters Inputs'!$B$5)/12)+1))</f>
        <v>5</v>
      </c>
      <c r="CM7" s="401" t="n">
        <f aca="false">IF(CM5&lt;'Uplifters Inputs'!$B$5,0,MIN(5,INT((CM5-'Uplifters Inputs'!$B$5)/12)+1))</f>
        <v>5</v>
      </c>
      <c r="CN7" s="401" t="n">
        <f aca="false">IF(CN5&lt;'Uplifters Inputs'!$B$5,0,MIN(5,INT((CN5-'Uplifters Inputs'!$B$5)/12)+1))</f>
        <v>5</v>
      </c>
      <c r="CO7" s="401" t="n">
        <f aca="false">IF(CO5&lt;'Uplifters Inputs'!$B$5,0,MIN(5,INT((CO5-'Uplifters Inputs'!$B$5)/12)+1))</f>
        <v>5</v>
      </c>
      <c r="CP7" s="401" t="n">
        <f aca="false">IF(CP5&lt;'Uplifters Inputs'!$B$5,0,MIN(5,INT((CP5-'Uplifters Inputs'!$B$5)/12)+1))</f>
        <v>5</v>
      </c>
      <c r="CQ7" s="401" t="n">
        <f aca="false">IF(CQ5&lt;'Uplifters Inputs'!$B$5,0,MIN(5,INT((CQ5-'Uplifters Inputs'!$B$5)/12)+1))</f>
        <v>5</v>
      </c>
      <c r="CR7" s="401" t="n">
        <f aca="false">IF(CR5&lt;'Uplifters Inputs'!$B$5,0,MIN(5,INT((CR5-'Uplifters Inputs'!$B$5)/12)+1))</f>
        <v>5</v>
      </c>
      <c r="CS7" s="401" t="n">
        <f aca="false">IF(CS5&lt;'Uplifters Inputs'!$B$5,0,MIN(5,INT((CS5-'Uplifters Inputs'!$B$5)/12)+1))</f>
        <v>5</v>
      </c>
    </row>
    <row r="9" customFormat="false" ht="15" hidden="false" customHeight="true" outlineLevel="0" collapsed="false">
      <c r="A9" s="386" t="s">
        <v>1408</v>
      </c>
    </row>
    <row r="10" customFormat="false" ht="15" hidden="false" customHeight="true" outlineLevel="0" collapsed="false">
      <c r="A10" s="123" t="s">
        <v>1409</v>
      </c>
      <c r="B10" s="402" t="n">
        <f aca="false">IF(AND(B5&gt;='Uplifters Inputs'!$B$6,B5&lt;'Uplifters Inputs'!$B$6+60),INDEX('Uplifters Inputs'!$H$62:$H$121,B5-'Uplifters Inputs'!$B$6+1),0)</f>
        <v>0</v>
      </c>
      <c r="C10" s="402" t="n">
        <f aca="false">IF(AND(C5&gt;='Uplifters Inputs'!$B$6,C5&lt;'Uplifters Inputs'!$B$6+60),INDEX('Uplifters Inputs'!$H$62:$H$121,C5-'Uplifters Inputs'!$B$6+1),0)</f>
        <v>0</v>
      </c>
      <c r="D10" s="402" t="n">
        <f aca="false">IF(AND(D5&gt;='Uplifters Inputs'!$B$6,D5&lt;'Uplifters Inputs'!$B$6+60),INDEX('Uplifters Inputs'!$H$62:$H$121,D5-'Uplifters Inputs'!$B$6+1),0)</f>
        <v>0</v>
      </c>
      <c r="E10" s="402" t="n">
        <f aca="false">IF(AND(E5&gt;='Uplifters Inputs'!$B$6,E5&lt;'Uplifters Inputs'!$B$6+60),INDEX('Uplifters Inputs'!$H$62:$H$121,E5-'Uplifters Inputs'!$B$6+1),0)</f>
        <v>0</v>
      </c>
      <c r="F10" s="402" t="n">
        <f aca="false">IF(AND(F5&gt;='Uplifters Inputs'!$B$6,F5&lt;'Uplifters Inputs'!$B$6+60),INDEX('Uplifters Inputs'!$H$62:$H$121,F5-'Uplifters Inputs'!$B$6+1),0)</f>
        <v>0</v>
      </c>
      <c r="G10" s="402" t="n">
        <f aca="false">IF(AND(G5&gt;='Uplifters Inputs'!$B$6,G5&lt;'Uplifters Inputs'!$B$6+60),INDEX('Uplifters Inputs'!$H$62:$H$121,G5-'Uplifters Inputs'!$B$6+1),0)</f>
        <v>0</v>
      </c>
      <c r="H10" s="402" t="n">
        <f aca="false">IF(AND(H5&gt;='Uplifters Inputs'!$B$6,H5&lt;'Uplifters Inputs'!$B$6+60),INDEX('Uplifters Inputs'!$H$62:$H$121,H5-'Uplifters Inputs'!$B$6+1),0)</f>
        <v>0</v>
      </c>
      <c r="I10" s="402" t="n">
        <f aca="false">IF(AND(I5&gt;='Uplifters Inputs'!$B$6,I5&lt;'Uplifters Inputs'!$B$6+60),INDEX('Uplifters Inputs'!$H$62:$H$121,I5-'Uplifters Inputs'!$B$6+1),0)</f>
        <v>0</v>
      </c>
      <c r="J10" s="402" t="n">
        <f aca="false">IF(AND(J5&gt;='Uplifters Inputs'!$B$6,J5&lt;'Uplifters Inputs'!$B$6+60),INDEX('Uplifters Inputs'!$H$62:$H$121,J5-'Uplifters Inputs'!$B$6+1),0)</f>
        <v>0</v>
      </c>
      <c r="K10" s="402" t="n">
        <f aca="false">IF(AND(K5&gt;='Uplifters Inputs'!$B$6,K5&lt;'Uplifters Inputs'!$B$6+60),INDEX('Uplifters Inputs'!$H$62:$H$121,K5-'Uplifters Inputs'!$B$6+1),0)</f>
        <v>0</v>
      </c>
      <c r="L10" s="402" t="n">
        <f aca="false">IF(AND(L5&gt;='Uplifters Inputs'!$B$6,L5&lt;'Uplifters Inputs'!$B$6+60),INDEX('Uplifters Inputs'!$H$62:$H$121,L5-'Uplifters Inputs'!$B$6+1),0)</f>
        <v>0</v>
      </c>
      <c r="M10" s="402" t="n">
        <f aca="false">IF(AND(M5&gt;='Uplifters Inputs'!$B$6,M5&lt;'Uplifters Inputs'!$B$6+60),INDEX('Uplifters Inputs'!$H$62:$H$121,M5-'Uplifters Inputs'!$B$6+1),0)</f>
        <v>0</v>
      </c>
      <c r="N10" s="402" t="n">
        <f aca="false">IF(AND(N5&gt;='Uplifters Inputs'!$B$6,N5&lt;'Uplifters Inputs'!$B$6+60),INDEX('Uplifters Inputs'!$H$62:$H$121,N5-'Uplifters Inputs'!$B$6+1),0)</f>
        <v>0</v>
      </c>
      <c r="O10" s="402" t="n">
        <f aca="false">IF(AND(O5&gt;='Uplifters Inputs'!$B$6,O5&lt;'Uplifters Inputs'!$B$6+60),INDEX('Uplifters Inputs'!$H$62:$H$121,O5-'Uplifters Inputs'!$B$6+1),0)</f>
        <v>0</v>
      </c>
      <c r="P10" s="402" t="n">
        <f aca="false">IF(AND(P5&gt;='Uplifters Inputs'!$B$6,P5&lt;'Uplifters Inputs'!$B$6+60),INDEX('Uplifters Inputs'!$H$62:$H$121,P5-'Uplifters Inputs'!$B$6+1),0)</f>
        <v>0</v>
      </c>
      <c r="Q10" s="402" t="n">
        <f aca="false">IF(AND(Q5&gt;='Uplifters Inputs'!$B$6,Q5&lt;'Uplifters Inputs'!$B$6+60),INDEX('Uplifters Inputs'!$H$62:$H$121,Q5-'Uplifters Inputs'!$B$6+1),0)</f>
        <v>1</v>
      </c>
      <c r="R10" s="402" t="n">
        <f aca="false">IF(AND(R5&gt;='Uplifters Inputs'!$B$6,R5&lt;'Uplifters Inputs'!$B$6+60),INDEX('Uplifters Inputs'!$H$62:$H$121,R5-'Uplifters Inputs'!$B$6+1),0)</f>
        <v>2</v>
      </c>
      <c r="S10" s="402" t="n">
        <f aca="false">IF(AND(S5&gt;='Uplifters Inputs'!$B$6,S5&lt;'Uplifters Inputs'!$B$6+60),INDEX('Uplifters Inputs'!$H$62:$H$121,S5-'Uplifters Inputs'!$B$6+1),0)</f>
        <v>3</v>
      </c>
      <c r="T10" s="402" t="n">
        <f aca="false">IF(AND(T5&gt;='Uplifters Inputs'!$B$6,T5&lt;'Uplifters Inputs'!$B$6+60),INDEX('Uplifters Inputs'!$H$62:$H$121,T5-'Uplifters Inputs'!$B$6+1),0)</f>
        <v>4</v>
      </c>
      <c r="U10" s="402" t="n">
        <f aca="false">IF(AND(U5&gt;='Uplifters Inputs'!$B$6,U5&lt;'Uplifters Inputs'!$B$6+60),INDEX('Uplifters Inputs'!$H$62:$H$121,U5-'Uplifters Inputs'!$B$6+1),0)</f>
        <v>5</v>
      </c>
      <c r="V10" s="402" t="n">
        <f aca="false">IF(AND(V5&gt;='Uplifters Inputs'!$B$6,V5&lt;'Uplifters Inputs'!$B$6+60),INDEX('Uplifters Inputs'!$H$62:$H$121,V5-'Uplifters Inputs'!$B$6+1),0)</f>
        <v>5</v>
      </c>
      <c r="W10" s="402" t="n">
        <f aca="false">IF(AND(W5&gt;='Uplifters Inputs'!$B$6,W5&lt;'Uplifters Inputs'!$B$6+60),INDEX('Uplifters Inputs'!$H$62:$H$121,W5-'Uplifters Inputs'!$B$6+1),0)</f>
        <v>5</v>
      </c>
      <c r="X10" s="402" t="n">
        <f aca="false">IF(AND(X5&gt;='Uplifters Inputs'!$B$6,X5&lt;'Uplifters Inputs'!$B$6+60),INDEX('Uplifters Inputs'!$H$62:$H$121,X5-'Uplifters Inputs'!$B$6+1),0)</f>
        <v>5</v>
      </c>
      <c r="Y10" s="402" t="n">
        <f aca="false">IF(AND(Y5&gt;='Uplifters Inputs'!$B$6,Y5&lt;'Uplifters Inputs'!$B$6+60),INDEX('Uplifters Inputs'!$H$62:$H$121,Y5-'Uplifters Inputs'!$B$6+1),0)</f>
        <v>4</v>
      </c>
      <c r="Z10" s="402" t="n">
        <f aca="false">IF(AND(Z5&gt;='Uplifters Inputs'!$B$6,Z5&lt;'Uplifters Inputs'!$B$6+60),INDEX('Uplifters Inputs'!$H$62:$H$121,Z5-'Uplifters Inputs'!$B$6+1),0)</f>
        <v>4</v>
      </c>
      <c r="AA10" s="402" t="n">
        <f aca="false">IF(AND(AA5&gt;='Uplifters Inputs'!$B$6,AA5&lt;'Uplifters Inputs'!$B$6+60),INDEX('Uplifters Inputs'!$H$62:$H$121,AA5-'Uplifters Inputs'!$B$6+1),0)</f>
        <v>3</v>
      </c>
      <c r="AB10" s="402" t="n">
        <f aca="false">IF(AND(AB5&gt;='Uplifters Inputs'!$B$6,AB5&lt;'Uplifters Inputs'!$B$6+60),INDEX('Uplifters Inputs'!$H$62:$H$121,AB5-'Uplifters Inputs'!$B$6+1),0)</f>
        <v>3</v>
      </c>
      <c r="AC10" s="402" t="n">
        <f aca="false">IF(AND(AC5&gt;='Uplifters Inputs'!$B$6,AC5&lt;'Uplifters Inputs'!$B$6+60),INDEX('Uplifters Inputs'!$H$62:$H$121,AC5-'Uplifters Inputs'!$B$6+1),0)</f>
        <v>2</v>
      </c>
      <c r="AD10" s="402" t="n">
        <f aca="false">IF(AND(AD5&gt;='Uplifters Inputs'!$B$6,AD5&lt;'Uplifters Inputs'!$B$6+60),INDEX('Uplifters Inputs'!$H$62:$H$121,AD5-'Uplifters Inputs'!$B$6+1),0)</f>
        <v>2</v>
      </c>
      <c r="AE10" s="402" t="n">
        <f aca="false">IF(AND(AE5&gt;='Uplifters Inputs'!$B$6,AE5&lt;'Uplifters Inputs'!$B$6+60),INDEX('Uplifters Inputs'!$H$62:$H$121,AE5-'Uplifters Inputs'!$B$6+1),0)</f>
        <v>2</v>
      </c>
      <c r="AF10" s="402" t="n">
        <f aca="false">IF(AND(AF5&gt;='Uplifters Inputs'!$B$6,AF5&lt;'Uplifters Inputs'!$B$6+60),INDEX('Uplifters Inputs'!$H$62:$H$121,AF5-'Uplifters Inputs'!$B$6+1),0)</f>
        <v>2</v>
      </c>
      <c r="AG10" s="402" t="n">
        <f aca="false">IF(AND(AG5&gt;='Uplifters Inputs'!$B$6,AG5&lt;'Uplifters Inputs'!$B$6+60),INDEX('Uplifters Inputs'!$H$62:$H$121,AG5-'Uplifters Inputs'!$B$6+1),0)</f>
        <v>1</v>
      </c>
      <c r="AH10" s="402" t="n">
        <f aca="false">IF(AND(AH5&gt;='Uplifters Inputs'!$B$6,AH5&lt;'Uplifters Inputs'!$B$6+60),INDEX('Uplifters Inputs'!$H$62:$H$121,AH5-'Uplifters Inputs'!$B$6+1),0)</f>
        <v>1</v>
      </c>
      <c r="AI10" s="402" t="n">
        <f aca="false">IF(AND(AI5&gt;='Uplifters Inputs'!$B$6,AI5&lt;'Uplifters Inputs'!$B$6+60),INDEX('Uplifters Inputs'!$H$62:$H$121,AI5-'Uplifters Inputs'!$B$6+1),0)</f>
        <v>1</v>
      </c>
      <c r="AJ10" s="402" t="n">
        <f aca="false">IF(AND(AJ5&gt;='Uplifters Inputs'!$B$6,AJ5&lt;'Uplifters Inputs'!$B$6+60),INDEX('Uplifters Inputs'!$H$62:$H$121,AJ5-'Uplifters Inputs'!$B$6+1),0)</f>
        <v>1</v>
      </c>
      <c r="AK10" s="402" t="n">
        <f aca="false">IF(AND(AK5&gt;='Uplifters Inputs'!$B$6,AK5&lt;'Uplifters Inputs'!$B$6+60),INDEX('Uplifters Inputs'!$H$62:$H$121,AK5-'Uplifters Inputs'!$B$6+1),0)</f>
        <v>1</v>
      </c>
      <c r="AL10" s="402" t="n">
        <f aca="false">IF(AND(AL5&gt;='Uplifters Inputs'!$B$6,AL5&lt;'Uplifters Inputs'!$B$6+60),INDEX('Uplifters Inputs'!$H$62:$H$121,AL5-'Uplifters Inputs'!$B$6+1),0)</f>
        <v>1</v>
      </c>
      <c r="AM10" s="402" t="n">
        <f aca="false">IF(AND(AM5&gt;='Uplifters Inputs'!$B$6,AM5&lt;'Uplifters Inputs'!$B$6+60),INDEX('Uplifters Inputs'!$H$62:$H$121,AM5-'Uplifters Inputs'!$B$6+1),0)</f>
        <v>1</v>
      </c>
      <c r="AN10" s="402" t="n">
        <f aca="false">IF(AND(AN5&gt;='Uplifters Inputs'!$B$6,AN5&lt;'Uplifters Inputs'!$B$6+60),INDEX('Uplifters Inputs'!$H$62:$H$121,AN5-'Uplifters Inputs'!$B$6+1),0)</f>
        <v>1</v>
      </c>
      <c r="AO10" s="402" t="n">
        <f aca="false">IF(AND(AO5&gt;='Uplifters Inputs'!$B$6,AO5&lt;'Uplifters Inputs'!$B$6+60),INDEX('Uplifters Inputs'!$H$62:$H$121,AO5-'Uplifters Inputs'!$B$6+1),0)</f>
        <v>0</v>
      </c>
      <c r="AP10" s="402" t="n">
        <f aca="false">IF(AND(AP5&gt;='Uplifters Inputs'!$B$6,AP5&lt;'Uplifters Inputs'!$B$6+60),INDEX('Uplifters Inputs'!$H$62:$H$121,AP5-'Uplifters Inputs'!$B$6+1),0)</f>
        <v>0</v>
      </c>
      <c r="AQ10" s="402" t="n">
        <f aca="false">IF(AND(AQ5&gt;='Uplifters Inputs'!$B$6,AQ5&lt;'Uplifters Inputs'!$B$6+60),INDEX('Uplifters Inputs'!$H$62:$H$121,AQ5-'Uplifters Inputs'!$B$6+1),0)</f>
        <v>0</v>
      </c>
      <c r="AR10" s="402" t="n">
        <f aca="false">IF(AND(AR5&gt;='Uplifters Inputs'!$B$6,AR5&lt;'Uplifters Inputs'!$B$6+60),INDEX('Uplifters Inputs'!$H$62:$H$121,AR5-'Uplifters Inputs'!$B$6+1),0)</f>
        <v>0</v>
      </c>
      <c r="AS10" s="402" t="n">
        <f aca="false">IF(AND(AS5&gt;='Uplifters Inputs'!$B$6,AS5&lt;'Uplifters Inputs'!$B$6+60),INDEX('Uplifters Inputs'!$H$62:$H$121,AS5-'Uplifters Inputs'!$B$6+1),0)</f>
        <v>0</v>
      </c>
      <c r="AT10" s="402" t="n">
        <f aca="false">IF(AND(AT5&gt;='Uplifters Inputs'!$B$6,AT5&lt;'Uplifters Inputs'!$B$6+60),INDEX('Uplifters Inputs'!$H$62:$H$121,AT5-'Uplifters Inputs'!$B$6+1),0)</f>
        <v>0</v>
      </c>
      <c r="AU10" s="402" t="n">
        <f aca="false">IF(AND(AU5&gt;='Uplifters Inputs'!$B$6,AU5&lt;'Uplifters Inputs'!$B$6+60),INDEX('Uplifters Inputs'!$H$62:$H$121,AU5-'Uplifters Inputs'!$B$6+1),0)</f>
        <v>0</v>
      </c>
      <c r="AV10" s="402" t="n">
        <f aca="false">IF(AND(AV5&gt;='Uplifters Inputs'!$B$6,AV5&lt;'Uplifters Inputs'!$B$6+60),INDEX('Uplifters Inputs'!$H$62:$H$121,AV5-'Uplifters Inputs'!$B$6+1),0)</f>
        <v>0</v>
      </c>
      <c r="AW10" s="402" t="n">
        <f aca="false">IF(AND(AW5&gt;='Uplifters Inputs'!$B$6,AW5&lt;'Uplifters Inputs'!$B$6+60),INDEX('Uplifters Inputs'!$H$62:$H$121,AW5-'Uplifters Inputs'!$B$6+1),0)</f>
        <v>0</v>
      </c>
      <c r="AX10" s="402" t="n">
        <f aca="false">IF(AND(AX5&gt;='Uplifters Inputs'!$B$6,AX5&lt;'Uplifters Inputs'!$B$6+60),INDEX('Uplifters Inputs'!$H$62:$H$121,AX5-'Uplifters Inputs'!$B$6+1),0)</f>
        <v>0</v>
      </c>
      <c r="AY10" s="402" t="n">
        <f aca="false">IF(AND(AY5&gt;='Uplifters Inputs'!$B$6,AY5&lt;'Uplifters Inputs'!$B$6+60),INDEX('Uplifters Inputs'!$H$62:$H$121,AY5-'Uplifters Inputs'!$B$6+1),0)</f>
        <v>0</v>
      </c>
      <c r="AZ10" s="402" t="n">
        <f aca="false">IF(AND(AZ5&gt;='Uplifters Inputs'!$B$6,AZ5&lt;'Uplifters Inputs'!$B$6+60),INDEX('Uplifters Inputs'!$H$62:$H$121,AZ5-'Uplifters Inputs'!$B$6+1),0)</f>
        <v>0</v>
      </c>
      <c r="BA10" s="402" t="n">
        <f aca="false">IF(AND(BA5&gt;='Uplifters Inputs'!$B$6,BA5&lt;'Uplifters Inputs'!$B$6+60),INDEX('Uplifters Inputs'!$H$62:$H$121,BA5-'Uplifters Inputs'!$B$6+1),0)</f>
        <v>0</v>
      </c>
      <c r="BB10" s="402" t="n">
        <f aca="false">IF(AND(BB5&gt;='Uplifters Inputs'!$B$6,BB5&lt;'Uplifters Inputs'!$B$6+60),INDEX('Uplifters Inputs'!$H$62:$H$121,BB5-'Uplifters Inputs'!$B$6+1),0)</f>
        <v>0</v>
      </c>
      <c r="BC10" s="402" t="n">
        <f aca="false">IF(AND(BC5&gt;='Uplifters Inputs'!$B$6,BC5&lt;'Uplifters Inputs'!$B$6+60),INDEX('Uplifters Inputs'!$H$62:$H$121,BC5-'Uplifters Inputs'!$B$6+1),0)</f>
        <v>0</v>
      </c>
      <c r="BD10" s="402" t="n">
        <f aca="false">IF(AND(BD5&gt;='Uplifters Inputs'!$B$6,BD5&lt;'Uplifters Inputs'!$B$6+60),INDEX('Uplifters Inputs'!$H$62:$H$121,BD5-'Uplifters Inputs'!$B$6+1),0)</f>
        <v>0</v>
      </c>
      <c r="BE10" s="402" t="n">
        <f aca="false">IF(AND(BE5&gt;='Uplifters Inputs'!$B$6,BE5&lt;'Uplifters Inputs'!$B$6+60),INDEX('Uplifters Inputs'!$H$62:$H$121,BE5-'Uplifters Inputs'!$B$6+1),0)</f>
        <v>0</v>
      </c>
      <c r="BF10" s="402" t="n">
        <f aca="false">IF(AND(BF5&gt;='Uplifters Inputs'!$B$6,BF5&lt;'Uplifters Inputs'!$B$6+60),INDEX('Uplifters Inputs'!$H$62:$H$121,BF5-'Uplifters Inputs'!$B$6+1),0)</f>
        <v>0</v>
      </c>
      <c r="BG10" s="402" t="n">
        <f aca="false">IF(AND(BG5&gt;='Uplifters Inputs'!$B$6,BG5&lt;'Uplifters Inputs'!$B$6+60),INDEX('Uplifters Inputs'!$H$62:$H$121,BG5-'Uplifters Inputs'!$B$6+1),0)</f>
        <v>0</v>
      </c>
      <c r="BH10" s="402" t="n">
        <f aca="false">IF(AND(BH5&gt;='Uplifters Inputs'!$B$6,BH5&lt;'Uplifters Inputs'!$B$6+60),INDEX('Uplifters Inputs'!$H$62:$H$121,BH5-'Uplifters Inputs'!$B$6+1),0)</f>
        <v>0</v>
      </c>
      <c r="BI10" s="402" t="n">
        <f aca="false">IF(AND(BI5&gt;='Uplifters Inputs'!$B$6,BI5&lt;'Uplifters Inputs'!$B$6+60),INDEX('Uplifters Inputs'!$H$62:$H$121,BI5-'Uplifters Inputs'!$B$6+1),0)</f>
        <v>0</v>
      </c>
      <c r="BJ10" s="402" t="n">
        <f aca="false">IF(AND(BJ5&gt;='Uplifters Inputs'!$B$6,BJ5&lt;'Uplifters Inputs'!$B$6+60),INDEX('Uplifters Inputs'!$H$62:$H$121,BJ5-'Uplifters Inputs'!$B$6+1),0)</f>
        <v>0</v>
      </c>
      <c r="BK10" s="402" t="n">
        <f aca="false">IF(AND(BK5&gt;='Uplifters Inputs'!$B$6,BK5&lt;'Uplifters Inputs'!$B$6+60),INDEX('Uplifters Inputs'!$H$62:$H$121,BK5-'Uplifters Inputs'!$B$6+1),0)</f>
        <v>0</v>
      </c>
      <c r="BL10" s="402" t="n">
        <f aca="false">IF(AND(BL5&gt;='Uplifters Inputs'!$B$6,BL5&lt;'Uplifters Inputs'!$B$6+60),INDEX('Uplifters Inputs'!$H$62:$H$121,BL5-'Uplifters Inputs'!$B$6+1),0)</f>
        <v>0</v>
      </c>
      <c r="BM10" s="402" t="n">
        <f aca="false">IF(AND(BM5&gt;='Uplifters Inputs'!$B$6,BM5&lt;'Uplifters Inputs'!$B$6+60),INDEX('Uplifters Inputs'!$H$62:$H$121,BM5-'Uplifters Inputs'!$B$6+1),0)</f>
        <v>0</v>
      </c>
      <c r="BN10" s="402" t="n">
        <f aca="false">IF(AND(BN5&gt;='Uplifters Inputs'!$B$6,BN5&lt;'Uplifters Inputs'!$B$6+60),INDEX('Uplifters Inputs'!$H$62:$H$121,BN5-'Uplifters Inputs'!$B$6+1),0)</f>
        <v>0</v>
      </c>
      <c r="BO10" s="402" t="n">
        <f aca="false">IF(AND(BO5&gt;='Uplifters Inputs'!$B$6,BO5&lt;'Uplifters Inputs'!$B$6+60),INDEX('Uplifters Inputs'!$H$62:$H$121,BO5-'Uplifters Inputs'!$B$6+1),0)</f>
        <v>0</v>
      </c>
      <c r="BP10" s="402" t="n">
        <f aca="false">IF(AND(BP5&gt;='Uplifters Inputs'!$B$6,BP5&lt;'Uplifters Inputs'!$B$6+60),INDEX('Uplifters Inputs'!$H$62:$H$121,BP5-'Uplifters Inputs'!$B$6+1),0)</f>
        <v>0</v>
      </c>
      <c r="BQ10" s="402" t="n">
        <f aca="false">IF(AND(BQ5&gt;='Uplifters Inputs'!$B$6,BQ5&lt;'Uplifters Inputs'!$B$6+60),INDEX('Uplifters Inputs'!$H$62:$H$121,BQ5-'Uplifters Inputs'!$B$6+1),0)</f>
        <v>0</v>
      </c>
      <c r="BR10" s="402" t="n">
        <f aca="false">IF(AND(BR5&gt;='Uplifters Inputs'!$B$6,BR5&lt;'Uplifters Inputs'!$B$6+60),INDEX('Uplifters Inputs'!$H$62:$H$121,BR5-'Uplifters Inputs'!$B$6+1),0)</f>
        <v>0</v>
      </c>
      <c r="BS10" s="402" t="n">
        <f aca="false">IF(AND(BS5&gt;='Uplifters Inputs'!$B$6,BS5&lt;'Uplifters Inputs'!$B$6+60),INDEX('Uplifters Inputs'!$H$62:$H$121,BS5-'Uplifters Inputs'!$B$6+1),0)</f>
        <v>0</v>
      </c>
      <c r="BT10" s="402" t="n">
        <f aca="false">IF(AND(BT5&gt;='Uplifters Inputs'!$B$6,BT5&lt;'Uplifters Inputs'!$B$6+60),INDEX('Uplifters Inputs'!$H$62:$H$121,BT5-'Uplifters Inputs'!$B$6+1),0)</f>
        <v>0</v>
      </c>
      <c r="BU10" s="402" t="n">
        <f aca="false">IF(AND(BU5&gt;='Uplifters Inputs'!$B$6,BU5&lt;'Uplifters Inputs'!$B$6+60),INDEX('Uplifters Inputs'!$H$62:$H$121,BU5-'Uplifters Inputs'!$B$6+1),0)</f>
        <v>0</v>
      </c>
      <c r="BV10" s="402" t="n">
        <f aca="false">IF(AND(BV5&gt;='Uplifters Inputs'!$B$6,BV5&lt;'Uplifters Inputs'!$B$6+60),INDEX('Uplifters Inputs'!$H$62:$H$121,BV5-'Uplifters Inputs'!$B$6+1),0)</f>
        <v>0</v>
      </c>
      <c r="BW10" s="402" t="n">
        <f aca="false">IF(AND(BW5&gt;='Uplifters Inputs'!$B$6,BW5&lt;'Uplifters Inputs'!$B$6+60),INDEX('Uplifters Inputs'!$H$62:$H$121,BW5-'Uplifters Inputs'!$B$6+1),0)</f>
        <v>0</v>
      </c>
      <c r="BX10" s="402" t="n">
        <f aca="false">IF(AND(BX5&gt;='Uplifters Inputs'!$B$6,BX5&lt;'Uplifters Inputs'!$B$6+60),INDEX('Uplifters Inputs'!$H$62:$H$121,BX5-'Uplifters Inputs'!$B$6+1),0)</f>
        <v>0</v>
      </c>
      <c r="BY10" s="402" t="n">
        <f aca="false">IF(AND(BY5&gt;='Uplifters Inputs'!$B$6,BY5&lt;'Uplifters Inputs'!$B$6+60),INDEX('Uplifters Inputs'!$H$62:$H$121,BY5-'Uplifters Inputs'!$B$6+1),0)</f>
        <v>0</v>
      </c>
      <c r="BZ10" s="402" t="n">
        <f aca="false">IF(AND(BZ5&gt;='Uplifters Inputs'!$B$6,BZ5&lt;'Uplifters Inputs'!$B$6+60),INDEX('Uplifters Inputs'!$H$62:$H$121,BZ5-'Uplifters Inputs'!$B$6+1),0)</f>
        <v>0</v>
      </c>
      <c r="CA10" s="402" t="n">
        <f aca="false">IF(AND(CA5&gt;='Uplifters Inputs'!$B$6,CA5&lt;'Uplifters Inputs'!$B$6+60),INDEX('Uplifters Inputs'!$H$62:$H$121,CA5-'Uplifters Inputs'!$B$6+1),0)</f>
        <v>0</v>
      </c>
      <c r="CB10" s="402" t="n">
        <f aca="false">IF(AND(CB5&gt;='Uplifters Inputs'!$B$6,CB5&lt;'Uplifters Inputs'!$B$6+60),INDEX('Uplifters Inputs'!$H$62:$H$121,CB5-'Uplifters Inputs'!$B$6+1),0)</f>
        <v>0</v>
      </c>
      <c r="CC10" s="402" t="n">
        <f aca="false">IF(AND(CC5&gt;='Uplifters Inputs'!$B$6,CC5&lt;'Uplifters Inputs'!$B$6+60),INDEX('Uplifters Inputs'!$H$62:$H$121,CC5-'Uplifters Inputs'!$B$6+1),0)</f>
        <v>0</v>
      </c>
      <c r="CD10" s="402" t="n">
        <f aca="false">IF(AND(CD5&gt;='Uplifters Inputs'!$B$6,CD5&lt;'Uplifters Inputs'!$B$6+60),INDEX('Uplifters Inputs'!$H$62:$H$121,CD5-'Uplifters Inputs'!$B$6+1),0)</f>
        <v>0</v>
      </c>
      <c r="CE10" s="402" t="n">
        <f aca="false">IF(AND(CE5&gt;='Uplifters Inputs'!$B$6,CE5&lt;'Uplifters Inputs'!$B$6+60),INDEX('Uplifters Inputs'!$H$62:$H$121,CE5-'Uplifters Inputs'!$B$6+1),0)</f>
        <v>0</v>
      </c>
      <c r="CF10" s="402" t="n">
        <f aca="false">IF(AND(CF5&gt;='Uplifters Inputs'!$B$6,CF5&lt;'Uplifters Inputs'!$B$6+60),INDEX('Uplifters Inputs'!$H$62:$H$121,CF5-'Uplifters Inputs'!$B$6+1),0)</f>
        <v>0</v>
      </c>
      <c r="CG10" s="402" t="n">
        <f aca="false">IF(AND(CG5&gt;='Uplifters Inputs'!$B$6,CG5&lt;'Uplifters Inputs'!$B$6+60),INDEX('Uplifters Inputs'!$H$62:$H$121,CG5-'Uplifters Inputs'!$B$6+1),0)</f>
        <v>0</v>
      </c>
      <c r="CH10" s="402" t="n">
        <f aca="false">IF(AND(CH5&gt;='Uplifters Inputs'!$B$6,CH5&lt;'Uplifters Inputs'!$B$6+60),INDEX('Uplifters Inputs'!$H$62:$H$121,CH5-'Uplifters Inputs'!$B$6+1),0)</f>
        <v>0</v>
      </c>
      <c r="CI10" s="402" t="n">
        <f aca="false">IF(AND(CI5&gt;='Uplifters Inputs'!$B$6,CI5&lt;'Uplifters Inputs'!$B$6+60),INDEX('Uplifters Inputs'!$H$62:$H$121,CI5-'Uplifters Inputs'!$B$6+1),0)</f>
        <v>0</v>
      </c>
      <c r="CJ10" s="402" t="n">
        <f aca="false">IF(AND(CJ5&gt;='Uplifters Inputs'!$B$6,CJ5&lt;'Uplifters Inputs'!$B$6+60),INDEX('Uplifters Inputs'!$H$62:$H$121,CJ5-'Uplifters Inputs'!$B$6+1),0)</f>
        <v>0</v>
      </c>
      <c r="CK10" s="402" t="n">
        <f aca="false">IF(AND(CK5&gt;='Uplifters Inputs'!$B$6,CK5&lt;'Uplifters Inputs'!$B$6+60),INDEX('Uplifters Inputs'!$H$62:$H$121,CK5-'Uplifters Inputs'!$B$6+1),0)</f>
        <v>0</v>
      </c>
      <c r="CL10" s="402" t="n">
        <f aca="false">IF(AND(CL5&gt;='Uplifters Inputs'!$B$6,CL5&lt;'Uplifters Inputs'!$B$6+60),INDEX('Uplifters Inputs'!$H$62:$H$121,CL5-'Uplifters Inputs'!$B$6+1),0)</f>
        <v>0</v>
      </c>
      <c r="CM10" s="402" t="n">
        <f aca="false">IF(AND(CM5&gt;='Uplifters Inputs'!$B$6,CM5&lt;'Uplifters Inputs'!$B$6+60),INDEX('Uplifters Inputs'!$H$62:$H$121,CM5-'Uplifters Inputs'!$B$6+1),0)</f>
        <v>0</v>
      </c>
      <c r="CN10" s="402" t="n">
        <f aca="false">IF(AND(CN5&gt;='Uplifters Inputs'!$B$6,CN5&lt;'Uplifters Inputs'!$B$6+60),INDEX('Uplifters Inputs'!$H$62:$H$121,CN5-'Uplifters Inputs'!$B$6+1),0)</f>
        <v>0</v>
      </c>
      <c r="CO10" s="402" t="n">
        <f aca="false">IF(AND(CO5&gt;='Uplifters Inputs'!$B$6,CO5&lt;'Uplifters Inputs'!$B$6+60),INDEX('Uplifters Inputs'!$H$62:$H$121,CO5-'Uplifters Inputs'!$B$6+1),0)</f>
        <v>0</v>
      </c>
      <c r="CP10" s="402" t="n">
        <f aca="false">IF(AND(CP5&gt;='Uplifters Inputs'!$B$6,CP5&lt;'Uplifters Inputs'!$B$6+60),INDEX('Uplifters Inputs'!$H$62:$H$121,CP5-'Uplifters Inputs'!$B$6+1),0)</f>
        <v>0</v>
      </c>
      <c r="CQ10" s="402" t="n">
        <f aca="false">IF(AND(CQ5&gt;='Uplifters Inputs'!$B$6,CQ5&lt;'Uplifters Inputs'!$B$6+60),INDEX('Uplifters Inputs'!$H$62:$H$121,CQ5-'Uplifters Inputs'!$B$6+1),0)</f>
        <v>0</v>
      </c>
      <c r="CR10" s="402" t="n">
        <f aca="false">IF(AND(CR5&gt;='Uplifters Inputs'!$B$6,CR5&lt;'Uplifters Inputs'!$B$6+60),INDEX('Uplifters Inputs'!$H$62:$H$121,CR5-'Uplifters Inputs'!$B$6+1),0)</f>
        <v>0</v>
      </c>
      <c r="CS10" s="402" t="n">
        <f aca="false">IF(AND(CS5&gt;='Uplifters Inputs'!$B$6,CS5&lt;'Uplifters Inputs'!$B$6+60),INDEX('Uplifters Inputs'!$H$62:$H$121,CS5-'Uplifters Inputs'!$B$6+1),0)</f>
        <v>0</v>
      </c>
    </row>
    <row r="11" customFormat="false" ht="15" hidden="false" customHeight="true" outlineLevel="0" collapsed="false">
      <c r="A11" s="123" t="s">
        <v>1410</v>
      </c>
      <c r="B11" s="402" t="n">
        <f aca="false">SUMIFS($B$10:$CS$10,$B$5:$CS$5,"&lt;="&amp;B5)</f>
        <v>0</v>
      </c>
      <c r="C11" s="402" t="n">
        <f aca="false">SUMIFS($B$10:$CS$10,$B$5:$CS$5,"&lt;="&amp;C5)</f>
        <v>0</v>
      </c>
      <c r="D11" s="402" t="n">
        <f aca="false">SUMIFS($B$10:$CS$10,$B$5:$CS$5,"&lt;="&amp;D5)</f>
        <v>0</v>
      </c>
      <c r="E11" s="402" t="n">
        <f aca="false">SUMIFS($B$10:$CS$10,$B$5:$CS$5,"&lt;="&amp;E5)</f>
        <v>0</v>
      </c>
      <c r="F11" s="402" t="n">
        <f aca="false">SUMIFS($B$10:$CS$10,$B$5:$CS$5,"&lt;="&amp;F5)</f>
        <v>0</v>
      </c>
      <c r="G11" s="402" t="n">
        <f aca="false">SUMIFS($B$10:$CS$10,$B$5:$CS$5,"&lt;="&amp;G5)</f>
        <v>0</v>
      </c>
      <c r="H11" s="402" t="n">
        <f aca="false">SUMIFS($B$10:$CS$10,$B$5:$CS$5,"&lt;="&amp;H5)</f>
        <v>0</v>
      </c>
      <c r="I11" s="402" t="n">
        <f aca="false">SUMIFS($B$10:$CS$10,$B$5:$CS$5,"&lt;="&amp;I5)</f>
        <v>0</v>
      </c>
      <c r="J11" s="402" t="n">
        <f aca="false">SUMIFS($B$10:$CS$10,$B$5:$CS$5,"&lt;="&amp;J5)</f>
        <v>0</v>
      </c>
      <c r="K11" s="402" t="n">
        <f aca="false">SUMIFS($B$10:$CS$10,$B$5:$CS$5,"&lt;="&amp;K5)</f>
        <v>0</v>
      </c>
      <c r="L11" s="402" t="n">
        <f aca="false">SUMIFS($B$10:$CS$10,$B$5:$CS$5,"&lt;="&amp;L5)</f>
        <v>0</v>
      </c>
      <c r="M11" s="402" t="n">
        <f aca="false">SUMIFS($B$10:$CS$10,$B$5:$CS$5,"&lt;="&amp;M5)</f>
        <v>0</v>
      </c>
      <c r="N11" s="402" t="n">
        <f aca="false">SUMIFS($B$10:$CS$10,$B$5:$CS$5,"&lt;="&amp;N5)</f>
        <v>0</v>
      </c>
      <c r="O11" s="402" t="n">
        <f aca="false">SUMIFS($B$10:$CS$10,$B$5:$CS$5,"&lt;="&amp;O5)</f>
        <v>0</v>
      </c>
      <c r="P11" s="402" t="n">
        <f aca="false">SUMIFS($B$10:$CS$10,$B$5:$CS$5,"&lt;="&amp;P5)</f>
        <v>0</v>
      </c>
      <c r="Q11" s="402" t="n">
        <f aca="false">SUMIFS($B$10:$CS$10,$B$5:$CS$5,"&lt;="&amp;Q5)</f>
        <v>1</v>
      </c>
      <c r="R11" s="402" t="n">
        <f aca="false">SUMIFS($B$10:$CS$10,$B$5:$CS$5,"&lt;="&amp;R5)</f>
        <v>3</v>
      </c>
      <c r="S11" s="402" t="n">
        <f aca="false">SUMIFS($B$10:$CS$10,$B$5:$CS$5,"&lt;="&amp;S5)</f>
        <v>6</v>
      </c>
      <c r="T11" s="402" t="n">
        <f aca="false">SUMIFS($B$10:$CS$10,$B$5:$CS$5,"&lt;="&amp;T5)</f>
        <v>10</v>
      </c>
      <c r="U11" s="402" t="n">
        <f aca="false">SUMIFS($B$10:$CS$10,$B$5:$CS$5,"&lt;="&amp;U5)</f>
        <v>15</v>
      </c>
      <c r="V11" s="402" t="n">
        <f aca="false">SUMIFS($B$10:$CS$10,$B$5:$CS$5,"&lt;="&amp;V5)</f>
        <v>20</v>
      </c>
      <c r="W11" s="402" t="n">
        <f aca="false">SUMIFS($B$10:$CS$10,$B$5:$CS$5,"&lt;="&amp;W5)</f>
        <v>25</v>
      </c>
      <c r="X11" s="402" t="n">
        <f aca="false">SUMIFS($B$10:$CS$10,$B$5:$CS$5,"&lt;="&amp;X5)</f>
        <v>30</v>
      </c>
      <c r="Y11" s="402" t="n">
        <f aca="false">SUMIFS($B$10:$CS$10,$B$5:$CS$5,"&lt;="&amp;Y5)</f>
        <v>34</v>
      </c>
      <c r="Z11" s="402" t="n">
        <f aca="false">SUMIFS($B$10:$CS$10,$B$5:$CS$5,"&lt;="&amp;Z5)</f>
        <v>38</v>
      </c>
      <c r="AA11" s="402" t="n">
        <f aca="false">SUMIFS($B$10:$CS$10,$B$5:$CS$5,"&lt;="&amp;AA5)</f>
        <v>41</v>
      </c>
      <c r="AB11" s="402" t="n">
        <f aca="false">SUMIFS($B$10:$CS$10,$B$5:$CS$5,"&lt;="&amp;AB5)</f>
        <v>44</v>
      </c>
      <c r="AC11" s="402" t="n">
        <f aca="false">SUMIFS($B$10:$CS$10,$B$5:$CS$5,"&lt;="&amp;AC5)</f>
        <v>46</v>
      </c>
      <c r="AD11" s="402" t="n">
        <f aca="false">SUMIFS($B$10:$CS$10,$B$5:$CS$5,"&lt;="&amp;AD5)</f>
        <v>48</v>
      </c>
      <c r="AE11" s="402" t="n">
        <f aca="false">SUMIFS($B$10:$CS$10,$B$5:$CS$5,"&lt;="&amp;AE5)</f>
        <v>50</v>
      </c>
      <c r="AF11" s="402" t="n">
        <f aca="false">SUMIFS($B$10:$CS$10,$B$5:$CS$5,"&lt;="&amp;AF5)</f>
        <v>52</v>
      </c>
      <c r="AG11" s="402" t="n">
        <f aca="false">SUMIFS($B$10:$CS$10,$B$5:$CS$5,"&lt;="&amp;AG5)</f>
        <v>53</v>
      </c>
      <c r="AH11" s="402" t="n">
        <f aca="false">SUMIFS($B$10:$CS$10,$B$5:$CS$5,"&lt;="&amp;AH5)</f>
        <v>54</v>
      </c>
      <c r="AI11" s="402" t="n">
        <f aca="false">SUMIFS($B$10:$CS$10,$B$5:$CS$5,"&lt;="&amp;AI5)</f>
        <v>55</v>
      </c>
      <c r="AJ11" s="402" t="n">
        <f aca="false">SUMIFS($B$10:$CS$10,$B$5:$CS$5,"&lt;="&amp;AJ5)</f>
        <v>56</v>
      </c>
      <c r="AK11" s="402" t="n">
        <f aca="false">SUMIFS($B$10:$CS$10,$B$5:$CS$5,"&lt;="&amp;AK5)</f>
        <v>57</v>
      </c>
      <c r="AL11" s="402" t="n">
        <f aca="false">SUMIFS($B$10:$CS$10,$B$5:$CS$5,"&lt;="&amp;AL5)</f>
        <v>58</v>
      </c>
      <c r="AM11" s="402" t="n">
        <f aca="false">SUMIFS($B$10:$CS$10,$B$5:$CS$5,"&lt;="&amp;AM5)</f>
        <v>59</v>
      </c>
      <c r="AN11" s="402" t="n">
        <f aca="false">SUMIFS($B$10:$CS$10,$B$5:$CS$5,"&lt;="&amp;AN5)</f>
        <v>60</v>
      </c>
      <c r="AO11" s="402" t="n">
        <f aca="false">SUMIFS($B$10:$CS$10,$B$5:$CS$5,"&lt;="&amp;AO5)</f>
        <v>60</v>
      </c>
      <c r="AP11" s="402" t="n">
        <f aca="false">SUMIFS($B$10:$CS$10,$B$5:$CS$5,"&lt;="&amp;AP5)</f>
        <v>60</v>
      </c>
      <c r="AQ11" s="402" t="n">
        <f aca="false">SUMIFS($B$10:$CS$10,$B$5:$CS$5,"&lt;="&amp;AQ5)</f>
        <v>60</v>
      </c>
      <c r="AR11" s="402" t="n">
        <f aca="false">SUMIFS($B$10:$CS$10,$B$5:$CS$5,"&lt;="&amp;AR5)</f>
        <v>60</v>
      </c>
      <c r="AS11" s="402" t="n">
        <f aca="false">SUMIFS($B$10:$CS$10,$B$5:$CS$5,"&lt;="&amp;AS5)</f>
        <v>60</v>
      </c>
      <c r="AT11" s="402" t="n">
        <f aca="false">SUMIFS($B$10:$CS$10,$B$5:$CS$5,"&lt;="&amp;AT5)</f>
        <v>60</v>
      </c>
      <c r="AU11" s="402" t="n">
        <f aca="false">SUMIFS($B$10:$CS$10,$B$5:$CS$5,"&lt;="&amp;AU5)</f>
        <v>60</v>
      </c>
      <c r="AV11" s="402" t="n">
        <f aca="false">SUMIFS($B$10:$CS$10,$B$5:$CS$5,"&lt;="&amp;AV5)</f>
        <v>60</v>
      </c>
      <c r="AW11" s="402" t="n">
        <f aca="false">SUMIFS($B$10:$CS$10,$B$5:$CS$5,"&lt;="&amp;AW5)</f>
        <v>60</v>
      </c>
      <c r="AX11" s="402" t="n">
        <f aca="false">SUMIFS($B$10:$CS$10,$B$5:$CS$5,"&lt;="&amp;AX5)</f>
        <v>60</v>
      </c>
      <c r="AY11" s="402" t="n">
        <f aca="false">SUMIFS($B$10:$CS$10,$B$5:$CS$5,"&lt;="&amp;AY5)</f>
        <v>60</v>
      </c>
      <c r="AZ11" s="402" t="n">
        <f aca="false">SUMIFS($B$10:$CS$10,$B$5:$CS$5,"&lt;="&amp;AZ5)</f>
        <v>60</v>
      </c>
      <c r="BA11" s="402" t="n">
        <f aca="false">SUMIFS($B$10:$CS$10,$B$5:$CS$5,"&lt;="&amp;BA5)</f>
        <v>60</v>
      </c>
      <c r="BB11" s="402" t="n">
        <f aca="false">SUMIFS($B$10:$CS$10,$B$5:$CS$5,"&lt;="&amp;BB5)</f>
        <v>60</v>
      </c>
      <c r="BC11" s="402" t="n">
        <f aca="false">SUMIFS($B$10:$CS$10,$B$5:$CS$5,"&lt;="&amp;BC5)</f>
        <v>60</v>
      </c>
      <c r="BD11" s="402" t="n">
        <f aca="false">SUMIFS($B$10:$CS$10,$B$5:$CS$5,"&lt;="&amp;BD5)</f>
        <v>60</v>
      </c>
      <c r="BE11" s="402" t="n">
        <f aca="false">SUMIFS($B$10:$CS$10,$B$5:$CS$5,"&lt;="&amp;BE5)</f>
        <v>60</v>
      </c>
      <c r="BF11" s="402" t="n">
        <f aca="false">SUMIFS($B$10:$CS$10,$B$5:$CS$5,"&lt;="&amp;BF5)</f>
        <v>60</v>
      </c>
      <c r="BG11" s="402" t="n">
        <f aca="false">SUMIFS($B$10:$CS$10,$B$5:$CS$5,"&lt;="&amp;BG5)</f>
        <v>60</v>
      </c>
      <c r="BH11" s="402" t="n">
        <f aca="false">SUMIFS($B$10:$CS$10,$B$5:$CS$5,"&lt;="&amp;BH5)</f>
        <v>60</v>
      </c>
      <c r="BI11" s="402" t="n">
        <f aca="false">SUMIFS($B$10:$CS$10,$B$5:$CS$5,"&lt;="&amp;BI5)</f>
        <v>60</v>
      </c>
      <c r="BJ11" s="402" t="n">
        <f aca="false">SUMIFS($B$10:$CS$10,$B$5:$CS$5,"&lt;="&amp;BJ5)</f>
        <v>60</v>
      </c>
      <c r="BK11" s="402" t="n">
        <f aca="false">SUMIFS($B$10:$CS$10,$B$5:$CS$5,"&lt;="&amp;BK5)</f>
        <v>60</v>
      </c>
      <c r="BL11" s="402" t="n">
        <f aca="false">SUMIFS($B$10:$CS$10,$B$5:$CS$5,"&lt;="&amp;BL5)</f>
        <v>60</v>
      </c>
      <c r="BM11" s="402" t="n">
        <f aca="false">SUMIFS($B$10:$CS$10,$B$5:$CS$5,"&lt;="&amp;BM5)</f>
        <v>60</v>
      </c>
      <c r="BN11" s="402" t="n">
        <f aca="false">SUMIFS($B$10:$CS$10,$B$5:$CS$5,"&lt;="&amp;BN5)</f>
        <v>60</v>
      </c>
      <c r="BO11" s="402" t="n">
        <f aca="false">SUMIFS($B$10:$CS$10,$B$5:$CS$5,"&lt;="&amp;BO5)</f>
        <v>60</v>
      </c>
      <c r="BP11" s="402" t="n">
        <f aca="false">SUMIFS($B$10:$CS$10,$B$5:$CS$5,"&lt;="&amp;BP5)</f>
        <v>60</v>
      </c>
      <c r="BQ11" s="402" t="n">
        <f aca="false">SUMIFS($B$10:$CS$10,$B$5:$CS$5,"&lt;="&amp;BQ5)</f>
        <v>60</v>
      </c>
      <c r="BR11" s="402" t="n">
        <f aca="false">SUMIFS($B$10:$CS$10,$B$5:$CS$5,"&lt;="&amp;BR5)</f>
        <v>60</v>
      </c>
      <c r="BS11" s="402" t="n">
        <f aca="false">SUMIFS($B$10:$CS$10,$B$5:$CS$5,"&lt;="&amp;BS5)</f>
        <v>60</v>
      </c>
      <c r="BT11" s="402" t="n">
        <f aca="false">SUMIFS($B$10:$CS$10,$B$5:$CS$5,"&lt;="&amp;BT5)</f>
        <v>60</v>
      </c>
      <c r="BU11" s="402" t="n">
        <f aca="false">SUMIFS($B$10:$CS$10,$B$5:$CS$5,"&lt;="&amp;BU5)</f>
        <v>60</v>
      </c>
      <c r="BV11" s="402" t="n">
        <f aca="false">SUMIFS($B$10:$CS$10,$B$5:$CS$5,"&lt;="&amp;BV5)</f>
        <v>60</v>
      </c>
      <c r="BW11" s="402" t="n">
        <f aca="false">SUMIFS($B$10:$CS$10,$B$5:$CS$5,"&lt;="&amp;BW5)</f>
        <v>60</v>
      </c>
      <c r="BX11" s="402" t="n">
        <f aca="false">SUMIFS($B$10:$CS$10,$B$5:$CS$5,"&lt;="&amp;BX5)</f>
        <v>60</v>
      </c>
      <c r="BY11" s="402" t="n">
        <f aca="false">SUMIFS($B$10:$CS$10,$B$5:$CS$5,"&lt;="&amp;BY5)</f>
        <v>60</v>
      </c>
      <c r="BZ11" s="402" t="n">
        <f aca="false">SUMIFS($B$10:$CS$10,$B$5:$CS$5,"&lt;="&amp;BZ5)</f>
        <v>60</v>
      </c>
      <c r="CA11" s="402" t="n">
        <f aca="false">SUMIFS($B$10:$CS$10,$B$5:$CS$5,"&lt;="&amp;CA5)</f>
        <v>60</v>
      </c>
      <c r="CB11" s="402" t="n">
        <f aca="false">SUMIFS($B$10:$CS$10,$B$5:$CS$5,"&lt;="&amp;CB5)</f>
        <v>60</v>
      </c>
      <c r="CC11" s="402" t="n">
        <f aca="false">SUMIFS($B$10:$CS$10,$B$5:$CS$5,"&lt;="&amp;CC5)</f>
        <v>60</v>
      </c>
      <c r="CD11" s="402" t="n">
        <f aca="false">SUMIFS($B$10:$CS$10,$B$5:$CS$5,"&lt;="&amp;CD5)</f>
        <v>60</v>
      </c>
      <c r="CE11" s="402" t="n">
        <f aca="false">SUMIFS($B$10:$CS$10,$B$5:$CS$5,"&lt;="&amp;CE5)</f>
        <v>60</v>
      </c>
      <c r="CF11" s="402" t="n">
        <f aca="false">SUMIFS($B$10:$CS$10,$B$5:$CS$5,"&lt;="&amp;CF5)</f>
        <v>60</v>
      </c>
      <c r="CG11" s="402" t="n">
        <f aca="false">SUMIFS($B$10:$CS$10,$B$5:$CS$5,"&lt;="&amp;CG5)</f>
        <v>60</v>
      </c>
      <c r="CH11" s="402" t="n">
        <f aca="false">SUMIFS($B$10:$CS$10,$B$5:$CS$5,"&lt;="&amp;CH5)</f>
        <v>60</v>
      </c>
      <c r="CI11" s="402" t="n">
        <f aca="false">SUMIFS($B$10:$CS$10,$B$5:$CS$5,"&lt;="&amp;CI5)</f>
        <v>60</v>
      </c>
      <c r="CJ11" s="402" t="n">
        <f aca="false">SUMIFS($B$10:$CS$10,$B$5:$CS$5,"&lt;="&amp;CJ5)</f>
        <v>60</v>
      </c>
      <c r="CK11" s="402" t="n">
        <f aca="false">SUMIFS($B$10:$CS$10,$B$5:$CS$5,"&lt;="&amp;CK5)</f>
        <v>60</v>
      </c>
      <c r="CL11" s="402" t="n">
        <f aca="false">SUMIFS($B$10:$CS$10,$B$5:$CS$5,"&lt;="&amp;CL5)</f>
        <v>60</v>
      </c>
      <c r="CM11" s="402" t="n">
        <f aca="false">SUMIFS($B$10:$CS$10,$B$5:$CS$5,"&lt;="&amp;CM5)</f>
        <v>60</v>
      </c>
      <c r="CN11" s="402" t="n">
        <f aca="false">SUMIFS($B$10:$CS$10,$B$5:$CS$5,"&lt;="&amp;CN5)</f>
        <v>60</v>
      </c>
      <c r="CO11" s="402" t="n">
        <f aca="false">SUMIFS($B$10:$CS$10,$B$5:$CS$5,"&lt;="&amp;CO5)</f>
        <v>60</v>
      </c>
      <c r="CP11" s="402" t="n">
        <f aca="false">SUMIFS($B$10:$CS$10,$B$5:$CS$5,"&lt;="&amp;CP5)</f>
        <v>60</v>
      </c>
      <c r="CQ11" s="402" t="n">
        <f aca="false">SUMIFS($B$10:$CS$10,$B$5:$CS$5,"&lt;="&amp;CQ5)</f>
        <v>60</v>
      </c>
      <c r="CR11" s="402" t="n">
        <f aca="false">SUMIFS($B$10:$CS$10,$B$5:$CS$5,"&lt;="&amp;CR5)</f>
        <v>60</v>
      </c>
      <c r="CS11" s="402" t="n">
        <f aca="false">SUMIFS($B$10:$CS$10,$B$5:$CS$5,"&lt;="&amp;CS5)</f>
        <v>60</v>
      </c>
    </row>
    <row r="12" customFormat="false" ht="15" hidden="false" customHeight="true" outlineLevel="0" collapsed="false">
      <c r="A12" s="123" t="s">
        <v>1411</v>
      </c>
      <c r="B12" s="402" t="n">
        <f aca="false">SUMIFS($B$10:$CS$10,$B$5:$CS$5,"&gt;="&amp;(B5-'Uplifters Inputs'!$B$15-'Uplifters Inputs'!$B$16+1),$B$5:$CS$5,"&lt;="&amp;(B5-'Uplifters Inputs'!$B$15))</f>
        <v>0</v>
      </c>
      <c r="C12" s="402" t="n">
        <f aca="false">SUMIFS($B$10:$CS$10,$B$5:$CS$5,"&gt;="&amp;(C5-'Uplifters Inputs'!$B$15-'Uplifters Inputs'!$B$16+1),$B$5:$CS$5,"&lt;="&amp;(C5-'Uplifters Inputs'!$B$15))</f>
        <v>0</v>
      </c>
      <c r="D12" s="402" t="n">
        <f aca="false">SUMIFS($B$10:$CS$10,$B$5:$CS$5,"&gt;="&amp;(D5-'Uplifters Inputs'!$B$15-'Uplifters Inputs'!$B$16+1),$B$5:$CS$5,"&lt;="&amp;(D5-'Uplifters Inputs'!$B$15))</f>
        <v>0</v>
      </c>
      <c r="E12" s="402" t="n">
        <f aca="false">SUMIFS($B$10:$CS$10,$B$5:$CS$5,"&gt;="&amp;(E5-'Uplifters Inputs'!$B$15-'Uplifters Inputs'!$B$16+1),$B$5:$CS$5,"&lt;="&amp;(E5-'Uplifters Inputs'!$B$15))</f>
        <v>0</v>
      </c>
      <c r="F12" s="402" t="n">
        <f aca="false">SUMIFS($B$10:$CS$10,$B$5:$CS$5,"&gt;="&amp;(F5-'Uplifters Inputs'!$B$15-'Uplifters Inputs'!$B$16+1),$B$5:$CS$5,"&lt;="&amp;(F5-'Uplifters Inputs'!$B$15))</f>
        <v>0</v>
      </c>
      <c r="G12" s="402" t="n">
        <f aca="false">SUMIFS($B$10:$CS$10,$B$5:$CS$5,"&gt;="&amp;(G5-'Uplifters Inputs'!$B$15-'Uplifters Inputs'!$B$16+1),$B$5:$CS$5,"&lt;="&amp;(G5-'Uplifters Inputs'!$B$15))</f>
        <v>0</v>
      </c>
      <c r="H12" s="402" t="n">
        <f aca="false">SUMIFS($B$10:$CS$10,$B$5:$CS$5,"&gt;="&amp;(H5-'Uplifters Inputs'!$B$15-'Uplifters Inputs'!$B$16+1),$B$5:$CS$5,"&lt;="&amp;(H5-'Uplifters Inputs'!$B$15))</f>
        <v>0</v>
      </c>
      <c r="I12" s="402" t="n">
        <f aca="false">SUMIFS($B$10:$CS$10,$B$5:$CS$5,"&gt;="&amp;(I5-'Uplifters Inputs'!$B$15-'Uplifters Inputs'!$B$16+1),$B$5:$CS$5,"&lt;="&amp;(I5-'Uplifters Inputs'!$B$15))</f>
        <v>0</v>
      </c>
      <c r="J12" s="402" t="n">
        <f aca="false">SUMIFS($B$10:$CS$10,$B$5:$CS$5,"&gt;="&amp;(J5-'Uplifters Inputs'!$B$15-'Uplifters Inputs'!$B$16+1),$B$5:$CS$5,"&lt;="&amp;(J5-'Uplifters Inputs'!$B$15))</f>
        <v>0</v>
      </c>
      <c r="K12" s="402" t="n">
        <f aca="false">SUMIFS($B$10:$CS$10,$B$5:$CS$5,"&gt;="&amp;(K5-'Uplifters Inputs'!$B$15-'Uplifters Inputs'!$B$16+1),$B$5:$CS$5,"&lt;="&amp;(K5-'Uplifters Inputs'!$B$15))</f>
        <v>0</v>
      </c>
      <c r="L12" s="402" t="n">
        <f aca="false">SUMIFS($B$10:$CS$10,$B$5:$CS$5,"&gt;="&amp;(L5-'Uplifters Inputs'!$B$15-'Uplifters Inputs'!$B$16+1),$B$5:$CS$5,"&lt;="&amp;(L5-'Uplifters Inputs'!$B$15))</f>
        <v>0</v>
      </c>
      <c r="M12" s="402" t="n">
        <f aca="false">SUMIFS($B$10:$CS$10,$B$5:$CS$5,"&gt;="&amp;(M5-'Uplifters Inputs'!$B$15-'Uplifters Inputs'!$B$16+1),$B$5:$CS$5,"&lt;="&amp;(M5-'Uplifters Inputs'!$B$15))</f>
        <v>0</v>
      </c>
      <c r="N12" s="402" t="n">
        <f aca="false">SUMIFS($B$10:$CS$10,$B$5:$CS$5,"&gt;="&amp;(N5-'Uplifters Inputs'!$B$15-'Uplifters Inputs'!$B$16+1),$B$5:$CS$5,"&lt;="&amp;(N5-'Uplifters Inputs'!$B$15))</f>
        <v>0</v>
      </c>
      <c r="O12" s="402" t="n">
        <f aca="false">SUMIFS($B$10:$CS$10,$B$5:$CS$5,"&gt;="&amp;(O5-'Uplifters Inputs'!$B$15-'Uplifters Inputs'!$B$16+1),$B$5:$CS$5,"&lt;="&amp;(O5-'Uplifters Inputs'!$B$15))</f>
        <v>0</v>
      </c>
      <c r="P12" s="402" t="n">
        <f aca="false">SUMIFS($B$10:$CS$10,$B$5:$CS$5,"&gt;="&amp;(P5-'Uplifters Inputs'!$B$15-'Uplifters Inputs'!$B$16+1),$B$5:$CS$5,"&lt;="&amp;(P5-'Uplifters Inputs'!$B$15))</f>
        <v>0</v>
      </c>
      <c r="Q12" s="402" t="n">
        <f aca="false">SUMIFS($B$10:$CS$10,$B$5:$CS$5,"&gt;="&amp;(Q5-'Uplifters Inputs'!$B$15-'Uplifters Inputs'!$B$16+1),$B$5:$CS$5,"&lt;="&amp;(Q5-'Uplifters Inputs'!$B$15))</f>
        <v>0</v>
      </c>
      <c r="R12" s="402" t="n">
        <f aca="false">SUMIFS($B$10:$CS$10,$B$5:$CS$5,"&gt;="&amp;(R5-'Uplifters Inputs'!$B$15-'Uplifters Inputs'!$B$16+1),$B$5:$CS$5,"&lt;="&amp;(R5-'Uplifters Inputs'!$B$15))</f>
        <v>0</v>
      </c>
      <c r="S12" s="402" t="n">
        <f aca="false">SUMIFS($B$10:$CS$10,$B$5:$CS$5,"&gt;="&amp;(S5-'Uplifters Inputs'!$B$15-'Uplifters Inputs'!$B$16+1),$B$5:$CS$5,"&lt;="&amp;(S5-'Uplifters Inputs'!$B$15))</f>
        <v>0</v>
      </c>
      <c r="T12" s="402" t="n">
        <f aca="false">SUMIFS($B$10:$CS$10,$B$5:$CS$5,"&gt;="&amp;(T5-'Uplifters Inputs'!$B$15-'Uplifters Inputs'!$B$16+1),$B$5:$CS$5,"&lt;="&amp;(T5-'Uplifters Inputs'!$B$15))</f>
        <v>0</v>
      </c>
      <c r="U12" s="402" t="n">
        <f aca="false">SUMIFS($B$10:$CS$10,$B$5:$CS$5,"&gt;="&amp;(U5-'Uplifters Inputs'!$B$15-'Uplifters Inputs'!$B$16+1),$B$5:$CS$5,"&lt;="&amp;(U5-'Uplifters Inputs'!$B$15))</f>
        <v>1</v>
      </c>
      <c r="V12" s="402" t="n">
        <f aca="false">SUMIFS($B$10:$CS$10,$B$5:$CS$5,"&gt;="&amp;(V5-'Uplifters Inputs'!$B$15-'Uplifters Inputs'!$B$16+1),$B$5:$CS$5,"&lt;="&amp;(V5-'Uplifters Inputs'!$B$15))</f>
        <v>3</v>
      </c>
      <c r="W12" s="402" t="n">
        <f aca="false">SUMIFS($B$10:$CS$10,$B$5:$CS$5,"&gt;="&amp;(W5-'Uplifters Inputs'!$B$15-'Uplifters Inputs'!$B$16+1),$B$5:$CS$5,"&lt;="&amp;(W5-'Uplifters Inputs'!$B$15))</f>
        <v>6</v>
      </c>
      <c r="X12" s="402" t="n">
        <f aca="false">SUMIFS($B$10:$CS$10,$B$5:$CS$5,"&gt;="&amp;(X5-'Uplifters Inputs'!$B$15-'Uplifters Inputs'!$B$16+1),$B$5:$CS$5,"&lt;="&amp;(X5-'Uplifters Inputs'!$B$15))</f>
        <v>10</v>
      </c>
      <c r="Y12" s="402" t="n">
        <f aca="false">SUMIFS($B$10:$CS$10,$B$5:$CS$5,"&gt;="&amp;(Y5-'Uplifters Inputs'!$B$15-'Uplifters Inputs'!$B$16+1),$B$5:$CS$5,"&lt;="&amp;(Y5-'Uplifters Inputs'!$B$15))</f>
        <v>15</v>
      </c>
      <c r="Z12" s="402" t="n">
        <f aca="false">SUMIFS($B$10:$CS$10,$B$5:$CS$5,"&gt;="&amp;(Z5-'Uplifters Inputs'!$B$15-'Uplifters Inputs'!$B$16+1),$B$5:$CS$5,"&lt;="&amp;(Z5-'Uplifters Inputs'!$B$15))</f>
        <v>20</v>
      </c>
      <c r="AA12" s="402" t="n">
        <f aca="false">SUMIFS($B$10:$CS$10,$B$5:$CS$5,"&gt;="&amp;(AA5-'Uplifters Inputs'!$B$15-'Uplifters Inputs'!$B$16+1),$B$5:$CS$5,"&lt;="&amp;(AA5-'Uplifters Inputs'!$B$15))</f>
        <v>25</v>
      </c>
      <c r="AB12" s="402" t="n">
        <f aca="false">SUMIFS($B$10:$CS$10,$B$5:$CS$5,"&gt;="&amp;(AB5-'Uplifters Inputs'!$B$15-'Uplifters Inputs'!$B$16+1),$B$5:$CS$5,"&lt;="&amp;(AB5-'Uplifters Inputs'!$B$15))</f>
        <v>30</v>
      </c>
      <c r="AC12" s="402" t="n">
        <f aca="false">SUMIFS($B$10:$CS$10,$B$5:$CS$5,"&gt;="&amp;(AC5-'Uplifters Inputs'!$B$15-'Uplifters Inputs'!$B$16+1),$B$5:$CS$5,"&lt;="&amp;(AC5-'Uplifters Inputs'!$B$15))</f>
        <v>34</v>
      </c>
      <c r="AD12" s="402" t="n">
        <f aca="false">SUMIFS($B$10:$CS$10,$B$5:$CS$5,"&gt;="&amp;(AD5-'Uplifters Inputs'!$B$15-'Uplifters Inputs'!$B$16+1),$B$5:$CS$5,"&lt;="&amp;(AD5-'Uplifters Inputs'!$B$15))</f>
        <v>38</v>
      </c>
      <c r="AE12" s="402" t="n">
        <f aca="false">SUMIFS($B$10:$CS$10,$B$5:$CS$5,"&gt;="&amp;(AE5-'Uplifters Inputs'!$B$15-'Uplifters Inputs'!$B$16+1),$B$5:$CS$5,"&lt;="&amp;(AE5-'Uplifters Inputs'!$B$15))</f>
        <v>41</v>
      </c>
      <c r="AF12" s="402" t="n">
        <f aca="false">SUMIFS($B$10:$CS$10,$B$5:$CS$5,"&gt;="&amp;(AF5-'Uplifters Inputs'!$B$15-'Uplifters Inputs'!$B$16+1),$B$5:$CS$5,"&lt;="&amp;(AF5-'Uplifters Inputs'!$B$15))</f>
        <v>44</v>
      </c>
      <c r="AG12" s="402" t="n">
        <f aca="false">SUMIFS($B$10:$CS$10,$B$5:$CS$5,"&gt;="&amp;(AG5-'Uplifters Inputs'!$B$15-'Uplifters Inputs'!$B$16+1),$B$5:$CS$5,"&lt;="&amp;(AG5-'Uplifters Inputs'!$B$15))</f>
        <v>45</v>
      </c>
      <c r="AH12" s="402" t="n">
        <f aca="false">SUMIFS($B$10:$CS$10,$B$5:$CS$5,"&gt;="&amp;(AH5-'Uplifters Inputs'!$B$15-'Uplifters Inputs'!$B$16+1),$B$5:$CS$5,"&lt;="&amp;(AH5-'Uplifters Inputs'!$B$15))</f>
        <v>45</v>
      </c>
      <c r="AI12" s="402" t="n">
        <f aca="false">SUMIFS($B$10:$CS$10,$B$5:$CS$5,"&gt;="&amp;(AI5-'Uplifters Inputs'!$B$15-'Uplifters Inputs'!$B$16+1),$B$5:$CS$5,"&lt;="&amp;(AI5-'Uplifters Inputs'!$B$15))</f>
        <v>44</v>
      </c>
      <c r="AJ12" s="402" t="n">
        <f aca="false">SUMIFS($B$10:$CS$10,$B$5:$CS$5,"&gt;="&amp;(AJ5-'Uplifters Inputs'!$B$15-'Uplifters Inputs'!$B$16+1),$B$5:$CS$5,"&lt;="&amp;(AJ5-'Uplifters Inputs'!$B$15))</f>
        <v>42</v>
      </c>
      <c r="AK12" s="402" t="n">
        <f aca="false">SUMIFS($B$10:$CS$10,$B$5:$CS$5,"&gt;="&amp;(AK5-'Uplifters Inputs'!$B$15-'Uplifters Inputs'!$B$16+1),$B$5:$CS$5,"&lt;="&amp;(AK5-'Uplifters Inputs'!$B$15))</f>
        <v>38</v>
      </c>
      <c r="AL12" s="402" t="n">
        <f aca="false">SUMIFS($B$10:$CS$10,$B$5:$CS$5,"&gt;="&amp;(AL5-'Uplifters Inputs'!$B$15-'Uplifters Inputs'!$B$16+1),$B$5:$CS$5,"&lt;="&amp;(AL5-'Uplifters Inputs'!$B$15))</f>
        <v>34</v>
      </c>
      <c r="AM12" s="402" t="n">
        <f aca="false">SUMIFS($B$10:$CS$10,$B$5:$CS$5,"&gt;="&amp;(AM5-'Uplifters Inputs'!$B$15-'Uplifters Inputs'!$B$16+1),$B$5:$CS$5,"&lt;="&amp;(AM5-'Uplifters Inputs'!$B$15))</f>
        <v>30</v>
      </c>
      <c r="AN12" s="402" t="n">
        <f aca="false">SUMIFS($B$10:$CS$10,$B$5:$CS$5,"&gt;="&amp;(AN5-'Uplifters Inputs'!$B$15-'Uplifters Inputs'!$B$16+1),$B$5:$CS$5,"&lt;="&amp;(AN5-'Uplifters Inputs'!$B$15))</f>
        <v>26</v>
      </c>
      <c r="AO12" s="402" t="n">
        <f aca="false">SUMIFS($B$10:$CS$10,$B$5:$CS$5,"&gt;="&amp;(AO5-'Uplifters Inputs'!$B$15-'Uplifters Inputs'!$B$16+1),$B$5:$CS$5,"&lt;="&amp;(AO5-'Uplifters Inputs'!$B$15))</f>
        <v>23</v>
      </c>
      <c r="AP12" s="402" t="n">
        <f aca="false">SUMIFS($B$10:$CS$10,$B$5:$CS$5,"&gt;="&amp;(AP5-'Uplifters Inputs'!$B$15-'Uplifters Inputs'!$B$16+1),$B$5:$CS$5,"&lt;="&amp;(AP5-'Uplifters Inputs'!$B$15))</f>
        <v>20</v>
      </c>
      <c r="AQ12" s="402" t="n">
        <f aca="false">SUMIFS($B$10:$CS$10,$B$5:$CS$5,"&gt;="&amp;(AQ5-'Uplifters Inputs'!$B$15-'Uplifters Inputs'!$B$16+1),$B$5:$CS$5,"&lt;="&amp;(AQ5-'Uplifters Inputs'!$B$15))</f>
        <v>18</v>
      </c>
      <c r="AR12" s="402" t="n">
        <f aca="false">SUMIFS($B$10:$CS$10,$B$5:$CS$5,"&gt;="&amp;(AR5-'Uplifters Inputs'!$B$15-'Uplifters Inputs'!$B$16+1),$B$5:$CS$5,"&lt;="&amp;(AR5-'Uplifters Inputs'!$B$15))</f>
        <v>16</v>
      </c>
      <c r="AS12" s="402" t="n">
        <f aca="false">SUMIFS($B$10:$CS$10,$B$5:$CS$5,"&gt;="&amp;(AS5-'Uplifters Inputs'!$B$15-'Uplifters Inputs'!$B$16+1),$B$5:$CS$5,"&lt;="&amp;(AS5-'Uplifters Inputs'!$B$15))</f>
        <v>14</v>
      </c>
      <c r="AT12" s="402" t="n">
        <f aca="false">SUMIFS($B$10:$CS$10,$B$5:$CS$5,"&gt;="&amp;(AT5-'Uplifters Inputs'!$B$15-'Uplifters Inputs'!$B$16+1),$B$5:$CS$5,"&lt;="&amp;(AT5-'Uplifters Inputs'!$B$15))</f>
        <v>12</v>
      </c>
      <c r="AU12" s="402" t="n">
        <f aca="false">SUMIFS($B$10:$CS$10,$B$5:$CS$5,"&gt;="&amp;(AU5-'Uplifters Inputs'!$B$15-'Uplifters Inputs'!$B$16+1),$B$5:$CS$5,"&lt;="&amp;(AU5-'Uplifters Inputs'!$B$15))</f>
        <v>10</v>
      </c>
      <c r="AV12" s="402" t="n">
        <f aca="false">SUMIFS($B$10:$CS$10,$B$5:$CS$5,"&gt;="&amp;(AV5-'Uplifters Inputs'!$B$15-'Uplifters Inputs'!$B$16+1),$B$5:$CS$5,"&lt;="&amp;(AV5-'Uplifters Inputs'!$B$15))</f>
        <v>8</v>
      </c>
      <c r="AW12" s="402" t="n">
        <f aca="false">SUMIFS($B$10:$CS$10,$B$5:$CS$5,"&gt;="&amp;(AW5-'Uplifters Inputs'!$B$15-'Uplifters Inputs'!$B$16+1),$B$5:$CS$5,"&lt;="&amp;(AW5-'Uplifters Inputs'!$B$15))</f>
        <v>7</v>
      </c>
      <c r="AX12" s="402" t="n">
        <f aca="false">SUMIFS($B$10:$CS$10,$B$5:$CS$5,"&gt;="&amp;(AX5-'Uplifters Inputs'!$B$15-'Uplifters Inputs'!$B$16+1),$B$5:$CS$5,"&lt;="&amp;(AX5-'Uplifters Inputs'!$B$15))</f>
        <v>6</v>
      </c>
      <c r="AY12" s="402" t="n">
        <f aca="false">SUMIFS($B$10:$CS$10,$B$5:$CS$5,"&gt;="&amp;(AY5-'Uplifters Inputs'!$B$15-'Uplifters Inputs'!$B$16+1),$B$5:$CS$5,"&lt;="&amp;(AY5-'Uplifters Inputs'!$B$15))</f>
        <v>5</v>
      </c>
      <c r="AZ12" s="402" t="n">
        <f aca="false">SUMIFS($B$10:$CS$10,$B$5:$CS$5,"&gt;="&amp;(AZ5-'Uplifters Inputs'!$B$15-'Uplifters Inputs'!$B$16+1),$B$5:$CS$5,"&lt;="&amp;(AZ5-'Uplifters Inputs'!$B$15))</f>
        <v>4</v>
      </c>
      <c r="BA12" s="402" t="n">
        <f aca="false">SUMIFS($B$10:$CS$10,$B$5:$CS$5,"&gt;="&amp;(BA5-'Uplifters Inputs'!$B$15-'Uplifters Inputs'!$B$16+1),$B$5:$CS$5,"&lt;="&amp;(BA5-'Uplifters Inputs'!$B$15))</f>
        <v>3</v>
      </c>
      <c r="BB12" s="402" t="n">
        <f aca="false">SUMIFS($B$10:$CS$10,$B$5:$CS$5,"&gt;="&amp;(BB5-'Uplifters Inputs'!$B$15-'Uplifters Inputs'!$B$16+1),$B$5:$CS$5,"&lt;="&amp;(BB5-'Uplifters Inputs'!$B$15))</f>
        <v>2</v>
      </c>
      <c r="BC12" s="402" t="n">
        <f aca="false">SUMIFS($B$10:$CS$10,$B$5:$CS$5,"&gt;="&amp;(BC5-'Uplifters Inputs'!$B$15-'Uplifters Inputs'!$B$16+1),$B$5:$CS$5,"&lt;="&amp;(BC5-'Uplifters Inputs'!$B$15))</f>
        <v>1</v>
      </c>
      <c r="BD12" s="402" t="n">
        <f aca="false">SUMIFS($B$10:$CS$10,$B$5:$CS$5,"&gt;="&amp;(BD5-'Uplifters Inputs'!$B$15-'Uplifters Inputs'!$B$16+1),$B$5:$CS$5,"&lt;="&amp;(BD5-'Uplifters Inputs'!$B$15))</f>
        <v>0</v>
      </c>
      <c r="BE12" s="402" t="n">
        <f aca="false">SUMIFS($B$10:$CS$10,$B$5:$CS$5,"&gt;="&amp;(BE5-'Uplifters Inputs'!$B$15-'Uplifters Inputs'!$B$16+1),$B$5:$CS$5,"&lt;="&amp;(BE5-'Uplifters Inputs'!$B$15))</f>
        <v>0</v>
      </c>
      <c r="BF12" s="402" t="n">
        <f aca="false">SUMIFS($B$10:$CS$10,$B$5:$CS$5,"&gt;="&amp;(BF5-'Uplifters Inputs'!$B$15-'Uplifters Inputs'!$B$16+1),$B$5:$CS$5,"&lt;="&amp;(BF5-'Uplifters Inputs'!$B$15))</f>
        <v>0</v>
      </c>
      <c r="BG12" s="402" t="n">
        <f aca="false">SUMIFS($B$10:$CS$10,$B$5:$CS$5,"&gt;="&amp;(BG5-'Uplifters Inputs'!$B$15-'Uplifters Inputs'!$B$16+1),$B$5:$CS$5,"&lt;="&amp;(BG5-'Uplifters Inputs'!$B$15))</f>
        <v>0</v>
      </c>
      <c r="BH12" s="402" t="n">
        <f aca="false">SUMIFS($B$10:$CS$10,$B$5:$CS$5,"&gt;="&amp;(BH5-'Uplifters Inputs'!$B$15-'Uplifters Inputs'!$B$16+1),$B$5:$CS$5,"&lt;="&amp;(BH5-'Uplifters Inputs'!$B$15))</f>
        <v>0</v>
      </c>
      <c r="BI12" s="402" t="n">
        <f aca="false">SUMIFS($B$10:$CS$10,$B$5:$CS$5,"&gt;="&amp;(BI5-'Uplifters Inputs'!$B$15-'Uplifters Inputs'!$B$16+1),$B$5:$CS$5,"&lt;="&amp;(BI5-'Uplifters Inputs'!$B$15))</f>
        <v>0</v>
      </c>
      <c r="BJ12" s="402" t="n">
        <f aca="false">SUMIFS($B$10:$CS$10,$B$5:$CS$5,"&gt;="&amp;(BJ5-'Uplifters Inputs'!$B$15-'Uplifters Inputs'!$B$16+1),$B$5:$CS$5,"&lt;="&amp;(BJ5-'Uplifters Inputs'!$B$15))</f>
        <v>0</v>
      </c>
      <c r="BK12" s="402" t="n">
        <f aca="false">SUMIFS($B$10:$CS$10,$B$5:$CS$5,"&gt;="&amp;(BK5-'Uplifters Inputs'!$B$15-'Uplifters Inputs'!$B$16+1),$B$5:$CS$5,"&lt;="&amp;(BK5-'Uplifters Inputs'!$B$15))</f>
        <v>0</v>
      </c>
      <c r="BL12" s="402" t="n">
        <f aca="false">SUMIFS($B$10:$CS$10,$B$5:$CS$5,"&gt;="&amp;(BL5-'Uplifters Inputs'!$B$15-'Uplifters Inputs'!$B$16+1),$B$5:$CS$5,"&lt;="&amp;(BL5-'Uplifters Inputs'!$B$15))</f>
        <v>0</v>
      </c>
      <c r="BM12" s="402" t="n">
        <f aca="false">SUMIFS($B$10:$CS$10,$B$5:$CS$5,"&gt;="&amp;(BM5-'Uplifters Inputs'!$B$15-'Uplifters Inputs'!$B$16+1),$B$5:$CS$5,"&lt;="&amp;(BM5-'Uplifters Inputs'!$B$15))</f>
        <v>0</v>
      </c>
      <c r="BN12" s="402" t="n">
        <f aca="false">SUMIFS($B$10:$CS$10,$B$5:$CS$5,"&gt;="&amp;(BN5-'Uplifters Inputs'!$B$15-'Uplifters Inputs'!$B$16+1),$B$5:$CS$5,"&lt;="&amp;(BN5-'Uplifters Inputs'!$B$15))</f>
        <v>0</v>
      </c>
      <c r="BO12" s="402" t="n">
        <f aca="false">SUMIFS($B$10:$CS$10,$B$5:$CS$5,"&gt;="&amp;(BO5-'Uplifters Inputs'!$B$15-'Uplifters Inputs'!$B$16+1),$B$5:$CS$5,"&lt;="&amp;(BO5-'Uplifters Inputs'!$B$15))</f>
        <v>0</v>
      </c>
      <c r="BP12" s="402" t="n">
        <f aca="false">SUMIFS($B$10:$CS$10,$B$5:$CS$5,"&gt;="&amp;(BP5-'Uplifters Inputs'!$B$15-'Uplifters Inputs'!$B$16+1),$B$5:$CS$5,"&lt;="&amp;(BP5-'Uplifters Inputs'!$B$15))</f>
        <v>0</v>
      </c>
      <c r="BQ12" s="402" t="n">
        <f aca="false">SUMIFS($B$10:$CS$10,$B$5:$CS$5,"&gt;="&amp;(BQ5-'Uplifters Inputs'!$B$15-'Uplifters Inputs'!$B$16+1),$B$5:$CS$5,"&lt;="&amp;(BQ5-'Uplifters Inputs'!$B$15))</f>
        <v>0</v>
      </c>
      <c r="BR12" s="402" t="n">
        <f aca="false">SUMIFS($B$10:$CS$10,$B$5:$CS$5,"&gt;="&amp;(BR5-'Uplifters Inputs'!$B$15-'Uplifters Inputs'!$B$16+1),$B$5:$CS$5,"&lt;="&amp;(BR5-'Uplifters Inputs'!$B$15))</f>
        <v>0</v>
      </c>
      <c r="BS12" s="402" t="n">
        <f aca="false">SUMIFS($B$10:$CS$10,$B$5:$CS$5,"&gt;="&amp;(BS5-'Uplifters Inputs'!$B$15-'Uplifters Inputs'!$B$16+1),$B$5:$CS$5,"&lt;="&amp;(BS5-'Uplifters Inputs'!$B$15))</f>
        <v>0</v>
      </c>
      <c r="BT12" s="402" t="n">
        <f aca="false">SUMIFS($B$10:$CS$10,$B$5:$CS$5,"&gt;="&amp;(BT5-'Uplifters Inputs'!$B$15-'Uplifters Inputs'!$B$16+1),$B$5:$CS$5,"&lt;="&amp;(BT5-'Uplifters Inputs'!$B$15))</f>
        <v>0</v>
      </c>
      <c r="BU12" s="402" t="n">
        <f aca="false">SUMIFS($B$10:$CS$10,$B$5:$CS$5,"&gt;="&amp;(BU5-'Uplifters Inputs'!$B$15-'Uplifters Inputs'!$B$16+1),$B$5:$CS$5,"&lt;="&amp;(BU5-'Uplifters Inputs'!$B$15))</f>
        <v>0</v>
      </c>
      <c r="BV12" s="402" t="n">
        <f aca="false">SUMIFS($B$10:$CS$10,$B$5:$CS$5,"&gt;="&amp;(BV5-'Uplifters Inputs'!$B$15-'Uplifters Inputs'!$B$16+1),$B$5:$CS$5,"&lt;="&amp;(BV5-'Uplifters Inputs'!$B$15))</f>
        <v>0</v>
      </c>
      <c r="BW12" s="402" t="n">
        <f aca="false">SUMIFS($B$10:$CS$10,$B$5:$CS$5,"&gt;="&amp;(BW5-'Uplifters Inputs'!$B$15-'Uplifters Inputs'!$B$16+1),$B$5:$CS$5,"&lt;="&amp;(BW5-'Uplifters Inputs'!$B$15))</f>
        <v>0</v>
      </c>
      <c r="BX12" s="402" t="n">
        <f aca="false">SUMIFS($B$10:$CS$10,$B$5:$CS$5,"&gt;="&amp;(BX5-'Uplifters Inputs'!$B$15-'Uplifters Inputs'!$B$16+1),$B$5:$CS$5,"&lt;="&amp;(BX5-'Uplifters Inputs'!$B$15))</f>
        <v>0</v>
      </c>
      <c r="BY12" s="402" t="n">
        <f aca="false">SUMIFS($B$10:$CS$10,$B$5:$CS$5,"&gt;="&amp;(BY5-'Uplifters Inputs'!$B$15-'Uplifters Inputs'!$B$16+1),$B$5:$CS$5,"&lt;="&amp;(BY5-'Uplifters Inputs'!$B$15))</f>
        <v>0</v>
      </c>
      <c r="BZ12" s="402" t="n">
        <f aca="false">SUMIFS($B$10:$CS$10,$B$5:$CS$5,"&gt;="&amp;(BZ5-'Uplifters Inputs'!$B$15-'Uplifters Inputs'!$B$16+1),$B$5:$CS$5,"&lt;="&amp;(BZ5-'Uplifters Inputs'!$B$15))</f>
        <v>0</v>
      </c>
      <c r="CA12" s="402" t="n">
        <f aca="false">SUMIFS($B$10:$CS$10,$B$5:$CS$5,"&gt;="&amp;(CA5-'Uplifters Inputs'!$B$15-'Uplifters Inputs'!$B$16+1),$B$5:$CS$5,"&lt;="&amp;(CA5-'Uplifters Inputs'!$B$15))</f>
        <v>0</v>
      </c>
      <c r="CB12" s="402" t="n">
        <f aca="false">SUMIFS($B$10:$CS$10,$B$5:$CS$5,"&gt;="&amp;(CB5-'Uplifters Inputs'!$B$15-'Uplifters Inputs'!$B$16+1),$B$5:$CS$5,"&lt;="&amp;(CB5-'Uplifters Inputs'!$B$15))</f>
        <v>0</v>
      </c>
      <c r="CC12" s="402" t="n">
        <f aca="false">SUMIFS($B$10:$CS$10,$B$5:$CS$5,"&gt;="&amp;(CC5-'Uplifters Inputs'!$B$15-'Uplifters Inputs'!$B$16+1),$B$5:$CS$5,"&lt;="&amp;(CC5-'Uplifters Inputs'!$B$15))</f>
        <v>0</v>
      </c>
      <c r="CD12" s="402" t="n">
        <f aca="false">SUMIFS($B$10:$CS$10,$B$5:$CS$5,"&gt;="&amp;(CD5-'Uplifters Inputs'!$B$15-'Uplifters Inputs'!$B$16+1),$B$5:$CS$5,"&lt;="&amp;(CD5-'Uplifters Inputs'!$B$15))</f>
        <v>0</v>
      </c>
      <c r="CE12" s="402" t="n">
        <f aca="false">SUMIFS($B$10:$CS$10,$B$5:$CS$5,"&gt;="&amp;(CE5-'Uplifters Inputs'!$B$15-'Uplifters Inputs'!$B$16+1),$B$5:$CS$5,"&lt;="&amp;(CE5-'Uplifters Inputs'!$B$15))</f>
        <v>0</v>
      </c>
      <c r="CF12" s="402" t="n">
        <f aca="false">SUMIFS($B$10:$CS$10,$B$5:$CS$5,"&gt;="&amp;(CF5-'Uplifters Inputs'!$B$15-'Uplifters Inputs'!$B$16+1),$B$5:$CS$5,"&lt;="&amp;(CF5-'Uplifters Inputs'!$B$15))</f>
        <v>0</v>
      </c>
      <c r="CG12" s="402" t="n">
        <f aca="false">SUMIFS($B$10:$CS$10,$B$5:$CS$5,"&gt;="&amp;(CG5-'Uplifters Inputs'!$B$15-'Uplifters Inputs'!$B$16+1),$B$5:$CS$5,"&lt;="&amp;(CG5-'Uplifters Inputs'!$B$15))</f>
        <v>0</v>
      </c>
      <c r="CH12" s="402" t="n">
        <f aca="false">SUMIFS($B$10:$CS$10,$B$5:$CS$5,"&gt;="&amp;(CH5-'Uplifters Inputs'!$B$15-'Uplifters Inputs'!$B$16+1),$B$5:$CS$5,"&lt;="&amp;(CH5-'Uplifters Inputs'!$B$15))</f>
        <v>0</v>
      </c>
      <c r="CI12" s="402" t="n">
        <f aca="false">SUMIFS($B$10:$CS$10,$B$5:$CS$5,"&gt;="&amp;(CI5-'Uplifters Inputs'!$B$15-'Uplifters Inputs'!$B$16+1),$B$5:$CS$5,"&lt;="&amp;(CI5-'Uplifters Inputs'!$B$15))</f>
        <v>0</v>
      </c>
      <c r="CJ12" s="402" t="n">
        <f aca="false">SUMIFS($B$10:$CS$10,$B$5:$CS$5,"&gt;="&amp;(CJ5-'Uplifters Inputs'!$B$15-'Uplifters Inputs'!$B$16+1),$B$5:$CS$5,"&lt;="&amp;(CJ5-'Uplifters Inputs'!$B$15))</f>
        <v>0</v>
      </c>
      <c r="CK12" s="402" t="n">
        <f aca="false">SUMIFS($B$10:$CS$10,$B$5:$CS$5,"&gt;="&amp;(CK5-'Uplifters Inputs'!$B$15-'Uplifters Inputs'!$B$16+1),$B$5:$CS$5,"&lt;="&amp;(CK5-'Uplifters Inputs'!$B$15))</f>
        <v>0</v>
      </c>
      <c r="CL12" s="402" t="n">
        <f aca="false">SUMIFS($B$10:$CS$10,$B$5:$CS$5,"&gt;="&amp;(CL5-'Uplifters Inputs'!$B$15-'Uplifters Inputs'!$B$16+1),$B$5:$CS$5,"&lt;="&amp;(CL5-'Uplifters Inputs'!$B$15))</f>
        <v>0</v>
      </c>
      <c r="CM12" s="402" t="n">
        <f aca="false">SUMIFS($B$10:$CS$10,$B$5:$CS$5,"&gt;="&amp;(CM5-'Uplifters Inputs'!$B$15-'Uplifters Inputs'!$B$16+1),$B$5:$CS$5,"&lt;="&amp;(CM5-'Uplifters Inputs'!$B$15))</f>
        <v>0</v>
      </c>
      <c r="CN12" s="402" t="n">
        <f aca="false">SUMIFS($B$10:$CS$10,$B$5:$CS$5,"&gt;="&amp;(CN5-'Uplifters Inputs'!$B$15-'Uplifters Inputs'!$B$16+1),$B$5:$CS$5,"&lt;="&amp;(CN5-'Uplifters Inputs'!$B$15))</f>
        <v>0</v>
      </c>
      <c r="CO12" s="402" t="n">
        <f aca="false">SUMIFS($B$10:$CS$10,$B$5:$CS$5,"&gt;="&amp;(CO5-'Uplifters Inputs'!$B$15-'Uplifters Inputs'!$B$16+1),$B$5:$CS$5,"&lt;="&amp;(CO5-'Uplifters Inputs'!$B$15))</f>
        <v>0</v>
      </c>
      <c r="CP12" s="402" t="n">
        <f aca="false">SUMIFS($B$10:$CS$10,$B$5:$CS$5,"&gt;="&amp;(CP5-'Uplifters Inputs'!$B$15-'Uplifters Inputs'!$B$16+1),$B$5:$CS$5,"&lt;="&amp;(CP5-'Uplifters Inputs'!$B$15))</f>
        <v>0</v>
      </c>
      <c r="CQ12" s="402" t="n">
        <f aca="false">SUMIFS($B$10:$CS$10,$B$5:$CS$5,"&gt;="&amp;(CQ5-'Uplifters Inputs'!$B$15-'Uplifters Inputs'!$B$16+1),$B$5:$CS$5,"&lt;="&amp;(CQ5-'Uplifters Inputs'!$B$15))</f>
        <v>0</v>
      </c>
      <c r="CR12" s="402" t="n">
        <f aca="false">SUMIFS($B$10:$CS$10,$B$5:$CS$5,"&gt;="&amp;(CR5-'Uplifters Inputs'!$B$15-'Uplifters Inputs'!$B$16+1),$B$5:$CS$5,"&lt;="&amp;(CR5-'Uplifters Inputs'!$B$15))</f>
        <v>0</v>
      </c>
      <c r="CS12" s="402" t="n">
        <f aca="false">SUMIFS($B$10:$CS$10,$B$5:$CS$5,"&gt;="&amp;(CS5-'Uplifters Inputs'!$B$15-'Uplifters Inputs'!$B$16+1),$B$5:$CS$5,"&lt;="&amp;(CS5-'Uplifters Inputs'!$B$15))</f>
        <v>0</v>
      </c>
    </row>
    <row r="13" customFormat="false" ht="15" hidden="false" customHeight="true" outlineLevel="0" collapsed="false">
      <c r="A13" s="123" t="s">
        <v>1412</v>
      </c>
      <c r="B13" s="402" t="n">
        <f aca="false">SUMIFS($B$10:$CS$10,$B$5:$CS$5,B5-'Uplifters Inputs'!$B$15-'Uplifters Inputs'!$B$16-'Uplifters Inputs'!$B$17)</f>
        <v>0</v>
      </c>
      <c r="C13" s="402" t="n">
        <f aca="false">SUMIFS($B$10:$CS$10,$B$5:$CS$5,C5-'Uplifters Inputs'!$B$15-'Uplifters Inputs'!$B$16-'Uplifters Inputs'!$B$17)</f>
        <v>0</v>
      </c>
      <c r="D13" s="402" t="n">
        <f aca="false">SUMIFS($B$10:$CS$10,$B$5:$CS$5,D5-'Uplifters Inputs'!$B$15-'Uplifters Inputs'!$B$16-'Uplifters Inputs'!$B$17)</f>
        <v>0</v>
      </c>
      <c r="E13" s="402" t="n">
        <f aca="false">SUMIFS($B$10:$CS$10,$B$5:$CS$5,E5-'Uplifters Inputs'!$B$15-'Uplifters Inputs'!$B$16-'Uplifters Inputs'!$B$17)</f>
        <v>0</v>
      </c>
      <c r="F13" s="402" t="n">
        <f aca="false">SUMIFS($B$10:$CS$10,$B$5:$CS$5,F5-'Uplifters Inputs'!$B$15-'Uplifters Inputs'!$B$16-'Uplifters Inputs'!$B$17)</f>
        <v>0</v>
      </c>
      <c r="G13" s="402" t="n">
        <f aca="false">SUMIFS($B$10:$CS$10,$B$5:$CS$5,G5-'Uplifters Inputs'!$B$15-'Uplifters Inputs'!$B$16-'Uplifters Inputs'!$B$17)</f>
        <v>0</v>
      </c>
      <c r="H13" s="402" t="n">
        <f aca="false">SUMIFS($B$10:$CS$10,$B$5:$CS$5,H5-'Uplifters Inputs'!$B$15-'Uplifters Inputs'!$B$16-'Uplifters Inputs'!$B$17)</f>
        <v>0</v>
      </c>
      <c r="I13" s="402" t="n">
        <f aca="false">SUMIFS($B$10:$CS$10,$B$5:$CS$5,I5-'Uplifters Inputs'!$B$15-'Uplifters Inputs'!$B$16-'Uplifters Inputs'!$B$17)</f>
        <v>0</v>
      </c>
      <c r="J13" s="402" t="n">
        <f aca="false">SUMIFS($B$10:$CS$10,$B$5:$CS$5,J5-'Uplifters Inputs'!$B$15-'Uplifters Inputs'!$B$16-'Uplifters Inputs'!$B$17)</f>
        <v>0</v>
      </c>
      <c r="K13" s="402" t="n">
        <f aca="false">SUMIFS($B$10:$CS$10,$B$5:$CS$5,K5-'Uplifters Inputs'!$B$15-'Uplifters Inputs'!$B$16-'Uplifters Inputs'!$B$17)</f>
        <v>0</v>
      </c>
      <c r="L13" s="402" t="n">
        <f aca="false">SUMIFS($B$10:$CS$10,$B$5:$CS$5,L5-'Uplifters Inputs'!$B$15-'Uplifters Inputs'!$B$16-'Uplifters Inputs'!$B$17)</f>
        <v>0</v>
      </c>
      <c r="M13" s="402" t="n">
        <f aca="false">SUMIFS($B$10:$CS$10,$B$5:$CS$5,M5-'Uplifters Inputs'!$B$15-'Uplifters Inputs'!$B$16-'Uplifters Inputs'!$B$17)</f>
        <v>0</v>
      </c>
      <c r="N13" s="402" t="n">
        <f aca="false">SUMIFS($B$10:$CS$10,$B$5:$CS$5,N5-'Uplifters Inputs'!$B$15-'Uplifters Inputs'!$B$16-'Uplifters Inputs'!$B$17)</f>
        <v>0</v>
      </c>
      <c r="O13" s="402" t="n">
        <f aca="false">SUMIFS($B$10:$CS$10,$B$5:$CS$5,O5-'Uplifters Inputs'!$B$15-'Uplifters Inputs'!$B$16-'Uplifters Inputs'!$B$17)</f>
        <v>0</v>
      </c>
      <c r="P13" s="402" t="n">
        <f aca="false">SUMIFS($B$10:$CS$10,$B$5:$CS$5,P5-'Uplifters Inputs'!$B$15-'Uplifters Inputs'!$B$16-'Uplifters Inputs'!$B$17)</f>
        <v>0</v>
      </c>
      <c r="Q13" s="402" t="n">
        <f aca="false">SUMIFS($B$10:$CS$10,$B$5:$CS$5,Q5-'Uplifters Inputs'!$B$15-'Uplifters Inputs'!$B$16-'Uplifters Inputs'!$B$17)</f>
        <v>0</v>
      </c>
      <c r="R13" s="402" t="n">
        <f aca="false">SUMIFS($B$10:$CS$10,$B$5:$CS$5,R5-'Uplifters Inputs'!$B$15-'Uplifters Inputs'!$B$16-'Uplifters Inputs'!$B$17)</f>
        <v>0</v>
      </c>
      <c r="S13" s="402" t="n">
        <f aca="false">SUMIFS($B$10:$CS$10,$B$5:$CS$5,S5-'Uplifters Inputs'!$B$15-'Uplifters Inputs'!$B$16-'Uplifters Inputs'!$B$17)</f>
        <v>0</v>
      </c>
      <c r="T13" s="402" t="n">
        <f aca="false">SUMIFS($B$10:$CS$10,$B$5:$CS$5,T5-'Uplifters Inputs'!$B$15-'Uplifters Inputs'!$B$16-'Uplifters Inputs'!$B$17)</f>
        <v>0</v>
      </c>
      <c r="U13" s="402" t="n">
        <f aca="false">SUMIFS($B$10:$CS$10,$B$5:$CS$5,U5-'Uplifters Inputs'!$B$15-'Uplifters Inputs'!$B$16-'Uplifters Inputs'!$B$17)</f>
        <v>0</v>
      </c>
      <c r="V13" s="402" t="n">
        <f aca="false">SUMIFS($B$10:$CS$10,$B$5:$CS$5,V5-'Uplifters Inputs'!$B$15-'Uplifters Inputs'!$B$16-'Uplifters Inputs'!$B$17)</f>
        <v>0</v>
      </c>
      <c r="W13" s="402" t="n">
        <f aca="false">SUMIFS($B$10:$CS$10,$B$5:$CS$5,W5-'Uplifters Inputs'!$B$15-'Uplifters Inputs'!$B$16-'Uplifters Inputs'!$B$17)</f>
        <v>0</v>
      </c>
      <c r="X13" s="402" t="n">
        <f aca="false">SUMIFS($B$10:$CS$10,$B$5:$CS$5,X5-'Uplifters Inputs'!$B$15-'Uplifters Inputs'!$B$16-'Uplifters Inputs'!$B$17)</f>
        <v>0</v>
      </c>
      <c r="Y13" s="402" t="n">
        <f aca="false">SUMIFS($B$10:$CS$10,$B$5:$CS$5,Y5-'Uplifters Inputs'!$B$15-'Uplifters Inputs'!$B$16-'Uplifters Inputs'!$B$17)</f>
        <v>0</v>
      </c>
      <c r="Z13" s="402" t="n">
        <f aca="false">SUMIFS($B$10:$CS$10,$B$5:$CS$5,Z5-'Uplifters Inputs'!$B$15-'Uplifters Inputs'!$B$16-'Uplifters Inputs'!$B$17)</f>
        <v>0</v>
      </c>
      <c r="AA13" s="402" t="n">
        <f aca="false">SUMIFS($B$10:$CS$10,$B$5:$CS$5,AA5-'Uplifters Inputs'!$B$15-'Uplifters Inputs'!$B$16-'Uplifters Inputs'!$B$17)</f>
        <v>0</v>
      </c>
      <c r="AB13" s="402" t="n">
        <f aca="false">SUMIFS($B$10:$CS$10,$B$5:$CS$5,AB5-'Uplifters Inputs'!$B$15-'Uplifters Inputs'!$B$16-'Uplifters Inputs'!$B$17)</f>
        <v>0</v>
      </c>
      <c r="AC13" s="402" t="n">
        <f aca="false">SUMIFS($B$10:$CS$10,$B$5:$CS$5,AC5-'Uplifters Inputs'!$B$15-'Uplifters Inputs'!$B$16-'Uplifters Inputs'!$B$17)</f>
        <v>0</v>
      </c>
      <c r="AD13" s="402" t="n">
        <f aca="false">SUMIFS($B$10:$CS$10,$B$5:$CS$5,AD5-'Uplifters Inputs'!$B$15-'Uplifters Inputs'!$B$16-'Uplifters Inputs'!$B$17)</f>
        <v>0</v>
      </c>
      <c r="AE13" s="402" t="n">
        <f aca="false">SUMIFS($B$10:$CS$10,$B$5:$CS$5,AE5-'Uplifters Inputs'!$B$15-'Uplifters Inputs'!$B$16-'Uplifters Inputs'!$B$17)</f>
        <v>0</v>
      </c>
      <c r="AF13" s="402" t="n">
        <f aca="false">SUMIFS($B$10:$CS$10,$B$5:$CS$5,AF5-'Uplifters Inputs'!$B$15-'Uplifters Inputs'!$B$16-'Uplifters Inputs'!$B$17)</f>
        <v>0</v>
      </c>
      <c r="AG13" s="402" t="n">
        <f aca="false">SUMIFS($B$10:$CS$10,$B$5:$CS$5,AG5-'Uplifters Inputs'!$B$15-'Uplifters Inputs'!$B$16-'Uplifters Inputs'!$B$17)</f>
        <v>0</v>
      </c>
      <c r="AH13" s="402" t="n">
        <f aca="false">SUMIFS($B$10:$CS$10,$B$5:$CS$5,AH5-'Uplifters Inputs'!$B$15-'Uplifters Inputs'!$B$16-'Uplifters Inputs'!$B$17)</f>
        <v>0</v>
      </c>
      <c r="AI13" s="402" t="n">
        <f aca="false">SUMIFS($B$10:$CS$10,$B$5:$CS$5,AI5-'Uplifters Inputs'!$B$15-'Uplifters Inputs'!$B$16-'Uplifters Inputs'!$B$17)</f>
        <v>0</v>
      </c>
      <c r="AJ13" s="402" t="n">
        <f aca="false">SUMIFS($B$10:$CS$10,$B$5:$CS$5,AJ5-'Uplifters Inputs'!$B$15-'Uplifters Inputs'!$B$16-'Uplifters Inputs'!$B$17)</f>
        <v>0</v>
      </c>
      <c r="AK13" s="402" t="n">
        <f aca="false">SUMIFS($B$10:$CS$10,$B$5:$CS$5,AK5-'Uplifters Inputs'!$B$15-'Uplifters Inputs'!$B$16-'Uplifters Inputs'!$B$17)</f>
        <v>0</v>
      </c>
      <c r="AL13" s="402" t="n">
        <f aca="false">SUMIFS($B$10:$CS$10,$B$5:$CS$5,AL5-'Uplifters Inputs'!$B$15-'Uplifters Inputs'!$B$16-'Uplifters Inputs'!$B$17)</f>
        <v>0</v>
      </c>
      <c r="AM13" s="402" t="n">
        <f aca="false">SUMIFS($B$10:$CS$10,$B$5:$CS$5,AM5-'Uplifters Inputs'!$B$15-'Uplifters Inputs'!$B$16-'Uplifters Inputs'!$B$17)</f>
        <v>0</v>
      </c>
      <c r="AN13" s="402" t="n">
        <f aca="false">SUMIFS($B$10:$CS$10,$B$5:$CS$5,AN5-'Uplifters Inputs'!$B$15-'Uplifters Inputs'!$B$16-'Uplifters Inputs'!$B$17)</f>
        <v>0</v>
      </c>
      <c r="AO13" s="402" t="n">
        <f aca="false">SUMIFS($B$10:$CS$10,$B$5:$CS$5,AO5-'Uplifters Inputs'!$B$15-'Uplifters Inputs'!$B$16-'Uplifters Inputs'!$B$17)</f>
        <v>0</v>
      </c>
      <c r="AP13" s="402" t="n">
        <f aca="false">SUMIFS($B$10:$CS$10,$B$5:$CS$5,AP5-'Uplifters Inputs'!$B$15-'Uplifters Inputs'!$B$16-'Uplifters Inputs'!$B$17)</f>
        <v>0</v>
      </c>
      <c r="AQ13" s="402" t="n">
        <f aca="false">SUMIFS($B$10:$CS$10,$B$5:$CS$5,AQ5-'Uplifters Inputs'!$B$15-'Uplifters Inputs'!$B$16-'Uplifters Inputs'!$B$17)</f>
        <v>0</v>
      </c>
      <c r="AR13" s="402" t="n">
        <f aca="false">SUMIFS($B$10:$CS$10,$B$5:$CS$5,AR5-'Uplifters Inputs'!$B$15-'Uplifters Inputs'!$B$16-'Uplifters Inputs'!$B$17)</f>
        <v>0</v>
      </c>
      <c r="AS13" s="402" t="n">
        <f aca="false">SUMIFS($B$10:$CS$10,$B$5:$CS$5,AS5-'Uplifters Inputs'!$B$15-'Uplifters Inputs'!$B$16-'Uplifters Inputs'!$B$17)</f>
        <v>0</v>
      </c>
      <c r="AT13" s="402" t="n">
        <f aca="false">SUMIFS($B$10:$CS$10,$B$5:$CS$5,AT5-'Uplifters Inputs'!$B$15-'Uplifters Inputs'!$B$16-'Uplifters Inputs'!$B$17)</f>
        <v>0</v>
      </c>
      <c r="AU13" s="402" t="n">
        <f aca="false">SUMIFS($B$10:$CS$10,$B$5:$CS$5,AU5-'Uplifters Inputs'!$B$15-'Uplifters Inputs'!$B$16-'Uplifters Inputs'!$B$17)</f>
        <v>1</v>
      </c>
      <c r="AV13" s="402" t="n">
        <f aca="false">SUMIFS($B$10:$CS$10,$B$5:$CS$5,AV5-'Uplifters Inputs'!$B$15-'Uplifters Inputs'!$B$16-'Uplifters Inputs'!$B$17)</f>
        <v>2</v>
      </c>
      <c r="AW13" s="402" t="n">
        <f aca="false">SUMIFS($B$10:$CS$10,$B$5:$CS$5,AW5-'Uplifters Inputs'!$B$15-'Uplifters Inputs'!$B$16-'Uplifters Inputs'!$B$17)</f>
        <v>3</v>
      </c>
      <c r="AX13" s="402" t="n">
        <f aca="false">SUMIFS($B$10:$CS$10,$B$5:$CS$5,AX5-'Uplifters Inputs'!$B$15-'Uplifters Inputs'!$B$16-'Uplifters Inputs'!$B$17)</f>
        <v>4</v>
      </c>
      <c r="AY13" s="402" t="n">
        <f aca="false">SUMIFS($B$10:$CS$10,$B$5:$CS$5,AY5-'Uplifters Inputs'!$B$15-'Uplifters Inputs'!$B$16-'Uplifters Inputs'!$B$17)</f>
        <v>5</v>
      </c>
      <c r="AZ13" s="402" t="n">
        <f aca="false">SUMIFS($B$10:$CS$10,$B$5:$CS$5,AZ5-'Uplifters Inputs'!$B$15-'Uplifters Inputs'!$B$16-'Uplifters Inputs'!$B$17)</f>
        <v>5</v>
      </c>
      <c r="BA13" s="402" t="n">
        <f aca="false">SUMIFS($B$10:$CS$10,$B$5:$CS$5,BA5-'Uplifters Inputs'!$B$15-'Uplifters Inputs'!$B$16-'Uplifters Inputs'!$B$17)</f>
        <v>5</v>
      </c>
      <c r="BB13" s="402" t="n">
        <f aca="false">SUMIFS($B$10:$CS$10,$B$5:$CS$5,BB5-'Uplifters Inputs'!$B$15-'Uplifters Inputs'!$B$16-'Uplifters Inputs'!$B$17)</f>
        <v>5</v>
      </c>
      <c r="BC13" s="402" t="n">
        <f aca="false">SUMIFS($B$10:$CS$10,$B$5:$CS$5,BC5-'Uplifters Inputs'!$B$15-'Uplifters Inputs'!$B$16-'Uplifters Inputs'!$B$17)</f>
        <v>4</v>
      </c>
      <c r="BD13" s="402" t="n">
        <f aca="false">SUMIFS($B$10:$CS$10,$B$5:$CS$5,BD5-'Uplifters Inputs'!$B$15-'Uplifters Inputs'!$B$16-'Uplifters Inputs'!$B$17)</f>
        <v>4</v>
      </c>
      <c r="BE13" s="402" t="n">
        <f aca="false">SUMIFS($B$10:$CS$10,$B$5:$CS$5,BE5-'Uplifters Inputs'!$B$15-'Uplifters Inputs'!$B$16-'Uplifters Inputs'!$B$17)</f>
        <v>3</v>
      </c>
      <c r="BF13" s="402" t="n">
        <f aca="false">SUMIFS($B$10:$CS$10,$B$5:$CS$5,BF5-'Uplifters Inputs'!$B$15-'Uplifters Inputs'!$B$16-'Uplifters Inputs'!$B$17)</f>
        <v>3</v>
      </c>
      <c r="BG13" s="402" t="n">
        <f aca="false">SUMIFS($B$10:$CS$10,$B$5:$CS$5,BG5-'Uplifters Inputs'!$B$15-'Uplifters Inputs'!$B$16-'Uplifters Inputs'!$B$17)</f>
        <v>2</v>
      </c>
      <c r="BH13" s="402" t="n">
        <f aca="false">SUMIFS($B$10:$CS$10,$B$5:$CS$5,BH5-'Uplifters Inputs'!$B$15-'Uplifters Inputs'!$B$16-'Uplifters Inputs'!$B$17)</f>
        <v>2</v>
      </c>
      <c r="BI13" s="402" t="n">
        <f aca="false">SUMIFS($B$10:$CS$10,$B$5:$CS$5,BI5-'Uplifters Inputs'!$B$15-'Uplifters Inputs'!$B$16-'Uplifters Inputs'!$B$17)</f>
        <v>2</v>
      </c>
      <c r="BJ13" s="402" t="n">
        <f aca="false">SUMIFS($B$10:$CS$10,$B$5:$CS$5,BJ5-'Uplifters Inputs'!$B$15-'Uplifters Inputs'!$B$16-'Uplifters Inputs'!$B$17)</f>
        <v>2</v>
      </c>
      <c r="BK13" s="402" t="n">
        <f aca="false">SUMIFS($B$10:$CS$10,$B$5:$CS$5,BK5-'Uplifters Inputs'!$B$15-'Uplifters Inputs'!$B$16-'Uplifters Inputs'!$B$17)</f>
        <v>1</v>
      </c>
      <c r="BL13" s="402" t="n">
        <f aca="false">SUMIFS($B$10:$CS$10,$B$5:$CS$5,BL5-'Uplifters Inputs'!$B$15-'Uplifters Inputs'!$B$16-'Uplifters Inputs'!$B$17)</f>
        <v>1</v>
      </c>
      <c r="BM13" s="402" t="n">
        <f aca="false">SUMIFS($B$10:$CS$10,$B$5:$CS$5,BM5-'Uplifters Inputs'!$B$15-'Uplifters Inputs'!$B$16-'Uplifters Inputs'!$B$17)</f>
        <v>1</v>
      </c>
      <c r="BN13" s="402" t="n">
        <f aca="false">SUMIFS($B$10:$CS$10,$B$5:$CS$5,BN5-'Uplifters Inputs'!$B$15-'Uplifters Inputs'!$B$16-'Uplifters Inputs'!$B$17)</f>
        <v>1</v>
      </c>
      <c r="BO13" s="402" t="n">
        <f aca="false">SUMIFS($B$10:$CS$10,$B$5:$CS$5,BO5-'Uplifters Inputs'!$B$15-'Uplifters Inputs'!$B$16-'Uplifters Inputs'!$B$17)</f>
        <v>1</v>
      </c>
      <c r="BP13" s="402" t="n">
        <f aca="false">SUMIFS($B$10:$CS$10,$B$5:$CS$5,BP5-'Uplifters Inputs'!$B$15-'Uplifters Inputs'!$B$16-'Uplifters Inputs'!$B$17)</f>
        <v>1</v>
      </c>
      <c r="BQ13" s="402" t="n">
        <f aca="false">SUMIFS($B$10:$CS$10,$B$5:$CS$5,BQ5-'Uplifters Inputs'!$B$15-'Uplifters Inputs'!$B$16-'Uplifters Inputs'!$B$17)</f>
        <v>1</v>
      </c>
      <c r="BR13" s="402" t="n">
        <f aca="false">SUMIFS($B$10:$CS$10,$B$5:$CS$5,BR5-'Uplifters Inputs'!$B$15-'Uplifters Inputs'!$B$16-'Uplifters Inputs'!$B$17)</f>
        <v>1</v>
      </c>
      <c r="BS13" s="402" t="n">
        <f aca="false">SUMIFS($B$10:$CS$10,$B$5:$CS$5,BS5-'Uplifters Inputs'!$B$15-'Uplifters Inputs'!$B$16-'Uplifters Inputs'!$B$17)</f>
        <v>0</v>
      </c>
      <c r="BT13" s="402" t="n">
        <f aca="false">SUMIFS($B$10:$CS$10,$B$5:$CS$5,BT5-'Uplifters Inputs'!$B$15-'Uplifters Inputs'!$B$16-'Uplifters Inputs'!$B$17)</f>
        <v>0</v>
      </c>
      <c r="BU13" s="402" t="n">
        <f aca="false">SUMIFS($B$10:$CS$10,$B$5:$CS$5,BU5-'Uplifters Inputs'!$B$15-'Uplifters Inputs'!$B$16-'Uplifters Inputs'!$B$17)</f>
        <v>0</v>
      </c>
      <c r="BV13" s="402" t="n">
        <f aca="false">SUMIFS($B$10:$CS$10,$B$5:$CS$5,BV5-'Uplifters Inputs'!$B$15-'Uplifters Inputs'!$B$16-'Uplifters Inputs'!$B$17)</f>
        <v>0</v>
      </c>
      <c r="BW13" s="402" t="n">
        <f aca="false">SUMIFS($B$10:$CS$10,$B$5:$CS$5,BW5-'Uplifters Inputs'!$B$15-'Uplifters Inputs'!$B$16-'Uplifters Inputs'!$B$17)</f>
        <v>0</v>
      </c>
      <c r="BX13" s="402" t="n">
        <f aca="false">SUMIFS($B$10:$CS$10,$B$5:$CS$5,BX5-'Uplifters Inputs'!$B$15-'Uplifters Inputs'!$B$16-'Uplifters Inputs'!$B$17)</f>
        <v>0</v>
      </c>
      <c r="BY13" s="402" t="n">
        <f aca="false">SUMIFS($B$10:$CS$10,$B$5:$CS$5,BY5-'Uplifters Inputs'!$B$15-'Uplifters Inputs'!$B$16-'Uplifters Inputs'!$B$17)</f>
        <v>0</v>
      </c>
      <c r="BZ13" s="402" t="n">
        <f aca="false">SUMIFS($B$10:$CS$10,$B$5:$CS$5,BZ5-'Uplifters Inputs'!$B$15-'Uplifters Inputs'!$B$16-'Uplifters Inputs'!$B$17)</f>
        <v>0</v>
      </c>
      <c r="CA13" s="402" t="n">
        <f aca="false">SUMIFS($B$10:$CS$10,$B$5:$CS$5,CA5-'Uplifters Inputs'!$B$15-'Uplifters Inputs'!$B$16-'Uplifters Inputs'!$B$17)</f>
        <v>0</v>
      </c>
      <c r="CB13" s="402" t="n">
        <f aca="false">SUMIFS($B$10:$CS$10,$B$5:$CS$5,CB5-'Uplifters Inputs'!$B$15-'Uplifters Inputs'!$B$16-'Uplifters Inputs'!$B$17)</f>
        <v>0</v>
      </c>
      <c r="CC13" s="402" t="n">
        <f aca="false">SUMIFS($B$10:$CS$10,$B$5:$CS$5,CC5-'Uplifters Inputs'!$B$15-'Uplifters Inputs'!$B$16-'Uplifters Inputs'!$B$17)</f>
        <v>0</v>
      </c>
      <c r="CD13" s="402" t="n">
        <f aca="false">SUMIFS($B$10:$CS$10,$B$5:$CS$5,CD5-'Uplifters Inputs'!$B$15-'Uplifters Inputs'!$B$16-'Uplifters Inputs'!$B$17)</f>
        <v>0</v>
      </c>
      <c r="CE13" s="402" t="n">
        <f aca="false">SUMIFS($B$10:$CS$10,$B$5:$CS$5,CE5-'Uplifters Inputs'!$B$15-'Uplifters Inputs'!$B$16-'Uplifters Inputs'!$B$17)</f>
        <v>0</v>
      </c>
      <c r="CF13" s="402" t="n">
        <f aca="false">SUMIFS($B$10:$CS$10,$B$5:$CS$5,CF5-'Uplifters Inputs'!$B$15-'Uplifters Inputs'!$B$16-'Uplifters Inputs'!$B$17)</f>
        <v>0</v>
      </c>
      <c r="CG13" s="402" t="n">
        <f aca="false">SUMIFS($B$10:$CS$10,$B$5:$CS$5,CG5-'Uplifters Inputs'!$B$15-'Uplifters Inputs'!$B$16-'Uplifters Inputs'!$B$17)</f>
        <v>0</v>
      </c>
      <c r="CH13" s="402" t="n">
        <f aca="false">SUMIFS($B$10:$CS$10,$B$5:$CS$5,CH5-'Uplifters Inputs'!$B$15-'Uplifters Inputs'!$B$16-'Uplifters Inputs'!$B$17)</f>
        <v>0</v>
      </c>
      <c r="CI13" s="402" t="n">
        <f aca="false">SUMIFS($B$10:$CS$10,$B$5:$CS$5,CI5-'Uplifters Inputs'!$B$15-'Uplifters Inputs'!$B$16-'Uplifters Inputs'!$B$17)</f>
        <v>0</v>
      </c>
      <c r="CJ13" s="402" t="n">
        <f aca="false">SUMIFS($B$10:$CS$10,$B$5:$CS$5,CJ5-'Uplifters Inputs'!$B$15-'Uplifters Inputs'!$B$16-'Uplifters Inputs'!$B$17)</f>
        <v>0</v>
      </c>
      <c r="CK13" s="402" t="n">
        <f aca="false">SUMIFS($B$10:$CS$10,$B$5:$CS$5,CK5-'Uplifters Inputs'!$B$15-'Uplifters Inputs'!$B$16-'Uplifters Inputs'!$B$17)</f>
        <v>0</v>
      </c>
      <c r="CL13" s="402" t="n">
        <f aca="false">SUMIFS($B$10:$CS$10,$B$5:$CS$5,CL5-'Uplifters Inputs'!$B$15-'Uplifters Inputs'!$B$16-'Uplifters Inputs'!$B$17)</f>
        <v>0</v>
      </c>
      <c r="CM13" s="402" t="n">
        <f aca="false">SUMIFS($B$10:$CS$10,$B$5:$CS$5,CM5-'Uplifters Inputs'!$B$15-'Uplifters Inputs'!$B$16-'Uplifters Inputs'!$B$17)</f>
        <v>0</v>
      </c>
      <c r="CN13" s="402" t="n">
        <f aca="false">SUMIFS($B$10:$CS$10,$B$5:$CS$5,CN5-'Uplifters Inputs'!$B$15-'Uplifters Inputs'!$B$16-'Uplifters Inputs'!$B$17)</f>
        <v>0</v>
      </c>
      <c r="CO13" s="402" t="n">
        <f aca="false">SUMIFS($B$10:$CS$10,$B$5:$CS$5,CO5-'Uplifters Inputs'!$B$15-'Uplifters Inputs'!$B$16-'Uplifters Inputs'!$B$17)</f>
        <v>0</v>
      </c>
      <c r="CP13" s="402" t="n">
        <f aca="false">SUMIFS($B$10:$CS$10,$B$5:$CS$5,CP5-'Uplifters Inputs'!$B$15-'Uplifters Inputs'!$B$16-'Uplifters Inputs'!$B$17)</f>
        <v>0</v>
      </c>
      <c r="CQ13" s="402" t="n">
        <f aca="false">SUMIFS($B$10:$CS$10,$B$5:$CS$5,CQ5-'Uplifters Inputs'!$B$15-'Uplifters Inputs'!$B$16-'Uplifters Inputs'!$B$17)</f>
        <v>0</v>
      </c>
      <c r="CR13" s="402" t="n">
        <f aca="false">SUMIFS($B$10:$CS$10,$B$5:$CS$5,CR5-'Uplifters Inputs'!$B$15-'Uplifters Inputs'!$B$16-'Uplifters Inputs'!$B$17)</f>
        <v>0</v>
      </c>
      <c r="CS13" s="402" t="n">
        <f aca="false">SUMIFS($B$10:$CS$10,$B$5:$CS$5,CS5-'Uplifters Inputs'!$B$15-'Uplifters Inputs'!$B$16-'Uplifters Inputs'!$B$17)</f>
        <v>0</v>
      </c>
    </row>
    <row r="14" customFormat="false" ht="15" hidden="false" customHeight="true" outlineLevel="0" collapsed="false">
      <c r="A14" s="123" t="s">
        <v>1413</v>
      </c>
      <c r="B14" s="402" t="n">
        <f aca="false">SUMIFS($B$10:$CS$10,$B$5:$CS$5,B5-'Uplifters Inputs'!$B$15-'Uplifters Inputs'!$B$16)</f>
        <v>0</v>
      </c>
      <c r="C14" s="402" t="n">
        <f aca="false">SUMIFS($B$10:$CS$10,$B$5:$CS$5,C5-'Uplifters Inputs'!$B$15-'Uplifters Inputs'!$B$16)</f>
        <v>0</v>
      </c>
      <c r="D14" s="402" t="n">
        <f aca="false">SUMIFS($B$10:$CS$10,$B$5:$CS$5,D5-'Uplifters Inputs'!$B$15-'Uplifters Inputs'!$B$16)</f>
        <v>0</v>
      </c>
      <c r="E14" s="402" t="n">
        <f aca="false">SUMIFS($B$10:$CS$10,$B$5:$CS$5,E5-'Uplifters Inputs'!$B$15-'Uplifters Inputs'!$B$16)</f>
        <v>0</v>
      </c>
      <c r="F14" s="402" t="n">
        <f aca="false">SUMIFS($B$10:$CS$10,$B$5:$CS$5,F5-'Uplifters Inputs'!$B$15-'Uplifters Inputs'!$B$16)</f>
        <v>0</v>
      </c>
      <c r="G14" s="402" t="n">
        <f aca="false">SUMIFS($B$10:$CS$10,$B$5:$CS$5,G5-'Uplifters Inputs'!$B$15-'Uplifters Inputs'!$B$16)</f>
        <v>0</v>
      </c>
      <c r="H14" s="402" t="n">
        <f aca="false">SUMIFS($B$10:$CS$10,$B$5:$CS$5,H5-'Uplifters Inputs'!$B$15-'Uplifters Inputs'!$B$16)</f>
        <v>0</v>
      </c>
      <c r="I14" s="402" t="n">
        <f aca="false">SUMIFS($B$10:$CS$10,$B$5:$CS$5,I5-'Uplifters Inputs'!$B$15-'Uplifters Inputs'!$B$16)</f>
        <v>0</v>
      </c>
      <c r="J14" s="402" t="n">
        <f aca="false">SUMIFS($B$10:$CS$10,$B$5:$CS$5,J5-'Uplifters Inputs'!$B$15-'Uplifters Inputs'!$B$16)</f>
        <v>0</v>
      </c>
      <c r="K14" s="402" t="n">
        <f aca="false">SUMIFS($B$10:$CS$10,$B$5:$CS$5,K5-'Uplifters Inputs'!$B$15-'Uplifters Inputs'!$B$16)</f>
        <v>0</v>
      </c>
      <c r="L14" s="402" t="n">
        <f aca="false">SUMIFS($B$10:$CS$10,$B$5:$CS$5,L5-'Uplifters Inputs'!$B$15-'Uplifters Inputs'!$B$16)</f>
        <v>0</v>
      </c>
      <c r="M14" s="402" t="n">
        <f aca="false">SUMIFS($B$10:$CS$10,$B$5:$CS$5,M5-'Uplifters Inputs'!$B$15-'Uplifters Inputs'!$B$16)</f>
        <v>0</v>
      </c>
      <c r="N14" s="402" t="n">
        <f aca="false">SUMIFS($B$10:$CS$10,$B$5:$CS$5,N5-'Uplifters Inputs'!$B$15-'Uplifters Inputs'!$B$16)</f>
        <v>0</v>
      </c>
      <c r="O14" s="402" t="n">
        <f aca="false">SUMIFS($B$10:$CS$10,$B$5:$CS$5,O5-'Uplifters Inputs'!$B$15-'Uplifters Inputs'!$B$16)</f>
        <v>0</v>
      </c>
      <c r="P14" s="402" t="n">
        <f aca="false">SUMIFS($B$10:$CS$10,$B$5:$CS$5,P5-'Uplifters Inputs'!$B$15-'Uplifters Inputs'!$B$16)</f>
        <v>0</v>
      </c>
      <c r="Q14" s="402" t="n">
        <f aca="false">SUMIFS($B$10:$CS$10,$B$5:$CS$5,Q5-'Uplifters Inputs'!$B$15-'Uplifters Inputs'!$B$16)</f>
        <v>0</v>
      </c>
      <c r="R14" s="402" t="n">
        <f aca="false">SUMIFS($B$10:$CS$10,$B$5:$CS$5,R5-'Uplifters Inputs'!$B$15-'Uplifters Inputs'!$B$16)</f>
        <v>0</v>
      </c>
      <c r="S14" s="402" t="n">
        <f aca="false">SUMIFS($B$10:$CS$10,$B$5:$CS$5,S5-'Uplifters Inputs'!$B$15-'Uplifters Inputs'!$B$16)</f>
        <v>0</v>
      </c>
      <c r="T14" s="402" t="n">
        <f aca="false">SUMIFS($B$10:$CS$10,$B$5:$CS$5,T5-'Uplifters Inputs'!$B$15-'Uplifters Inputs'!$B$16)</f>
        <v>0</v>
      </c>
      <c r="U14" s="402" t="n">
        <f aca="false">SUMIFS($B$10:$CS$10,$B$5:$CS$5,U5-'Uplifters Inputs'!$B$15-'Uplifters Inputs'!$B$16)</f>
        <v>0</v>
      </c>
      <c r="V14" s="402" t="n">
        <f aca="false">SUMIFS($B$10:$CS$10,$B$5:$CS$5,V5-'Uplifters Inputs'!$B$15-'Uplifters Inputs'!$B$16)</f>
        <v>0</v>
      </c>
      <c r="W14" s="402" t="n">
        <f aca="false">SUMIFS($B$10:$CS$10,$B$5:$CS$5,W5-'Uplifters Inputs'!$B$15-'Uplifters Inputs'!$B$16)</f>
        <v>0</v>
      </c>
      <c r="X14" s="402" t="n">
        <f aca="false">SUMIFS($B$10:$CS$10,$B$5:$CS$5,X5-'Uplifters Inputs'!$B$15-'Uplifters Inputs'!$B$16)</f>
        <v>0</v>
      </c>
      <c r="Y14" s="402" t="n">
        <f aca="false">SUMIFS($B$10:$CS$10,$B$5:$CS$5,Y5-'Uplifters Inputs'!$B$15-'Uplifters Inputs'!$B$16)</f>
        <v>0</v>
      </c>
      <c r="Z14" s="402" t="n">
        <f aca="false">SUMIFS($B$10:$CS$10,$B$5:$CS$5,Z5-'Uplifters Inputs'!$B$15-'Uplifters Inputs'!$B$16)</f>
        <v>0</v>
      </c>
      <c r="AA14" s="402" t="n">
        <f aca="false">SUMIFS($B$10:$CS$10,$B$5:$CS$5,AA5-'Uplifters Inputs'!$B$15-'Uplifters Inputs'!$B$16)</f>
        <v>0</v>
      </c>
      <c r="AB14" s="402" t="n">
        <f aca="false">SUMIFS($B$10:$CS$10,$B$5:$CS$5,AB5-'Uplifters Inputs'!$B$15-'Uplifters Inputs'!$B$16)</f>
        <v>0</v>
      </c>
      <c r="AC14" s="402" t="n">
        <f aca="false">SUMIFS($B$10:$CS$10,$B$5:$CS$5,AC5-'Uplifters Inputs'!$B$15-'Uplifters Inputs'!$B$16)</f>
        <v>0</v>
      </c>
      <c r="AD14" s="402" t="n">
        <f aca="false">SUMIFS($B$10:$CS$10,$B$5:$CS$5,AD5-'Uplifters Inputs'!$B$15-'Uplifters Inputs'!$B$16)</f>
        <v>0</v>
      </c>
      <c r="AE14" s="402" t="n">
        <f aca="false">SUMIFS($B$10:$CS$10,$B$5:$CS$5,AE5-'Uplifters Inputs'!$B$15-'Uplifters Inputs'!$B$16)</f>
        <v>0</v>
      </c>
      <c r="AF14" s="402" t="n">
        <f aca="false">SUMIFS($B$10:$CS$10,$B$5:$CS$5,AF5-'Uplifters Inputs'!$B$15-'Uplifters Inputs'!$B$16)</f>
        <v>0</v>
      </c>
      <c r="AG14" s="402" t="n">
        <f aca="false">SUMIFS($B$10:$CS$10,$B$5:$CS$5,AG5-'Uplifters Inputs'!$B$15-'Uplifters Inputs'!$B$16)</f>
        <v>1</v>
      </c>
      <c r="AH14" s="402" t="n">
        <f aca="false">SUMIFS($B$10:$CS$10,$B$5:$CS$5,AH5-'Uplifters Inputs'!$B$15-'Uplifters Inputs'!$B$16)</f>
        <v>2</v>
      </c>
      <c r="AI14" s="402" t="n">
        <f aca="false">SUMIFS($B$10:$CS$10,$B$5:$CS$5,AI5-'Uplifters Inputs'!$B$15-'Uplifters Inputs'!$B$16)</f>
        <v>3</v>
      </c>
      <c r="AJ14" s="402" t="n">
        <f aca="false">SUMIFS($B$10:$CS$10,$B$5:$CS$5,AJ5-'Uplifters Inputs'!$B$15-'Uplifters Inputs'!$B$16)</f>
        <v>4</v>
      </c>
      <c r="AK14" s="402" t="n">
        <f aca="false">SUMIFS($B$10:$CS$10,$B$5:$CS$5,AK5-'Uplifters Inputs'!$B$15-'Uplifters Inputs'!$B$16)</f>
        <v>5</v>
      </c>
      <c r="AL14" s="402" t="n">
        <f aca="false">SUMIFS($B$10:$CS$10,$B$5:$CS$5,AL5-'Uplifters Inputs'!$B$15-'Uplifters Inputs'!$B$16)</f>
        <v>5</v>
      </c>
      <c r="AM14" s="402" t="n">
        <f aca="false">SUMIFS($B$10:$CS$10,$B$5:$CS$5,AM5-'Uplifters Inputs'!$B$15-'Uplifters Inputs'!$B$16)</f>
        <v>5</v>
      </c>
      <c r="AN14" s="402" t="n">
        <f aca="false">SUMIFS($B$10:$CS$10,$B$5:$CS$5,AN5-'Uplifters Inputs'!$B$15-'Uplifters Inputs'!$B$16)</f>
        <v>5</v>
      </c>
      <c r="AO14" s="402" t="n">
        <f aca="false">SUMIFS($B$10:$CS$10,$B$5:$CS$5,AO5-'Uplifters Inputs'!$B$15-'Uplifters Inputs'!$B$16)</f>
        <v>4</v>
      </c>
      <c r="AP14" s="402" t="n">
        <f aca="false">SUMIFS($B$10:$CS$10,$B$5:$CS$5,AP5-'Uplifters Inputs'!$B$15-'Uplifters Inputs'!$B$16)</f>
        <v>4</v>
      </c>
      <c r="AQ14" s="402" t="n">
        <f aca="false">SUMIFS($B$10:$CS$10,$B$5:$CS$5,AQ5-'Uplifters Inputs'!$B$15-'Uplifters Inputs'!$B$16)</f>
        <v>3</v>
      </c>
      <c r="AR14" s="402" t="n">
        <f aca="false">SUMIFS($B$10:$CS$10,$B$5:$CS$5,AR5-'Uplifters Inputs'!$B$15-'Uplifters Inputs'!$B$16)</f>
        <v>3</v>
      </c>
      <c r="AS14" s="402" t="n">
        <f aca="false">SUMIFS($B$10:$CS$10,$B$5:$CS$5,AS5-'Uplifters Inputs'!$B$15-'Uplifters Inputs'!$B$16)</f>
        <v>2</v>
      </c>
      <c r="AT14" s="402" t="n">
        <f aca="false">SUMIFS($B$10:$CS$10,$B$5:$CS$5,AT5-'Uplifters Inputs'!$B$15-'Uplifters Inputs'!$B$16)</f>
        <v>2</v>
      </c>
      <c r="AU14" s="402" t="n">
        <f aca="false">SUMIFS($B$10:$CS$10,$B$5:$CS$5,AU5-'Uplifters Inputs'!$B$15-'Uplifters Inputs'!$B$16)</f>
        <v>2</v>
      </c>
      <c r="AV14" s="402" t="n">
        <f aca="false">SUMIFS($B$10:$CS$10,$B$5:$CS$5,AV5-'Uplifters Inputs'!$B$15-'Uplifters Inputs'!$B$16)</f>
        <v>2</v>
      </c>
      <c r="AW14" s="402" t="n">
        <f aca="false">SUMIFS($B$10:$CS$10,$B$5:$CS$5,AW5-'Uplifters Inputs'!$B$15-'Uplifters Inputs'!$B$16)</f>
        <v>1</v>
      </c>
      <c r="AX14" s="402" t="n">
        <f aca="false">SUMIFS($B$10:$CS$10,$B$5:$CS$5,AX5-'Uplifters Inputs'!$B$15-'Uplifters Inputs'!$B$16)</f>
        <v>1</v>
      </c>
      <c r="AY14" s="402" t="n">
        <f aca="false">SUMIFS($B$10:$CS$10,$B$5:$CS$5,AY5-'Uplifters Inputs'!$B$15-'Uplifters Inputs'!$B$16)</f>
        <v>1</v>
      </c>
      <c r="AZ14" s="402" t="n">
        <f aca="false">SUMIFS($B$10:$CS$10,$B$5:$CS$5,AZ5-'Uplifters Inputs'!$B$15-'Uplifters Inputs'!$B$16)</f>
        <v>1</v>
      </c>
      <c r="BA14" s="402" t="n">
        <f aca="false">SUMIFS($B$10:$CS$10,$B$5:$CS$5,BA5-'Uplifters Inputs'!$B$15-'Uplifters Inputs'!$B$16)</f>
        <v>1</v>
      </c>
      <c r="BB14" s="402" t="n">
        <f aca="false">SUMIFS($B$10:$CS$10,$B$5:$CS$5,BB5-'Uplifters Inputs'!$B$15-'Uplifters Inputs'!$B$16)</f>
        <v>1</v>
      </c>
      <c r="BC14" s="402" t="n">
        <f aca="false">SUMIFS($B$10:$CS$10,$B$5:$CS$5,BC5-'Uplifters Inputs'!$B$15-'Uplifters Inputs'!$B$16)</f>
        <v>1</v>
      </c>
      <c r="BD14" s="402" t="n">
        <f aca="false">SUMIFS($B$10:$CS$10,$B$5:$CS$5,BD5-'Uplifters Inputs'!$B$15-'Uplifters Inputs'!$B$16)</f>
        <v>1</v>
      </c>
      <c r="BE14" s="402" t="n">
        <f aca="false">SUMIFS($B$10:$CS$10,$B$5:$CS$5,BE5-'Uplifters Inputs'!$B$15-'Uplifters Inputs'!$B$16)</f>
        <v>0</v>
      </c>
      <c r="BF14" s="402" t="n">
        <f aca="false">SUMIFS($B$10:$CS$10,$B$5:$CS$5,BF5-'Uplifters Inputs'!$B$15-'Uplifters Inputs'!$B$16)</f>
        <v>0</v>
      </c>
      <c r="BG14" s="402" t="n">
        <f aca="false">SUMIFS($B$10:$CS$10,$B$5:$CS$5,BG5-'Uplifters Inputs'!$B$15-'Uplifters Inputs'!$B$16)</f>
        <v>0</v>
      </c>
      <c r="BH14" s="402" t="n">
        <f aca="false">SUMIFS($B$10:$CS$10,$B$5:$CS$5,BH5-'Uplifters Inputs'!$B$15-'Uplifters Inputs'!$B$16)</f>
        <v>0</v>
      </c>
      <c r="BI14" s="402" t="n">
        <f aca="false">SUMIFS($B$10:$CS$10,$B$5:$CS$5,BI5-'Uplifters Inputs'!$B$15-'Uplifters Inputs'!$B$16)</f>
        <v>0</v>
      </c>
      <c r="BJ14" s="402" t="n">
        <f aca="false">SUMIFS($B$10:$CS$10,$B$5:$CS$5,BJ5-'Uplifters Inputs'!$B$15-'Uplifters Inputs'!$B$16)</f>
        <v>0</v>
      </c>
      <c r="BK14" s="402" t="n">
        <f aca="false">SUMIFS($B$10:$CS$10,$B$5:$CS$5,BK5-'Uplifters Inputs'!$B$15-'Uplifters Inputs'!$B$16)</f>
        <v>0</v>
      </c>
      <c r="BL14" s="402" t="n">
        <f aca="false">SUMIFS($B$10:$CS$10,$B$5:$CS$5,BL5-'Uplifters Inputs'!$B$15-'Uplifters Inputs'!$B$16)</f>
        <v>0</v>
      </c>
      <c r="BM14" s="402" t="n">
        <f aca="false">SUMIFS($B$10:$CS$10,$B$5:$CS$5,BM5-'Uplifters Inputs'!$B$15-'Uplifters Inputs'!$B$16)</f>
        <v>0</v>
      </c>
      <c r="BN14" s="402" t="n">
        <f aca="false">SUMIFS($B$10:$CS$10,$B$5:$CS$5,BN5-'Uplifters Inputs'!$B$15-'Uplifters Inputs'!$B$16)</f>
        <v>0</v>
      </c>
      <c r="BO14" s="402" t="n">
        <f aca="false">SUMIFS($B$10:$CS$10,$B$5:$CS$5,BO5-'Uplifters Inputs'!$B$15-'Uplifters Inputs'!$B$16)</f>
        <v>0</v>
      </c>
      <c r="BP14" s="402" t="n">
        <f aca="false">SUMIFS($B$10:$CS$10,$B$5:$CS$5,BP5-'Uplifters Inputs'!$B$15-'Uplifters Inputs'!$B$16)</f>
        <v>0</v>
      </c>
      <c r="BQ14" s="402" t="n">
        <f aca="false">SUMIFS($B$10:$CS$10,$B$5:$CS$5,BQ5-'Uplifters Inputs'!$B$15-'Uplifters Inputs'!$B$16)</f>
        <v>0</v>
      </c>
      <c r="BR14" s="402" t="n">
        <f aca="false">SUMIFS($B$10:$CS$10,$B$5:$CS$5,BR5-'Uplifters Inputs'!$B$15-'Uplifters Inputs'!$B$16)</f>
        <v>0</v>
      </c>
      <c r="BS14" s="402" t="n">
        <f aca="false">SUMIFS($B$10:$CS$10,$B$5:$CS$5,BS5-'Uplifters Inputs'!$B$15-'Uplifters Inputs'!$B$16)</f>
        <v>0</v>
      </c>
      <c r="BT14" s="402" t="n">
        <f aca="false">SUMIFS($B$10:$CS$10,$B$5:$CS$5,BT5-'Uplifters Inputs'!$B$15-'Uplifters Inputs'!$B$16)</f>
        <v>0</v>
      </c>
      <c r="BU14" s="402" t="n">
        <f aca="false">SUMIFS($B$10:$CS$10,$B$5:$CS$5,BU5-'Uplifters Inputs'!$B$15-'Uplifters Inputs'!$B$16)</f>
        <v>0</v>
      </c>
      <c r="BV14" s="402" t="n">
        <f aca="false">SUMIFS($B$10:$CS$10,$B$5:$CS$5,BV5-'Uplifters Inputs'!$B$15-'Uplifters Inputs'!$B$16)</f>
        <v>0</v>
      </c>
      <c r="BW14" s="402" t="n">
        <f aca="false">SUMIFS($B$10:$CS$10,$B$5:$CS$5,BW5-'Uplifters Inputs'!$B$15-'Uplifters Inputs'!$B$16)</f>
        <v>0</v>
      </c>
      <c r="BX14" s="402" t="n">
        <f aca="false">SUMIFS($B$10:$CS$10,$B$5:$CS$5,BX5-'Uplifters Inputs'!$B$15-'Uplifters Inputs'!$B$16)</f>
        <v>0</v>
      </c>
      <c r="BY14" s="402" t="n">
        <f aca="false">SUMIFS($B$10:$CS$10,$B$5:$CS$5,BY5-'Uplifters Inputs'!$B$15-'Uplifters Inputs'!$B$16)</f>
        <v>0</v>
      </c>
      <c r="BZ14" s="402" t="n">
        <f aca="false">SUMIFS($B$10:$CS$10,$B$5:$CS$5,BZ5-'Uplifters Inputs'!$B$15-'Uplifters Inputs'!$B$16)</f>
        <v>0</v>
      </c>
      <c r="CA14" s="402" t="n">
        <f aca="false">SUMIFS($B$10:$CS$10,$B$5:$CS$5,CA5-'Uplifters Inputs'!$B$15-'Uplifters Inputs'!$B$16)</f>
        <v>0</v>
      </c>
      <c r="CB14" s="402" t="n">
        <f aca="false">SUMIFS($B$10:$CS$10,$B$5:$CS$5,CB5-'Uplifters Inputs'!$B$15-'Uplifters Inputs'!$B$16)</f>
        <v>0</v>
      </c>
      <c r="CC14" s="402" t="n">
        <f aca="false">SUMIFS($B$10:$CS$10,$B$5:$CS$5,CC5-'Uplifters Inputs'!$B$15-'Uplifters Inputs'!$B$16)</f>
        <v>0</v>
      </c>
      <c r="CD14" s="402" t="n">
        <f aca="false">SUMIFS($B$10:$CS$10,$B$5:$CS$5,CD5-'Uplifters Inputs'!$B$15-'Uplifters Inputs'!$B$16)</f>
        <v>0</v>
      </c>
      <c r="CE14" s="402" t="n">
        <f aca="false">SUMIFS($B$10:$CS$10,$B$5:$CS$5,CE5-'Uplifters Inputs'!$B$15-'Uplifters Inputs'!$B$16)</f>
        <v>0</v>
      </c>
      <c r="CF14" s="402" t="n">
        <f aca="false">SUMIFS($B$10:$CS$10,$B$5:$CS$5,CF5-'Uplifters Inputs'!$B$15-'Uplifters Inputs'!$B$16)</f>
        <v>0</v>
      </c>
      <c r="CG14" s="402" t="n">
        <f aca="false">SUMIFS($B$10:$CS$10,$B$5:$CS$5,CG5-'Uplifters Inputs'!$B$15-'Uplifters Inputs'!$B$16)</f>
        <v>0</v>
      </c>
      <c r="CH14" s="402" t="n">
        <f aca="false">SUMIFS($B$10:$CS$10,$B$5:$CS$5,CH5-'Uplifters Inputs'!$B$15-'Uplifters Inputs'!$B$16)</f>
        <v>0</v>
      </c>
      <c r="CI14" s="402" t="n">
        <f aca="false">SUMIFS($B$10:$CS$10,$B$5:$CS$5,CI5-'Uplifters Inputs'!$B$15-'Uplifters Inputs'!$B$16)</f>
        <v>0</v>
      </c>
      <c r="CJ14" s="402" t="n">
        <f aca="false">SUMIFS($B$10:$CS$10,$B$5:$CS$5,CJ5-'Uplifters Inputs'!$B$15-'Uplifters Inputs'!$B$16)</f>
        <v>0</v>
      </c>
      <c r="CK14" s="402" t="n">
        <f aca="false">SUMIFS($B$10:$CS$10,$B$5:$CS$5,CK5-'Uplifters Inputs'!$B$15-'Uplifters Inputs'!$B$16)</f>
        <v>0</v>
      </c>
      <c r="CL14" s="402" t="n">
        <f aca="false">SUMIFS($B$10:$CS$10,$B$5:$CS$5,CL5-'Uplifters Inputs'!$B$15-'Uplifters Inputs'!$B$16)</f>
        <v>0</v>
      </c>
      <c r="CM14" s="402" t="n">
        <f aca="false">SUMIFS($B$10:$CS$10,$B$5:$CS$5,CM5-'Uplifters Inputs'!$B$15-'Uplifters Inputs'!$B$16)</f>
        <v>0</v>
      </c>
      <c r="CN14" s="402" t="n">
        <f aca="false">SUMIFS($B$10:$CS$10,$B$5:$CS$5,CN5-'Uplifters Inputs'!$B$15-'Uplifters Inputs'!$B$16)</f>
        <v>0</v>
      </c>
      <c r="CO14" s="402" t="n">
        <f aca="false">SUMIFS($B$10:$CS$10,$B$5:$CS$5,CO5-'Uplifters Inputs'!$B$15-'Uplifters Inputs'!$B$16)</f>
        <v>0</v>
      </c>
      <c r="CP14" s="402" t="n">
        <f aca="false">SUMIFS($B$10:$CS$10,$B$5:$CS$5,CP5-'Uplifters Inputs'!$B$15-'Uplifters Inputs'!$B$16)</f>
        <v>0</v>
      </c>
      <c r="CQ14" s="402" t="n">
        <f aca="false">SUMIFS($B$10:$CS$10,$B$5:$CS$5,CQ5-'Uplifters Inputs'!$B$15-'Uplifters Inputs'!$B$16)</f>
        <v>0</v>
      </c>
      <c r="CR14" s="402" t="n">
        <f aca="false">SUMIFS($B$10:$CS$10,$B$5:$CS$5,CR5-'Uplifters Inputs'!$B$15-'Uplifters Inputs'!$B$16)</f>
        <v>0</v>
      </c>
      <c r="CS14" s="402" t="n">
        <f aca="false">SUMIFS($B$10:$CS$10,$B$5:$CS$5,CS5-'Uplifters Inputs'!$B$15-'Uplifters Inputs'!$B$16)</f>
        <v>0</v>
      </c>
    </row>
    <row r="15" customFormat="false" ht="15" hidden="false" customHeight="true" outlineLevel="0" collapsed="false">
      <c r="A15" s="386" t="s">
        <v>1414</v>
      </c>
    </row>
    <row r="16" customFormat="false" ht="15" hidden="false" customHeight="true" outlineLevel="0" collapsed="false">
      <c r="A16" s="123" t="s">
        <v>1415</v>
      </c>
      <c r="B16" s="124" t="n">
        <f aca="false">B10*'Uplifters Inputs'!$B$10</f>
        <v>0</v>
      </c>
      <c r="C16" s="124" t="n">
        <f aca="false">C10*'Uplifters Inputs'!$B$10</f>
        <v>0</v>
      </c>
      <c r="D16" s="124" t="n">
        <f aca="false">D10*'Uplifters Inputs'!$B$10</f>
        <v>0</v>
      </c>
      <c r="E16" s="124" t="n">
        <f aca="false">E10*'Uplifters Inputs'!$B$10</f>
        <v>0</v>
      </c>
      <c r="F16" s="124" t="n">
        <f aca="false">F10*'Uplifters Inputs'!$B$10</f>
        <v>0</v>
      </c>
      <c r="G16" s="124" t="n">
        <f aca="false">G10*'Uplifters Inputs'!$B$10</f>
        <v>0</v>
      </c>
      <c r="H16" s="124" t="n">
        <f aca="false">H10*'Uplifters Inputs'!$B$10</f>
        <v>0</v>
      </c>
      <c r="I16" s="124" t="n">
        <f aca="false">I10*'Uplifters Inputs'!$B$10</f>
        <v>0</v>
      </c>
      <c r="J16" s="124" t="n">
        <f aca="false">J10*'Uplifters Inputs'!$B$10</f>
        <v>0</v>
      </c>
      <c r="K16" s="124" t="n">
        <f aca="false">K10*'Uplifters Inputs'!$B$10</f>
        <v>0</v>
      </c>
      <c r="L16" s="124" t="n">
        <f aca="false">L10*'Uplifters Inputs'!$B$10</f>
        <v>0</v>
      </c>
      <c r="M16" s="124" t="n">
        <f aca="false">M10*'Uplifters Inputs'!$B$10</f>
        <v>0</v>
      </c>
      <c r="N16" s="124" t="n">
        <f aca="false">N10*'Uplifters Inputs'!$B$10</f>
        <v>0</v>
      </c>
      <c r="O16" s="124" t="n">
        <f aca="false">O10*'Uplifters Inputs'!$B$10</f>
        <v>0</v>
      </c>
      <c r="P16" s="124" t="n">
        <f aca="false">P10*'Uplifters Inputs'!$B$10</f>
        <v>0</v>
      </c>
      <c r="Q16" s="124" t="n">
        <f aca="false">Q10*'Uplifters Inputs'!$B$10</f>
        <v>14000</v>
      </c>
      <c r="R16" s="124" t="n">
        <f aca="false">R10*'Uplifters Inputs'!$B$10</f>
        <v>28000</v>
      </c>
      <c r="S16" s="124" t="n">
        <f aca="false">S10*'Uplifters Inputs'!$B$10</f>
        <v>42000</v>
      </c>
      <c r="T16" s="124" t="n">
        <f aca="false">T10*'Uplifters Inputs'!$B$10</f>
        <v>56000</v>
      </c>
      <c r="U16" s="124" t="n">
        <f aca="false">U10*'Uplifters Inputs'!$B$10</f>
        <v>70000</v>
      </c>
      <c r="V16" s="124" t="n">
        <f aca="false">V10*'Uplifters Inputs'!$B$10</f>
        <v>70000</v>
      </c>
      <c r="W16" s="124" t="n">
        <f aca="false">W10*'Uplifters Inputs'!$B$10</f>
        <v>70000</v>
      </c>
      <c r="X16" s="124" t="n">
        <f aca="false">X10*'Uplifters Inputs'!$B$10</f>
        <v>70000</v>
      </c>
      <c r="Y16" s="124" t="n">
        <f aca="false">Y10*'Uplifters Inputs'!$B$10</f>
        <v>56000</v>
      </c>
      <c r="Z16" s="124" t="n">
        <f aca="false">Z10*'Uplifters Inputs'!$B$10</f>
        <v>56000</v>
      </c>
      <c r="AA16" s="124" t="n">
        <f aca="false">AA10*'Uplifters Inputs'!$B$10</f>
        <v>42000</v>
      </c>
      <c r="AB16" s="124" t="n">
        <f aca="false">AB10*'Uplifters Inputs'!$B$10</f>
        <v>42000</v>
      </c>
      <c r="AC16" s="124" t="n">
        <f aca="false">AC10*'Uplifters Inputs'!$B$10</f>
        <v>28000</v>
      </c>
      <c r="AD16" s="124" t="n">
        <f aca="false">AD10*'Uplifters Inputs'!$B$10</f>
        <v>28000</v>
      </c>
      <c r="AE16" s="124" t="n">
        <f aca="false">AE10*'Uplifters Inputs'!$B$10</f>
        <v>28000</v>
      </c>
      <c r="AF16" s="124" t="n">
        <f aca="false">AF10*'Uplifters Inputs'!$B$10</f>
        <v>28000</v>
      </c>
      <c r="AG16" s="124" t="n">
        <f aca="false">AG10*'Uplifters Inputs'!$B$10</f>
        <v>14000</v>
      </c>
      <c r="AH16" s="124" t="n">
        <f aca="false">AH10*'Uplifters Inputs'!$B$10</f>
        <v>14000</v>
      </c>
      <c r="AI16" s="124" t="n">
        <f aca="false">AI10*'Uplifters Inputs'!$B$10</f>
        <v>14000</v>
      </c>
      <c r="AJ16" s="124" t="n">
        <f aca="false">AJ10*'Uplifters Inputs'!$B$10</f>
        <v>14000</v>
      </c>
      <c r="AK16" s="124" t="n">
        <f aca="false">AK10*'Uplifters Inputs'!$B$10</f>
        <v>14000</v>
      </c>
      <c r="AL16" s="124" t="n">
        <f aca="false">AL10*'Uplifters Inputs'!$B$10</f>
        <v>14000</v>
      </c>
      <c r="AM16" s="124" t="n">
        <f aca="false">AM10*'Uplifters Inputs'!$B$10</f>
        <v>14000</v>
      </c>
      <c r="AN16" s="124" t="n">
        <f aca="false">AN10*'Uplifters Inputs'!$B$10</f>
        <v>14000</v>
      </c>
      <c r="AO16" s="124" t="n">
        <f aca="false">AO10*'Uplifters Inputs'!$B$10</f>
        <v>0</v>
      </c>
      <c r="AP16" s="124" t="n">
        <f aca="false">AP10*'Uplifters Inputs'!$B$10</f>
        <v>0</v>
      </c>
      <c r="AQ16" s="124" t="n">
        <f aca="false">AQ10*'Uplifters Inputs'!$B$10</f>
        <v>0</v>
      </c>
      <c r="AR16" s="124" t="n">
        <f aca="false">AR10*'Uplifters Inputs'!$B$10</f>
        <v>0</v>
      </c>
      <c r="AS16" s="124" t="n">
        <f aca="false">AS10*'Uplifters Inputs'!$B$10</f>
        <v>0</v>
      </c>
      <c r="AT16" s="124" t="n">
        <f aca="false">AT10*'Uplifters Inputs'!$B$10</f>
        <v>0</v>
      </c>
      <c r="AU16" s="124" t="n">
        <f aca="false">AU10*'Uplifters Inputs'!$B$10</f>
        <v>0</v>
      </c>
      <c r="AV16" s="124" t="n">
        <f aca="false">AV10*'Uplifters Inputs'!$B$10</f>
        <v>0</v>
      </c>
      <c r="AW16" s="124" t="n">
        <f aca="false">AW10*'Uplifters Inputs'!$B$10</f>
        <v>0</v>
      </c>
      <c r="AX16" s="124" t="n">
        <f aca="false">AX10*'Uplifters Inputs'!$B$10</f>
        <v>0</v>
      </c>
      <c r="AY16" s="124" t="n">
        <f aca="false">AY10*'Uplifters Inputs'!$B$10</f>
        <v>0</v>
      </c>
      <c r="AZ16" s="124" t="n">
        <f aca="false">AZ10*'Uplifters Inputs'!$B$10</f>
        <v>0</v>
      </c>
      <c r="BA16" s="124" t="n">
        <f aca="false">BA10*'Uplifters Inputs'!$B$10</f>
        <v>0</v>
      </c>
      <c r="BB16" s="124" t="n">
        <f aca="false">BB10*'Uplifters Inputs'!$B$10</f>
        <v>0</v>
      </c>
      <c r="BC16" s="124" t="n">
        <f aca="false">BC10*'Uplifters Inputs'!$B$10</f>
        <v>0</v>
      </c>
      <c r="BD16" s="124" t="n">
        <f aca="false">BD10*'Uplifters Inputs'!$B$10</f>
        <v>0</v>
      </c>
      <c r="BE16" s="124" t="n">
        <f aca="false">BE10*'Uplifters Inputs'!$B$10</f>
        <v>0</v>
      </c>
      <c r="BF16" s="124" t="n">
        <f aca="false">BF10*'Uplifters Inputs'!$B$10</f>
        <v>0</v>
      </c>
      <c r="BG16" s="124" t="n">
        <f aca="false">BG10*'Uplifters Inputs'!$B$10</f>
        <v>0</v>
      </c>
      <c r="BH16" s="124" t="n">
        <f aca="false">BH10*'Uplifters Inputs'!$B$10</f>
        <v>0</v>
      </c>
      <c r="BI16" s="124" t="n">
        <f aca="false">BI10*'Uplifters Inputs'!$B$10</f>
        <v>0</v>
      </c>
      <c r="BJ16" s="124" t="n">
        <f aca="false">BJ10*'Uplifters Inputs'!$B$10</f>
        <v>0</v>
      </c>
      <c r="BK16" s="124" t="n">
        <f aca="false">BK10*'Uplifters Inputs'!$B$10</f>
        <v>0</v>
      </c>
      <c r="BL16" s="124" t="n">
        <f aca="false">BL10*'Uplifters Inputs'!$B$10</f>
        <v>0</v>
      </c>
      <c r="BM16" s="124" t="n">
        <f aca="false">BM10*'Uplifters Inputs'!$B$10</f>
        <v>0</v>
      </c>
      <c r="BN16" s="124" t="n">
        <f aca="false">BN10*'Uplifters Inputs'!$B$10</f>
        <v>0</v>
      </c>
      <c r="BO16" s="124" t="n">
        <f aca="false">BO10*'Uplifters Inputs'!$B$10</f>
        <v>0</v>
      </c>
      <c r="BP16" s="124" t="n">
        <f aca="false">BP10*'Uplifters Inputs'!$B$10</f>
        <v>0</v>
      </c>
      <c r="BQ16" s="124" t="n">
        <f aca="false">BQ10*'Uplifters Inputs'!$B$10</f>
        <v>0</v>
      </c>
      <c r="BR16" s="124" t="n">
        <f aca="false">BR10*'Uplifters Inputs'!$B$10</f>
        <v>0</v>
      </c>
      <c r="BS16" s="124" t="n">
        <f aca="false">BS10*'Uplifters Inputs'!$B$10</f>
        <v>0</v>
      </c>
      <c r="BT16" s="124" t="n">
        <f aca="false">BT10*'Uplifters Inputs'!$B$10</f>
        <v>0</v>
      </c>
      <c r="BU16" s="124" t="n">
        <f aca="false">BU10*'Uplifters Inputs'!$B$10</f>
        <v>0</v>
      </c>
      <c r="BV16" s="124" t="n">
        <f aca="false">BV10*'Uplifters Inputs'!$B$10</f>
        <v>0</v>
      </c>
      <c r="BW16" s="124" t="n">
        <f aca="false">BW10*'Uplifters Inputs'!$B$10</f>
        <v>0</v>
      </c>
      <c r="BX16" s="124" t="n">
        <f aca="false">BX10*'Uplifters Inputs'!$B$10</f>
        <v>0</v>
      </c>
      <c r="BY16" s="124" t="n">
        <f aca="false">BY10*'Uplifters Inputs'!$B$10</f>
        <v>0</v>
      </c>
      <c r="BZ16" s="124" t="n">
        <f aca="false">BZ10*'Uplifters Inputs'!$B$10</f>
        <v>0</v>
      </c>
      <c r="CA16" s="124" t="n">
        <f aca="false">CA10*'Uplifters Inputs'!$B$10</f>
        <v>0</v>
      </c>
      <c r="CB16" s="124" t="n">
        <f aca="false">CB10*'Uplifters Inputs'!$B$10</f>
        <v>0</v>
      </c>
      <c r="CC16" s="124" t="n">
        <f aca="false">CC10*'Uplifters Inputs'!$B$10</f>
        <v>0</v>
      </c>
      <c r="CD16" s="124" t="n">
        <f aca="false">CD10*'Uplifters Inputs'!$B$10</f>
        <v>0</v>
      </c>
      <c r="CE16" s="124" t="n">
        <f aca="false">CE10*'Uplifters Inputs'!$B$10</f>
        <v>0</v>
      </c>
      <c r="CF16" s="124" t="n">
        <f aca="false">CF10*'Uplifters Inputs'!$B$10</f>
        <v>0</v>
      </c>
      <c r="CG16" s="124" t="n">
        <f aca="false">CG10*'Uplifters Inputs'!$B$10</f>
        <v>0</v>
      </c>
      <c r="CH16" s="124" t="n">
        <f aca="false">CH10*'Uplifters Inputs'!$B$10</f>
        <v>0</v>
      </c>
      <c r="CI16" s="124" t="n">
        <f aca="false">CI10*'Uplifters Inputs'!$B$10</f>
        <v>0</v>
      </c>
      <c r="CJ16" s="124" t="n">
        <f aca="false">CJ10*'Uplifters Inputs'!$B$10</f>
        <v>0</v>
      </c>
      <c r="CK16" s="124" t="n">
        <f aca="false">CK10*'Uplifters Inputs'!$B$10</f>
        <v>0</v>
      </c>
      <c r="CL16" s="124" t="n">
        <f aca="false">CL10*'Uplifters Inputs'!$B$10</f>
        <v>0</v>
      </c>
      <c r="CM16" s="124" t="n">
        <f aca="false">CM10*'Uplifters Inputs'!$B$10</f>
        <v>0</v>
      </c>
      <c r="CN16" s="124" t="n">
        <f aca="false">CN10*'Uplifters Inputs'!$B$10</f>
        <v>0</v>
      </c>
      <c r="CO16" s="124" t="n">
        <f aca="false">CO10*'Uplifters Inputs'!$B$10</f>
        <v>0</v>
      </c>
      <c r="CP16" s="124" t="n">
        <f aca="false">CP10*'Uplifters Inputs'!$B$10</f>
        <v>0</v>
      </c>
      <c r="CQ16" s="124" t="n">
        <f aca="false">CQ10*'Uplifters Inputs'!$B$10</f>
        <v>0</v>
      </c>
      <c r="CR16" s="124" t="n">
        <f aca="false">CR10*'Uplifters Inputs'!$B$10</f>
        <v>0</v>
      </c>
      <c r="CS16" s="124" t="n">
        <f aca="false">CS10*'Uplifters Inputs'!$B$10</f>
        <v>0</v>
      </c>
    </row>
    <row r="17" customFormat="false" ht="15" hidden="false" customHeight="true" outlineLevel="0" collapsed="false">
      <c r="A17" s="123" t="s">
        <v>1416</v>
      </c>
      <c r="B17" s="124" t="n">
        <f aca="false">SUMIFS($B$10:$CS$10,$B$5:$CS$5,"&gt;="&amp;(B5-'Uplifters Inputs'!$B$18-'Uplifters Inputs'!$B$15-'Uplifters Inputs'!$B$16+1),$B$5:$CS$5,"&lt;="&amp;(B5-'Uplifters Inputs'!$B$18-'Uplifters Inputs'!$B$15))*'Uplifters Inputs'!$B$11/'Uplifters Inputs'!$B$16</f>
        <v>0</v>
      </c>
      <c r="C17" s="124" t="n">
        <f aca="false">SUMIFS($B$10:$CS$10,$B$5:$CS$5,"&gt;="&amp;(C5-'Uplifters Inputs'!$B$18-'Uplifters Inputs'!$B$15-'Uplifters Inputs'!$B$16+1),$B$5:$CS$5,"&lt;="&amp;(C5-'Uplifters Inputs'!$B$18-'Uplifters Inputs'!$B$15))*'Uplifters Inputs'!$B$11/'Uplifters Inputs'!$B$16</f>
        <v>0</v>
      </c>
      <c r="D17" s="124" t="n">
        <f aca="false">SUMIFS($B$10:$CS$10,$B$5:$CS$5,"&gt;="&amp;(D5-'Uplifters Inputs'!$B$18-'Uplifters Inputs'!$B$15-'Uplifters Inputs'!$B$16+1),$B$5:$CS$5,"&lt;="&amp;(D5-'Uplifters Inputs'!$B$18-'Uplifters Inputs'!$B$15))*'Uplifters Inputs'!$B$11/'Uplifters Inputs'!$B$16</f>
        <v>0</v>
      </c>
      <c r="E17" s="124" t="n">
        <f aca="false">SUMIFS($B$10:$CS$10,$B$5:$CS$5,"&gt;="&amp;(E5-'Uplifters Inputs'!$B$18-'Uplifters Inputs'!$B$15-'Uplifters Inputs'!$B$16+1),$B$5:$CS$5,"&lt;="&amp;(E5-'Uplifters Inputs'!$B$18-'Uplifters Inputs'!$B$15))*'Uplifters Inputs'!$B$11/'Uplifters Inputs'!$B$16</f>
        <v>0</v>
      </c>
      <c r="F17" s="124" t="n">
        <f aca="false">SUMIFS($B$10:$CS$10,$B$5:$CS$5,"&gt;="&amp;(F5-'Uplifters Inputs'!$B$18-'Uplifters Inputs'!$B$15-'Uplifters Inputs'!$B$16+1),$B$5:$CS$5,"&lt;="&amp;(F5-'Uplifters Inputs'!$B$18-'Uplifters Inputs'!$B$15))*'Uplifters Inputs'!$B$11/'Uplifters Inputs'!$B$16</f>
        <v>0</v>
      </c>
      <c r="G17" s="124" t="n">
        <f aca="false">SUMIFS($B$10:$CS$10,$B$5:$CS$5,"&gt;="&amp;(G5-'Uplifters Inputs'!$B$18-'Uplifters Inputs'!$B$15-'Uplifters Inputs'!$B$16+1),$B$5:$CS$5,"&lt;="&amp;(G5-'Uplifters Inputs'!$B$18-'Uplifters Inputs'!$B$15))*'Uplifters Inputs'!$B$11/'Uplifters Inputs'!$B$16</f>
        <v>0</v>
      </c>
      <c r="H17" s="124" t="n">
        <f aca="false">SUMIFS($B$10:$CS$10,$B$5:$CS$5,"&gt;="&amp;(H5-'Uplifters Inputs'!$B$18-'Uplifters Inputs'!$B$15-'Uplifters Inputs'!$B$16+1),$B$5:$CS$5,"&lt;="&amp;(H5-'Uplifters Inputs'!$B$18-'Uplifters Inputs'!$B$15))*'Uplifters Inputs'!$B$11/'Uplifters Inputs'!$B$16</f>
        <v>0</v>
      </c>
      <c r="I17" s="124" t="n">
        <f aca="false">SUMIFS($B$10:$CS$10,$B$5:$CS$5,"&gt;="&amp;(I5-'Uplifters Inputs'!$B$18-'Uplifters Inputs'!$B$15-'Uplifters Inputs'!$B$16+1),$B$5:$CS$5,"&lt;="&amp;(I5-'Uplifters Inputs'!$B$18-'Uplifters Inputs'!$B$15))*'Uplifters Inputs'!$B$11/'Uplifters Inputs'!$B$16</f>
        <v>0</v>
      </c>
      <c r="J17" s="124" t="n">
        <f aca="false">SUMIFS($B$10:$CS$10,$B$5:$CS$5,"&gt;="&amp;(J5-'Uplifters Inputs'!$B$18-'Uplifters Inputs'!$B$15-'Uplifters Inputs'!$B$16+1),$B$5:$CS$5,"&lt;="&amp;(J5-'Uplifters Inputs'!$B$18-'Uplifters Inputs'!$B$15))*'Uplifters Inputs'!$B$11/'Uplifters Inputs'!$B$16</f>
        <v>0</v>
      </c>
      <c r="K17" s="124" t="n">
        <f aca="false">SUMIFS($B$10:$CS$10,$B$5:$CS$5,"&gt;="&amp;(K5-'Uplifters Inputs'!$B$18-'Uplifters Inputs'!$B$15-'Uplifters Inputs'!$B$16+1),$B$5:$CS$5,"&lt;="&amp;(K5-'Uplifters Inputs'!$B$18-'Uplifters Inputs'!$B$15))*'Uplifters Inputs'!$B$11/'Uplifters Inputs'!$B$16</f>
        <v>0</v>
      </c>
      <c r="L17" s="124" t="n">
        <f aca="false">SUMIFS($B$10:$CS$10,$B$5:$CS$5,"&gt;="&amp;(L5-'Uplifters Inputs'!$B$18-'Uplifters Inputs'!$B$15-'Uplifters Inputs'!$B$16+1),$B$5:$CS$5,"&lt;="&amp;(L5-'Uplifters Inputs'!$B$18-'Uplifters Inputs'!$B$15))*'Uplifters Inputs'!$B$11/'Uplifters Inputs'!$B$16</f>
        <v>0</v>
      </c>
      <c r="M17" s="124" t="n">
        <f aca="false">SUMIFS($B$10:$CS$10,$B$5:$CS$5,"&gt;="&amp;(M5-'Uplifters Inputs'!$B$18-'Uplifters Inputs'!$B$15-'Uplifters Inputs'!$B$16+1),$B$5:$CS$5,"&lt;="&amp;(M5-'Uplifters Inputs'!$B$18-'Uplifters Inputs'!$B$15))*'Uplifters Inputs'!$B$11/'Uplifters Inputs'!$B$16</f>
        <v>0</v>
      </c>
      <c r="N17" s="124" t="n">
        <f aca="false">SUMIFS($B$10:$CS$10,$B$5:$CS$5,"&gt;="&amp;(N5-'Uplifters Inputs'!$B$18-'Uplifters Inputs'!$B$15-'Uplifters Inputs'!$B$16+1),$B$5:$CS$5,"&lt;="&amp;(N5-'Uplifters Inputs'!$B$18-'Uplifters Inputs'!$B$15))*'Uplifters Inputs'!$B$11/'Uplifters Inputs'!$B$16</f>
        <v>0</v>
      </c>
      <c r="O17" s="124" t="n">
        <f aca="false">SUMIFS($B$10:$CS$10,$B$5:$CS$5,"&gt;="&amp;(O5-'Uplifters Inputs'!$B$18-'Uplifters Inputs'!$B$15-'Uplifters Inputs'!$B$16+1),$B$5:$CS$5,"&lt;="&amp;(O5-'Uplifters Inputs'!$B$18-'Uplifters Inputs'!$B$15))*'Uplifters Inputs'!$B$11/'Uplifters Inputs'!$B$16</f>
        <v>0</v>
      </c>
      <c r="P17" s="124" t="n">
        <f aca="false">SUMIFS($B$10:$CS$10,$B$5:$CS$5,"&gt;="&amp;(P5-'Uplifters Inputs'!$B$18-'Uplifters Inputs'!$B$15-'Uplifters Inputs'!$B$16+1),$B$5:$CS$5,"&lt;="&amp;(P5-'Uplifters Inputs'!$B$18-'Uplifters Inputs'!$B$15))*'Uplifters Inputs'!$B$11/'Uplifters Inputs'!$B$16</f>
        <v>0</v>
      </c>
      <c r="Q17" s="124" t="n">
        <f aca="false">SUMIFS($B$10:$CS$10,$B$5:$CS$5,"&gt;="&amp;(Q5-'Uplifters Inputs'!$B$18-'Uplifters Inputs'!$B$15-'Uplifters Inputs'!$B$16+1),$B$5:$CS$5,"&lt;="&amp;(Q5-'Uplifters Inputs'!$B$18-'Uplifters Inputs'!$B$15))*'Uplifters Inputs'!$B$11/'Uplifters Inputs'!$B$16</f>
        <v>0</v>
      </c>
      <c r="R17" s="124" t="n">
        <f aca="false">SUMIFS($B$10:$CS$10,$B$5:$CS$5,"&gt;="&amp;(R5-'Uplifters Inputs'!$B$18-'Uplifters Inputs'!$B$15-'Uplifters Inputs'!$B$16+1),$B$5:$CS$5,"&lt;="&amp;(R5-'Uplifters Inputs'!$B$18-'Uplifters Inputs'!$B$15))*'Uplifters Inputs'!$B$11/'Uplifters Inputs'!$B$16</f>
        <v>0</v>
      </c>
      <c r="S17" s="124" t="n">
        <f aca="false">SUMIFS($B$10:$CS$10,$B$5:$CS$5,"&gt;="&amp;(S5-'Uplifters Inputs'!$B$18-'Uplifters Inputs'!$B$15-'Uplifters Inputs'!$B$16+1),$B$5:$CS$5,"&lt;="&amp;(S5-'Uplifters Inputs'!$B$18-'Uplifters Inputs'!$B$15))*'Uplifters Inputs'!$B$11/'Uplifters Inputs'!$B$16</f>
        <v>0</v>
      </c>
      <c r="T17" s="124" t="n">
        <f aca="false">SUMIFS($B$10:$CS$10,$B$5:$CS$5,"&gt;="&amp;(T5-'Uplifters Inputs'!$B$18-'Uplifters Inputs'!$B$15-'Uplifters Inputs'!$B$16+1),$B$5:$CS$5,"&lt;="&amp;(T5-'Uplifters Inputs'!$B$18-'Uplifters Inputs'!$B$15))*'Uplifters Inputs'!$B$11/'Uplifters Inputs'!$B$16</f>
        <v>0</v>
      </c>
      <c r="U17" s="124" t="n">
        <f aca="false">SUMIFS($B$10:$CS$10,$B$5:$CS$5,"&gt;="&amp;(U5-'Uplifters Inputs'!$B$18-'Uplifters Inputs'!$B$15-'Uplifters Inputs'!$B$16+1),$B$5:$CS$5,"&lt;="&amp;(U5-'Uplifters Inputs'!$B$18-'Uplifters Inputs'!$B$15))*'Uplifters Inputs'!$B$11/'Uplifters Inputs'!$B$16</f>
        <v>0</v>
      </c>
      <c r="V17" s="124" t="n">
        <f aca="false">SUMIFS($B$10:$CS$10,$B$5:$CS$5,"&gt;="&amp;(V5-'Uplifters Inputs'!$B$18-'Uplifters Inputs'!$B$15-'Uplifters Inputs'!$B$16+1),$B$5:$CS$5,"&lt;="&amp;(V5-'Uplifters Inputs'!$B$18-'Uplifters Inputs'!$B$15))*'Uplifters Inputs'!$B$11/'Uplifters Inputs'!$B$16</f>
        <v>8046.91666666667</v>
      </c>
      <c r="W17" s="124" t="n">
        <f aca="false">SUMIFS($B$10:$CS$10,$B$5:$CS$5,"&gt;="&amp;(W5-'Uplifters Inputs'!$B$18-'Uplifters Inputs'!$B$15-'Uplifters Inputs'!$B$16+1),$B$5:$CS$5,"&lt;="&amp;(W5-'Uplifters Inputs'!$B$18-'Uplifters Inputs'!$B$15))*'Uplifters Inputs'!$B$11/'Uplifters Inputs'!$B$16</f>
        <v>24140.75</v>
      </c>
      <c r="X17" s="124" t="n">
        <f aca="false">SUMIFS($B$10:$CS$10,$B$5:$CS$5,"&gt;="&amp;(X5-'Uplifters Inputs'!$B$18-'Uplifters Inputs'!$B$15-'Uplifters Inputs'!$B$16+1),$B$5:$CS$5,"&lt;="&amp;(X5-'Uplifters Inputs'!$B$18-'Uplifters Inputs'!$B$15))*'Uplifters Inputs'!$B$11/'Uplifters Inputs'!$B$16</f>
        <v>48281.5</v>
      </c>
      <c r="Y17" s="124" t="n">
        <f aca="false">SUMIFS($B$10:$CS$10,$B$5:$CS$5,"&gt;="&amp;(Y5-'Uplifters Inputs'!$B$18-'Uplifters Inputs'!$B$15-'Uplifters Inputs'!$B$16+1),$B$5:$CS$5,"&lt;="&amp;(Y5-'Uplifters Inputs'!$B$18-'Uplifters Inputs'!$B$15))*'Uplifters Inputs'!$B$11/'Uplifters Inputs'!$B$16</f>
        <v>80469.1666666667</v>
      </c>
      <c r="Z17" s="124" t="n">
        <f aca="false">SUMIFS($B$10:$CS$10,$B$5:$CS$5,"&gt;="&amp;(Z5-'Uplifters Inputs'!$B$18-'Uplifters Inputs'!$B$15-'Uplifters Inputs'!$B$16+1),$B$5:$CS$5,"&lt;="&amp;(Z5-'Uplifters Inputs'!$B$18-'Uplifters Inputs'!$B$15))*'Uplifters Inputs'!$B$11/'Uplifters Inputs'!$B$16</f>
        <v>120703.75</v>
      </c>
      <c r="AA17" s="124" t="n">
        <f aca="false">SUMIFS($B$10:$CS$10,$B$5:$CS$5,"&gt;="&amp;(AA5-'Uplifters Inputs'!$B$18-'Uplifters Inputs'!$B$15-'Uplifters Inputs'!$B$16+1),$B$5:$CS$5,"&lt;="&amp;(AA5-'Uplifters Inputs'!$B$18-'Uplifters Inputs'!$B$15))*'Uplifters Inputs'!$B$11/'Uplifters Inputs'!$B$16</f>
        <v>160938.333333333</v>
      </c>
      <c r="AB17" s="124" t="n">
        <f aca="false">SUMIFS($B$10:$CS$10,$B$5:$CS$5,"&gt;="&amp;(AB5-'Uplifters Inputs'!$B$18-'Uplifters Inputs'!$B$15-'Uplifters Inputs'!$B$16+1),$B$5:$CS$5,"&lt;="&amp;(AB5-'Uplifters Inputs'!$B$18-'Uplifters Inputs'!$B$15))*'Uplifters Inputs'!$B$11/'Uplifters Inputs'!$B$16</f>
        <v>201172.916666667</v>
      </c>
      <c r="AC17" s="124" t="n">
        <f aca="false">SUMIFS($B$10:$CS$10,$B$5:$CS$5,"&gt;="&amp;(AC5-'Uplifters Inputs'!$B$18-'Uplifters Inputs'!$B$15-'Uplifters Inputs'!$B$16+1),$B$5:$CS$5,"&lt;="&amp;(AC5-'Uplifters Inputs'!$B$18-'Uplifters Inputs'!$B$15))*'Uplifters Inputs'!$B$11/'Uplifters Inputs'!$B$16</f>
        <v>241407.5</v>
      </c>
      <c r="AD17" s="124" t="n">
        <f aca="false">SUMIFS($B$10:$CS$10,$B$5:$CS$5,"&gt;="&amp;(AD5-'Uplifters Inputs'!$B$18-'Uplifters Inputs'!$B$15-'Uplifters Inputs'!$B$16+1),$B$5:$CS$5,"&lt;="&amp;(AD5-'Uplifters Inputs'!$B$18-'Uplifters Inputs'!$B$15))*'Uplifters Inputs'!$B$11/'Uplifters Inputs'!$B$16</f>
        <v>273595.166666667</v>
      </c>
      <c r="AE17" s="124" t="n">
        <f aca="false">SUMIFS($B$10:$CS$10,$B$5:$CS$5,"&gt;="&amp;(AE5-'Uplifters Inputs'!$B$18-'Uplifters Inputs'!$B$15-'Uplifters Inputs'!$B$16+1),$B$5:$CS$5,"&lt;="&amp;(AE5-'Uplifters Inputs'!$B$18-'Uplifters Inputs'!$B$15))*'Uplifters Inputs'!$B$11/'Uplifters Inputs'!$B$16</f>
        <v>305782.833333333</v>
      </c>
      <c r="AF17" s="124" t="n">
        <f aca="false">SUMIFS($B$10:$CS$10,$B$5:$CS$5,"&gt;="&amp;(AF5-'Uplifters Inputs'!$B$18-'Uplifters Inputs'!$B$15-'Uplifters Inputs'!$B$16+1),$B$5:$CS$5,"&lt;="&amp;(AF5-'Uplifters Inputs'!$B$18-'Uplifters Inputs'!$B$15))*'Uplifters Inputs'!$B$11/'Uplifters Inputs'!$B$16</f>
        <v>329923.583333333</v>
      </c>
      <c r="AG17" s="124" t="n">
        <f aca="false">SUMIFS($B$10:$CS$10,$B$5:$CS$5,"&gt;="&amp;(AG5-'Uplifters Inputs'!$B$18-'Uplifters Inputs'!$B$15-'Uplifters Inputs'!$B$16+1),$B$5:$CS$5,"&lt;="&amp;(AG5-'Uplifters Inputs'!$B$18-'Uplifters Inputs'!$B$15))*'Uplifters Inputs'!$B$11/'Uplifters Inputs'!$B$16</f>
        <v>354064.333333333</v>
      </c>
      <c r="AH17" s="124" t="n">
        <f aca="false">SUMIFS($B$10:$CS$10,$B$5:$CS$5,"&gt;="&amp;(AH5-'Uplifters Inputs'!$B$18-'Uplifters Inputs'!$B$15-'Uplifters Inputs'!$B$16+1),$B$5:$CS$5,"&lt;="&amp;(AH5-'Uplifters Inputs'!$B$18-'Uplifters Inputs'!$B$15))*'Uplifters Inputs'!$B$11/'Uplifters Inputs'!$B$16</f>
        <v>362111.25</v>
      </c>
      <c r="AI17" s="124" t="n">
        <f aca="false">SUMIFS($B$10:$CS$10,$B$5:$CS$5,"&gt;="&amp;(AI5-'Uplifters Inputs'!$B$18-'Uplifters Inputs'!$B$15-'Uplifters Inputs'!$B$16+1),$B$5:$CS$5,"&lt;="&amp;(AI5-'Uplifters Inputs'!$B$18-'Uplifters Inputs'!$B$15))*'Uplifters Inputs'!$B$11/'Uplifters Inputs'!$B$16</f>
        <v>362111.25</v>
      </c>
      <c r="AJ17" s="124" t="n">
        <f aca="false">SUMIFS($B$10:$CS$10,$B$5:$CS$5,"&gt;="&amp;(AJ5-'Uplifters Inputs'!$B$18-'Uplifters Inputs'!$B$15-'Uplifters Inputs'!$B$16+1),$B$5:$CS$5,"&lt;="&amp;(AJ5-'Uplifters Inputs'!$B$18-'Uplifters Inputs'!$B$15))*'Uplifters Inputs'!$B$11/'Uplifters Inputs'!$B$16</f>
        <v>354064.333333333</v>
      </c>
      <c r="AK17" s="124" t="n">
        <f aca="false">SUMIFS($B$10:$CS$10,$B$5:$CS$5,"&gt;="&amp;(AK5-'Uplifters Inputs'!$B$18-'Uplifters Inputs'!$B$15-'Uplifters Inputs'!$B$16+1),$B$5:$CS$5,"&lt;="&amp;(AK5-'Uplifters Inputs'!$B$18-'Uplifters Inputs'!$B$15))*'Uplifters Inputs'!$B$11/'Uplifters Inputs'!$B$16</f>
        <v>337970.5</v>
      </c>
      <c r="AL17" s="124" t="n">
        <f aca="false">SUMIFS($B$10:$CS$10,$B$5:$CS$5,"&gt;="&amp;(AL5-'Uplifters Inputs'!$B$18-'Uplifters Inputs'!$B$15-'Uplifters Inputs'!$B$16+1),$B$5:$CS$5,"&lt;="&amp;(AL5-'Uplifters Inputs'!$B$18-'Uplifters Inputs'!$B$15))*'Uplifters Inputs'!$B$11/'Uplifters Inputs'!$B$16</f>
        <v>305782.833333333</v>
      </c>
      <c r="AM17" s="124" t="n">
        <f aca="false">SUMIFS($B$10:$CS$10,$B$5:$CS$5,"&gt;="&amp;(AM5-'Uplifters Inputs'!$B$18-'Uplifters Inputs'!$B$15-'Uplifters Inputs'!$B$16+1),$B$5:$CS$5,"&lt;="&amp;(AM5-'Uplifters Inputs'!$B$18-'Uplifters Inputs'!$B$15))*'Uplifters Inputs'!$B$11/'Uplifters Inputs'!$B$16</f>
        <v>273595.166666667</v>
      </c>
      <c r="AN17" s="124" t="n">
        <f aca="false">SUMIFS($B$10:$CS$10,$B$5:$CS$5,"&gt;="&amp;(AN5-'Uplifters Inputs'!$B$18-'Uplifters Inputs'!$B$15-'Uplifters Inputs'!$B$16+1),$B$5:$CS$5,"&lt;="&amp;(AN5-'Uplifters Inputs'!$B$18-'Uplifters Inputs'!$B$15))*'Uplifters Inputs'!$B$11/'Uplifters Inputs'!$B$16</f>
        <v>241407.5</v>
      </c>
      <c r="AO17" s="124" t="n">
        <f aca="false">SUMIFS($B$10:$CS$10,$B$5:$CS$5,"&gt;="&amp;(AO5-'Uplifters Inputs'!$B$18-'Uplifters Inputs'!$B$15-'Uplifters Inputs'!$B$16+1),$B$5:$CS$5,"&lt;="&amp;(AO5-'Uplifters Inputs'!$B$18-'Uplifters Inputs'!$B$15))*'Uplifters Inputs'!$B$11/'Uplifters Inputs'!$B$16</f>
        <v>209219.833333333</v>
      </c>
      <c r="AP17" s="124" t="n">
        <f aca="false">SUMIFS($B$10:$CS$10,$B$5:$CS$5,"&gt;="&amp;(AP5-'Uplifters Inputs'!$B$18-'Uplifters Inputs'!$B$15-'Uplifters Inputs'!$B$16+1),$B$5:$CS$5,"&lt;="&amp;(AP5-'Uplifters Inputs'!$B$18-'Uplifters Inputs'!$B$15))*'Uplifters Inputs'!$B$11/'Uplifters Inputs'!$B$16</f>
        <v>185079.083333333</v>
      </c>
      <c r="AQ17" s="124" t="n">
        <f aca="false">SUMIFS($B$10:$CS$10,$B$5:$CS$5,"&gt;="&amp;(AQ5-'Uplifters Inputs'!$B$18-'Uplifters Inputs'!$B$15-'Uplifters Inputs'!$B$16+1),$B$5:$CS$5,"&lt;="&amp;(AQ5-'Uplifters Inputs'!$B$18-'Uplifters Inputs'!$B$15))*'Uplifters Inputs'!$B$11/'Uplifters Inputs'!$B$16</f>
        <v>160938.333333333</v>
      </c>
      <c r="AR17" s="124" t="n">
        <f aca="false">SUMIFS($B$10:$CS$10,$B$5:$CS$5,"&gt;="&amp;(AR5-'Uplifters Inputs'!$B$18-'Uplifters Inputs'!$B$15-'Uplifters Inputs'!$B$16+1),$B$5:$CS$5,"&lt;="&amp;(AR5-'Uplifters Inputs'!$B$18-'Uplifters Inputs'!$B$15))*'Uplifters Inputs'!$B$11/'Uplifters Inputs'!$B$16</f>
        <v>144844.5</v>
      </c>
      <c r="AS17" s="124" t="n">
        <f aca="false">SUMIFS($B$10:$CS$10,$B$5:$CS$5,"&gt;="&amp;(AS5-'Uplifters Inputs'!$B$18-'Uplifters Inputs'!$B$15-'Uplifters Inputs'!$B$16+1),$B$5:$CS$5,"&lt;="&amp;(AS5-'Uplifters Inputs'!$B$18-'Uplifters Inputs'!$B$15))*'Uplifters Inputs'!$B$11/'Uplifters Inputs'!$B$16</f>
        <v>128750.666666667</v>
      </c>
      <c r="AT17" s="124" t="n">
        <f aca="false">SUMIFS($B$10:$CS$10,$B$5:$CS$5,"&gt;="&amp;(AT5-'Uplifters Inputs'!$B$18-'Uplifters Inputs'!$B$15-'Uplifters Inputs'!$B$16+1),$B$5:$CS$5,"&lt;="&amp;(AT5-'Uplifters Inputs'!$B$18-'Uplifters Inputs'!$B$15))*'Uplifters Inputs'!$B$11/'Uplifters Inputs'!$B$16</f>
        <v>112656.833333333</v>
      </c>
      <c r="AU17" s="124" t="n">
        <f aca="false">SUMIFS($B$10:$CS$10,$B$5:$CS$5,"&gt;="&amp;(AU5-'Uplifters Inputs'!$B$18-'Uplifters Inputs'!$B$15-'Uplifters Inputs'!$B$16+1),$B$5:$CS$5,"&lt;="&amp;(AU5-'Uplifters Inputs'!$B$18-'Uplifters Inputs'!$B$15))*'Uplifters Inputs'!$B$11/'Uplifters Inputs'!$B$16</f>
        <v>96563</v>
      </c>
      <c r="AV17" s="124" t="n">
        <f aca="false">SUMIFS($B$10:$CS$10,$B$5:$CS$5,"&gt;="&amp;(AV5-'Uplifters Inputs'!$B$18-'Uplifters Inputs'!$B$15-'Uplifters Inputs'!$B$16+1),$B$5:$CS$5,"&lt;="&amp;(AV5-'Uplifters Inputs'!$B$18-'Uplifters Inputs'!$B$15))*'Uplifters Inputs'!$B$11/'Uplifters Inputs'!$B$16</f>
        <v>80469.1666666667</v>
      </c>
      <c r="AW17" s="124" t="n">
        <f aca="false">SUMIFS($B$10:$CS$10,$B$5:$CS$5,"&gt;="&amp;(AW5-'Uplifters Inputs'!$B$18-'Uplifters Inputs'!$B$15-'Uplifters Inputs'!$B$16+1),$B$5:$CS$5,"&lt;="&amp;(AW5-'Uplifters Inputs'!$B$18-'Uplifters Inputs'!$B$15))*'Uplifters Inputs'!$B$11/'Uplifters Inputs'!$B$16</f>
        <v>64375.3333333333</v>
      </c>
      <c r="AX17" s="124" t="n">
        <f aca="false">SUMIFS($B$10:$CS$10,$B$5:$CS$5,"&gt;="&amp;(AX5-'Uplifters Inputs'!$B$18-'Uplifters Inputs'!$B$15-'Uplifters Inputs'!$B$16+1),$B$5:$CS$5,"&lt;="&amp;(AX5-'Uplifters Inputs'!$B$18-'Uplifters Inputs'!$B$15))*'Uplifters Inputs'!$B$11/'Uplifters Inputs'!$B$16</f>
        <v>56328.4166666667</v>
      </c>
      <c r="AY17" s="124" t="n">
        <f aca="false">SUMIFS($B$10:$CS$10,$B$5:$CS$5,"&gt;="&amp;(AY5-'Uplifters Inputs'!$B$18-'Uplifters Inputs'!$B$15-'Uplifters Inputs'!$B$16+1),$B$5:$CS$5,"&lt;="&amp;(AY5-'Uplifters Inputs'!$B$18-'Uplifters Inputs'!$B$15))*'Uplifters Inputs'!$B$11/'Uplifters Inputs'!$B$16</f>
        <v>48281.5</v>
      </c>
      <c r="AZ17" s="124" t="n">
        <f aca="false">SUMIFS($B$10:$CS$10,$B$5:$CS$5,"&gt;="&amp;(AZ5-'Uplifters Inputs'!$B$18-'Uplifters Inputs'!$B$15-'Uplifters Inputs'!$B$16+1),$B$5:$CS$5,"&lt;="&amp;(AZ5-'Uplifters Inputs'!$B$18-'Uplifters Inputs'!$B$15))*'Uplifters Inputs'!$B$11/'Uplifters Inputs'!$B$16</f>
        <v>40234.5833333333</v>
      </c>
      <c r="BA17" s="124" t="n">
        <f aca="false">SUMIFS($B$10:$CS$10,$B$5:$CS$5,"&gt;="&amp;(BA5-'Uplifters Inputs'!$B$18-'Uplifters Inputs'!$B$15-'Uplifters Inputs'!$B$16+1),$B$5:$CS$5,"&lt;="&amp;(BA5-'Uplifters Inputs'!$B$18-'Uplifters Inputs'!$B$15))*'Uplifters Inputs'!$B$11/'Uplifters Inputs'!$B$16</f>
        <v>32187.6666666667</v>
      </c>
      <c r="BB17" s="124" t="n">
        <f aca="false">SUMIFS($B$10:$CS$10,$B$5:$CS$5,"&gt;="&amp;(BB5-'Uplifters Inputs'!$B$18-'Uplifters Inputs'!$B$15-'Uplifters Inputs'!$B$16+1),$B$5:$CS$5,"&lt;="&amp;(BB5-'Uplifters Inputs'!$B$18-'Uplifters Inputs'!$B$15))*'Uplifters Inputs'!$B$11/'Uplifters Inputs'!$B$16</f>
        <v>24140.75</v>
      </c>
      <c r="BC17" s="124" t="n">
        <f aca="false">SUMIFS($B$10:$CS$10,$B$5:$CS$5,"&gt;="&amp;(BC5-'Uplifters Inputs'!$B$18-'Uplifters Inputs'!$B$15-'Uplifters Inputs'!$B$16+1),$B$5:$CS$5,"&lt;="&amp;(BC5-'Uplifters Inputs'!$B$18-'Uplifters Inputs'!$B$15))*'Uplifters Inputs'!$B$11/'Uplifters Inputs'!$B$16</f>
        <v>16093.8333333333</v>
      </c>
      <c r="BD17" s="124" t="n">
        <f aca="false">SUMIFS($B$10:$CS$10,$B$5:$CS$5,"&gt;="&amp;(BD5-'Uplifters Inputs'!$B$18-'Uplifters Inputs'!$B$15-'Uplifters Inputs'!$B$16+1),$B$5:$CS$5,"&lt;="&amp;(BD5-'Uplifters Inputs'!$B$18-'Uplifters Inputs'!$B$15))*'Uplifters Inputs'!$B$11/'Uplifters Inputs'!$B$16</f>
        <v>8046.91666666667</v>
      </c>
      <c r="BE17" s="124" t="n">
        <f aca="false">SUMIFS($B$10:$CS$10,$B$5:$CS$5,"&gt;="&amp;(BE5-'Uplifters Inputs'!$B$18-'Uplifters Inputs'!$B$15-'Uplifters Inputs'!$B$16+1),$B$5:$CS$5,"&lt;="&amp;(BE5-'Uplifters Inputs'!$B$18-'Uplifters Inputs'!$B$15))*'Uplifters Inputs'!$B$11/'Uplifters Inputs'!$B$16</f>
        <v>0</v>
      </c>
      <c r="BF17" s="124" t="n">
        <f aca="false">SUMIFS($B$10:$CS$10,$B$5:$CS$5,"&gt;="&amp;(BF5-'Uplifters Inputs'!$B$18-'Uplifters Inputs'!$B$15-'Uplifters Inputs'!$B$16+1),$B$5:$CS$5,"&lt;="&amp;(BF5-'Uplifters Inputs'!$B$18-'Uplifters Inputs'!$B$15))*'Uplifters Inputs'!$B$11/'Uplifters Inputs'!$B$16</f>
        <v>0</v>
      </c>
      <c r="BG17" s="124" t="n">
        <f aca="false">SUMIFS($B$10:$CS$10,$B$5:$CS$5,"&gt;="&amp;(BG5-'Uplifters Inputs'!$B$18-'Uplifters Inputs'!$B$15-'Uplifters Inputs'!$B$16+1),$B$5:$CS$5,"&lt;="&amp;(BG5-'Uplifters Inputs'!$B$18-'Uplifters Inputs'!$B$15))*'Uplifters Inputs'!$B$11/'Uplifters Inputs'!$B$16</f>
        <v>0</v>
      </c>
      <c r="BH17" s="124" t="n">
        <f aca="false">SUMIFS($B$10:$CS$10,$B$5:$CS$5,"&gt;="&amp;(BH5-'Uplifters Inputs'!$B$18-'Uplifters Inputs'!$B$15-'Uplifters Inputs'!$B$16+1),$B$5:$CS$5,"&lt;="&amp;(BH5-'Uplifters Inputs'!$B$18-'Uplifters Inputs'!$B$15))*'Uplifters Inputs'!$B$11/'Uplifters Inputs'!$B$16</f>
        <v>0</v>
      </c>
      <c r="BI17" s="124" t="n">
        <f aca="false">SUMIFS($B$10:$CS$10,$B$5:$CS$5,"&gt;="&amp;(BI5-'Uplifters Inputs'!$B$18-'Uplifters Inputs'!$B$15-'Uplifters Inputs'!$B$16+1),$B$5:$CS$5,"&lt;="&amp;(BI5-'Uplifters Inputs'!$B$18-'Uplifters Inputs'!$B$15))*'Uplifters Inputs'!$B$11/'Uplifters Inputs'!$B$16</f>
        <v>0</v>
      </c>
      <c r="BJ17" s="124" t="n">
        <f aca="false">SUMIFS($B$10:$CS$10,$B$5:$CS$5,"&gt;="&amp;(BJ5-'Uplifters Inputs'!$B$18-'Uplifters Inputs'!$B$15-'Uplifters Inputs'!$B$16+1),$B$5:$CS$5,"&lt;="&amp;(BJ5-'Uplifters Inputs'!$B$18-'Uplifters Inputs'!$B$15))*'Uplifters Inputs'!$B$11/'Uplifters Inputs'!$B$16</f>
        <v>0</v>
      </c>
      <c r="BK17" s="124" t="n">
        <f aca="false">SUMIFS($B$10:$CS$10,$B$5:$CS$5,"&gt;="&amp;(BK5-'Uplifters Inputs'!$B$18-'Uplifters Inputs'!$B$15-'Uplifters Inputs'!$B$16+1),$B$5:$CS$5,"&lt;="&amp;(BK5-'Uplifters Inputs'!$B$18-'Uplifters Inputs'!$B$15))*'Uplifters Inputs'!$B$11/'Uplifters Inputs'!$B$16</f>
        <v>0</v>
      </c>
      <c r="BL17" s="124" t="n">
        <f aca="false">SUMIFS($B$10:$CS$10,$B$5:$CS$5,"&gt;="&amp;(BL5-'Uplifters Inputs'!$B$18-'Uplifters Inputs'!$B$15-'Uplifters Inputs'!$B$16+1),$B$5:$CS$5,"&lt;="&amp;(BL5-'Uplifters Inputs'!$B$18-'Uplifters Inputs'!$B$15))*'Uplifters Inputs'!$B$11/'Uplifters Inputs'!$B$16</f>
        <v>0</v>
      </c>
      <c r="BM17" s="124" t="n">
        <f aca="false">SUMIFS($B$10:$CS$10,$B$5:$CS$5,"&gt;="&amp;(BM5-'Uplifters Inputs'!$B$18-'Uplifters Inputs'!$B$15-'Uplifters Inputs'!$B$16+1),$B$5:$CS$5,"&lt;="&amp;(BM5-'Uplifters Inputs'!$B$18-'Uplifters Inputs'!$B$15))*'Uplifters Inputs'!$B$11/'Uplifters Inputs'!$B$16</f>
        <v>0</v>
      </c>
      <c r="BN17" s="124" t="n">
        <f aca="false">SUMIFS($B$10:$CS$10,$B$5:$CS$5,"&gt;="&amp;(BN5-'Uplifters Inputs'!$B$18-'Uplifters Inputs'!$B$15-'Uplifters Inputs'!$B$16+1),$B$5:$CS$5,"&lt;="&amp;(BN5-'Uplifters Inputs'!$B$18-'Uplifters Inputs'!$B$15))*'Uplifters Inputs'!$B$11/'Uplifters Inputs'!$B$16</f>
        <v>0</v>
      </c>
      <c r="BO17" s="124" t="n">
        <f aca="false">SUMIFS($B$10:$CS$10,$B$5:$CS$5,"&gt;="&amp;(BO5-'Uplifters Inputs'!$B$18-'Uplifters Inputs'!$B$15-'Uplifters Inputs'!$B$16+1),$B$5:$CS$5,"&lt;="&amp;(BO5-'Uplifters Inputs'!$B$18-'Uplifters Inputs'!$B$15))*'Uplifters Inputs'!$B$11/'Uplifters Inputs'!$B$16</f>
        <v>0</v>
      </c>
      <c r="BP17" s="124" t="n">
        <f aca="false">SUMIFS($B$10:$CS$10,$B$5:$CS$5,"&gt;="&amp;(BP5-'Uplifters Inputs'!$B$18-'Uplifters Inputs'!$B$15-'Uplifters Inputs'!$B$16+1),$B$5:$CS$5,"&lt;="&amp;(BP5-'Uplifters Inputs'!$B$18-'Uplifters Inputs'!$B$15))*'Uplifters Inputs'!$B$11/'Uplifters Inputs'!$B$16</f>
        <v>0</v>
      </c>
      <c r="BQ17" s="124" t="n">
        <f aca="false">SUMIFS($B$10:$CS$10,$B$5:$CS$5,"&gt;="&amp;(BQ5-'Uplifters Inputs'!$B$18-'Uplifters Inputs'!$B$15-'Uplifters Inputs'!$B$16+1),$B$5:$CS$5,"&lt;="&amp;(BQ5-'Uplifters Inputs'!$B$18-'Uplifters Inputs'!$B$15))*'Uplifters Inputs'!$B$11/'Uplifters Inputs'!$B$16</f>
        <v>0</v>
      </c>
      <c r="BR17" s="124" t="n">
        <f aca="false">SUMIFS($B$10:$CS$10,$B$5:$CS$5,"&gt;="&amp;(BR5-'Uplifters Inputs'!$B$18-'Uplifters Inputs'!$B$15-'Uplifters Inputs'!$B$16+1),$B$5:$CS$5,"&lt;="&amp;(BR5-'Uplifters Inputs'!$B$18-'Uplifters Inputs'!$B$15))*'Uplifters Inputs'!$B$11/'Uplifters Inputs'!$B$16</f>
        <v>0</v>
      </c>
      <c r="BS17" s="124" t="n">
        <f aca="false">SUMIFS($B$10:$CS$10,$B$5:$CS$5,"&gt;="&amp;(BS5-'Uplifters Inputs'!$B$18-'Uplifters Inputs'!$B$15-'Uplifters Inputs'!$B$16+1),$B$5:$CS$5,"&lt;="&amp;(BS5-'Uplifters Inputs'!$B$18-'Uplifters Inputs'!$B$15))*'Uplifters Inputs'!$B$11/'Uplifters Inputs'!$B$16</f>
        <v>0</v>
      </c>
      <c r="BT17" s="124" t="n">
        <f aca="false">SUMIFS($B$10:$CS$10,$B$5:$CS$5,"&gt;="&amp;(BT5-'Uplifters Inputs'!$B$18-'Uplifters Inputs'!$B$15-'Uplifters Inputs'!$B$16+1),$B$5:$CS$5,"&lt;="&amp;(BT5-'Uplifters Inputs'!$B$18-'Uplifters Inputs'!$B$15))*'Uplifters Inputs'!$B$11/'Uplifters Inputs'!$B$16</f>
        <v>0</v>
      </c>
      <c r="BU17" s="124" t="n">
        <f aca="false">SUMIFS($B$10:$CS$10,$B$5:$CS$5,"&gt;="&amp;(BU5-'Uplifters Inputs'!$B$18-'Uplifters Inputs'!$B$15-'Uplifters Inputs'!$B$16+1),$B$5:$CS$5,"&lt;="&amp;(BU5-'Uplifters Inputs'!$B$18-'Uplifters Inputs'!$B$15))*'Uplifters Inputs'!$B$11/'Uplifters Inputs'!$B$16</f>
        <v>0</v>
      </c>
      <c r="BV17" s="124" t="n">
        <f aca="false">SUMIFS($B$10:$CS$10,$B$5:$CS$5,"&gt;="&amp;(BV5-'Uplifters Inputs'!$B$18-'Uplifters Inputs'!$B$15-'Uplifters Inputs'!$B$16+1),$B$5:$CS$5,"&lt;="&amp;(BV5-'Uplifters Inputs'!$B$18-'Uplifters Inputs'!$B$15))*'Uplifters Inputs'!$B$11/'Uplifters Inputs'!$B$16</f>
        <v>0</v>
      </c>
      <c r="BW17" s="124" t="n">
        <f aca="false">SUMIFS($B$10:$CS$10,$B$5:$CS$5,"&gt;="&amp;(BW5-'Uplifters Inputs'!$B$18-'Uplifters Inputs'!$B$15-'Uplifters Inputs'!$B$16+1),$B$5:$CS$5,"&lt;="&amp;(BW5-'Uplifters Inputs'!$B$18-'Uplifters Inputs'!$B$15))*'Uplifters Inputs'!$B$11/'Uplifters Inputs'!$B$16</f>
        <v>0</v>
      </c>
      <c r="BX17" s="124" t="n">
        <f aca="false">SUMIFS($B$10:$CS$10,$B$5:$CS$5,"&gt;="&amp;(BX5-'Uplifters Inputs'!$B$18-'Uplifters Inputs'!$B$15-'Uplifters Inputs'!$B$16+1),$B$5:$CS$5,"&lt;="&amp;(BX5-'Uplifters Inputs'!$B$18-'Uplifters Inputs'!$B$15))*'Uplifters Inputs'!$B$11/'Uplifters Inputs'!$B$16</f>
        <v>0</v>
      </c>
      <c r="BY17" s="124" t="n">
        <f aca="false">SUMIFS($B$10:$CS$10,$B$5:$CS$5,"&gt;="&amp;(BY5-'Uplifters Inputs'!$B$18-'Uplifters Inputs'!$B$15-'Uplifters Inputs'!$B$16+1),$B$5:$CS$5,"&lt;="&amp;(BY5-'Uplifters Inputs'!$B$18-'Uplifters Inputs'!$B$15))*'Uplifters Inputs'!$B$11/'Uplifters Inputs'!$B$16</f>
        <v>0</v>
      </c>
      <c r="BZ17" s="124" t="n">
        <f aca="false">SUMIFS($B$10:$CS$10,$B$5:$CS$5,"&gt;="&amp;(BZ5-'Uplifters Inputs'!$B$18-'Uplifters Inputs'!$B$15-'Uplifters Inputs'!$B$16+1),$B$5:$CS$5,"&lt;="&amp;(BZ5-'Uplifters Inputs'!$B$18-'Uplifters Inputs'!$B$15))*'Uplifters Inputs'!$B$11/'Uplifters Inputs'!$B$16</f>
        <v>0</v>
      </c>
      <c r="CA17" s="124" t="n">
        <f aca="false">SUMIFS($B$10:$CS$10,$B$5:$CS$5,"&gt;="&amp;(CA5-'Uplifters Inputs'!$B$18-'Uplifters Inputs'!$B$15-'Uplifters Inputs'!$B$16+1),$B$5:$CS$5,"&lt;="&amp;(CA5-'Uplifters Inputs'!$B$18-'Uplifters Inputs'!$B$15))*'Uplifters Inputs'!$B$11/'Uplifters Inputs'!$B$16</f>
        <v>0</v>
      </c>
      <c r="CB17" s="124" t="n">
        <f aca="false">SUMIFS($B$10:$CS$10,$B$5:$CS$5,"&gt;="&amp;(CB5-'Uplifters Inputs'!$B$18-'Uplifters Inputs'!$B$15-'Uplifters Inputs'!$B$16+1),$B$5:$CS$5,"&lt;="&amp;(CB5-'Uplifters Inputs'!$B$18-'Uplifters Inputs'!$B$15))*'Uplifters Inputs'!$B$11/'Uplifters Inputs'!$B$16</f>
        <v>0</v>
      </c>
      <c r="CC17" s="124" t="n">
        <f aca="false">SUMIFS($B$10:$CS$10,$B$5:$CS$5,"&gt;="&amp;(CC5-'Uplifters Inputs'!$B$18-'Uplifters Inputs'!$B$15-'Uplifters Inputs'!$B$16+1),$B$5:$CS$5,"&lt;="&amp;(CC5-'Uplifters Inputs'!$B$18-'Uplifters Inputs'!$B$15))*'Uplifters Inputs'!$B$11/'Uplifters Inputs'!$B$16</f>
        <v>0</v>
      </c>
      <c r="CD17" s="124" t="n">
        <f aca="false">SUMIFS($B$10:$CS$10,$B$5:$CS$5,"&gt;="&amp;(CD5-'Uplifters Inputs'!$B$18-'Uplifters Inputs'!$B$15-'Uplifters Inputs'!$B$16+1),$B$5:$CS$5,"&lt;="&amp;(CD5-'Uplifters Inputs'!$B$18-'Uplifters Inputs'!$B$15))*'Uplifters Inputs'!$B$11/'Uplifters Inputs'!$B$16</f>
        <v>0</v>
      </c>
      <c r="CE17" s="124" t="n">
        <f aca="false">SUMIFS($B$10:$CS$10,$B$5:$CS$5,"&gt;="&amp;(CE5-'Uplifters Inputs'!$B$18-'Uplifters Inputs'!$B$15-'Uplifters Inputs'!$B$16+1),$B$5:$CS$5,"&lt;="&amp;(CE5-'Uplifters Inputs'!$B$18-'Uplifters Inputs'!$B$15))*'Uplifters Inputs'!$B$11/'Uplifters Inputs'!$B$16</f>
        <v>0</v>
      </c>
      <c r="CF17" s="124" t="n">
        <f aca="false">SUMIFS($B$10:$CS$10,$B$5:$CS$5,"&gt;="&amp;(CF5-'Uplifters Inputs'!$B$18-'Uplifters Inputs'!$B$15-'Uplifters Inputs'!$B$16+1),$B$5:$CS$5,"&lt;="&amp;(CF5-'Uplifters Inputs'!$B$18-'Uplifters Inputs'!$B$15))*'Uplifters Inputs'!$B$11/'Uplifters Inputs'!$B$16</f>
        <v>0</v>
      </c>
      <c r="CG17" s="124" t="n">
        <f aca="false">SUMIFS($B$10:$CS$10,$B$5:$CS$5,"&gt;="&amp;(CG5-'Uplifters Inputs'!$B$18-'Uplifters Inputs'!$B$15-'Uplifters Inputs'!$B$16+1),$B$5:$CS$5,"&lt;="&amp;(CG5-'Uplifters Inputs'!$B$18-'Uplifters Inputs'!$B$15))*'Uplifters Inputs'!$B$11/'Uplifters Inputs'!$B$16</f>
        <v>0</v>
      </c>
      <c r="CH17" s="124" t="n">
        <f aca="false">SUMIFS($B$10:$CS$10,$B$5:$CS$5,"&gt;="&amp;(CH5-'Uplifters Inputs'!$B$18-'Uplifters Inputs'!$B$15-'Uplifters Inputs'!$B$16+1),$B$5:$CS$5,"&lt;="&amp;(CH5-'Uplifters Inputs'!$B$18-'Uplifters Inputs'!$B$15))*'Uplifters Inputs'!$B$11/'Uplifters Inputs'!$B$16</f>
        <v>0</v>
      </c>
      <c r="CI17" s="124" t="n">
        <f aca="false">SUMIFS($B$10:$CS$10,$B$5:$CS$5,"&gt;="&amp;(CI5-'Uplifters Inputs'!$B$18-'Uplifters Inputs'!$B$15-'Uplifters Inputs'!$B$16+1),$B$5:$CS$5,"&lt;="&amp;(CI5-'Uplifters Inputs'!$B$18-'Uplifters Inputs'!$B$15))*'Uplifters Inputs'!$B$11/'Uplifters Inputs'!$B$16</f>
        <v>0</v>
      </c>
      <c r="CJ17" s="124" t="n">
        <f aca="false">SUMIFS($B$10:$CS$10,$B$5:$CS$5,"&gt;="&amp;(CJ5-'Uplifters Inputs'!$B$18-'Uplifters Inputs'!$B$15-'Uplifters Inputs'!$B$16+1),$B$5:$CS$5,"&lt;="&amp;(CJ5-'Uplifters Inputs'!$B$18-'Uplifters Inputs'!$B$15))*'Uplifters Inputs'!$B$11/'Uplifters Inputs'!$B$16</f>
        <v>0</v>
      </c>
      <c r="CK17" s="124" t="n">
        <f aca="false">SUMIFS($B$10:$CS$10,$B$5:$CS$5,"&gt;="&amp;(CK5-'Uplifters Inputs'!$B$18-'Uplifters Inputs'!$B$15-'Uplifters Inputs'!$B$16+1),$B$5:$CS$5,"&lt;="&amp;(CK5-'Uplifters Inputs'!$B$18-'Uplifters Inputs'!$B$15))*'Uplifters Inputs'!$B$11/'Uplifters Inputs'!$B$16</f>
        <v>0</v>
      </c>
      <c r="CL17" s="124" t="n">
        <f aca="false">SUMIFS($B$10:$CS$10,$B$5:$CS$5,"&gt;="&amp;(CL5-'Uplifters Inputs'!$B$18-'Uplifters Inputs'!$B$15-'Uplifters Inputs'!$B$16+1),$B$5:$CS$5,"&lt;="&amp;(CL5-'Uplifters Inputs'!$B$18-'Uplifters Inputs'!$B$15))*'Uplifters Inputs'!$B$11/'Uplifters Inputs'!$B$16</f>
        <v>0</v>
      </c>
      <c r="CM17" s="124" t="n">
        <f aca="false">SUMIFS($B$10:$CS$10,$B$5:$CS$5,"&gt;="&amp;(CM5-'Uplifters Inputs'!$B$18-'Uplifters Inputs'!$B$15-'Uplifters Inputs'!$B$16+1),$B$5:$CS$5,"&lt;="&amp;(CM5-'Uplifters Inputs'!$B$18-'Uplifters Inputs'!$B$15))*'Uplifters Inputs'!$B$11/'Uplifters Inputs'!$B$16</f>
        <v>0</v>
      </c>
      <c r="CN17" s="124" t="n">
        <f aca="false">SUMIFS($B$10:$CS$10,$B$5:$CS$5,"&gt;="&amp;(CN5-'Uplifters Inputs'!$B$18-'Uplifters Inputs'!$B$15-'Uplifters Inputs'!$B$16+1),$B$5:$CS$5,"&lt;="&amp;(CN5-'Uplifters Inputs'!$B$18-'Uplifters Inputs'!$B$15))*'Uplifters Inputs'!$B$11/'Uplifters Inputs'!$B$16</f>
        <v>0</v>
      </c>
      <c r="CO17" s="124" t="n">
        <f aca="false">SUMIFS($B$10:$CS$10,$B$5:$CS$5,"&gt;="&amp;(CO5-'Uplifters Inputs'!$B$18-'Uplifters Inputs'!$B$15-'Uplifters Inputs'!$B$16+1),$B$5:$CS$5,"&lt;="&amp;(CO5-'Uplifters Inputs'!$B$18-'Uplifters Inputs'!$B$15))*'Uplifters Inputs'!$B$11/'Uplifters Inputs'!$B$16</f>
        <v>0</v>
      </c>
      <c r="CP17" s="124" t="n">
        <f aca="false">SUMIFS($B$10:$CS$10,$B$5:$CS$5,"&gt;="&amp;(CP5-'Uplifters Inputs'!$B$18-'Uplifters Inputs'!$B$15-'Uplifters Inputs'!$B$16+1),$B$5:$CS$5,"&lt;="&amp;(CP5-'Uplifters Inputs'!$B$18-'Uplifters Inputs'!$B$15))*'Uplifters Inputs'!$B$11/'Uplifters Inputs'!$B$16</f>
        <v>0</v>
      </c>
      <c r="CQ17" s="124" t="n">
        <f aca="false">SUMIFS($B$10:$CS$10,$B$5:$CS$5,"&gt;="&amp;(CQ5-'Uplifters Inputs'!$B$18-'Uplifters Inputs'!$B$15-'Uplifters Inputs'!$B$16+1),$B$5:$CS$5,"&lt;="&amp;(CQ5-'Uplifters Inputs'!$B$18-'Uplifters Inputs'!$B$15))*'Uplifters Inputs'!$B$11/'Uplifters Inputs'!$B$16</f>
        <v>0</v>
      </c>
      <c r="CR17" s="124" t="n">
        <f aca="false">SUMIFS($B$10:$CS$10,$B$5:$CS$5,"&gt;="&amp;(CR5-'Uplifters Inputs'!$B$18-'Uplifters Inputs'!$B$15-'Uplifters Inputs'!$B$16+1),$B$5:$CS$5,"&lt;="&amp;(CR5-'Uplifters Inputs'!$B$18-'Uplifters Inputs'!$B$15))*'Uplifters Inputs'!$B$11/'Uplifters Inputs'!$B$16</f>
        <v>0</v>
      </c>
      <c r="CS17" s="124"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3" t="s">
        <v>1417</v>
      </c>
      <c r="B18" s="124" t="n">
        <f aca="false">SUMIFS($B$10:$CS$10,$B$5:$CS$5,B5-'Uplifters Inputs'!$B$15-'Uplifters Inputs'!$B$16-'Uplifters Inputs'!$B$18)*'Uplifters Inputs'!$B$12</f>
        <v>0</v>
      </c>
      <c r="C18" s="124" t="n">
        <f aca="false">SUMIFS($B$10:$CS$10,$B$5:$CS$5,C5-'Uplifters Inputs'!$B$15-'Uplifters Inputs'!$B$16-'Uplifters Inputs'!$B$18)*'Uplifters Inputs'!$B$12</f>
        <v>0</v>
      </c>
      <c r="D18" s="124" t="n">
        <f aca="false">SUMIFS($B$10:$CS$10,$B$5:$CS$5,D5-'Uplifters Inputs'!$B$15-'Uplifters Inputs'!$B$16-'Uplifters Inputs'!$B$18)*'Uplifters Inputs'!$B$12</f>
        <v>0</v>
      </c>
      <c r="E18" s="124" t="n">
        <f aca="false">SUMIFS($B$10:$CS$10,$B$5:$CS$5,E5-'Uplifters Inputs'!$B$15-'Uplifters Inputs'!$B$16-'Uplifters Inputs'!$B$18)*'Uplifters Inputs'!$B$12</f>
        <v>0</v>
      </c>
      <c r="F18" s="124" t="n">
        <f aca="false">SUMIFS($B$10:$CS$10,$B$5:$CS$5,F5-'Uplifters Inputs'!$B$15-'Uplifters Inputs'!$B$16-'Uplifters Inputs'!$B$18)*'Uplifters Inputs'!$B$12</f>
        <v>0</v>
      </c>
      <c r="G18" s="124" t="n">
        <f aca="false">SUMIFS($B$10:$CS$10,$B$5:$CS$5,G5-'Uplifters Inputs'!$B$15-'Uplifters Inputs'!$B$16-'Uplifters Inputs'!$B$18)*'Uplifters Inputs'!$B$12</f>
        <v>0</v>
      </c>
      <c r="H18" s="124" t="n">
        <f aca="false">SUMIFS($B$10:$CS$10,$B$5:$CS$5,H5-'Uplifters Inputs'!$B$15-'Uplifters Inputs'!$B$16-'Uplifters Inputs'!$B$18)*'Uplifters Inputs'!$B$12</f>
        <v>0</v>
      </c>
      <c r="I18" s="124" t="n">
        <f aca="false">SUMIFS($B$10:$CS$10,$B$5:$CS$5,I5-'Uplifters Inputs'!$B$15-'Uplifters Inputs'!$B$16-'Uplifters Inputs'!$B$18)*'Uplifters Inputs'!$B$12</f>
        <v>0</v>
      </c>
      <c r="J18" s="124" t="n">
        <f aca="false">SUMIFS($B$10:$CS$10,$B$5:$CS$5,J5-'Uplifters Inputs'!$B$15-'Uplifters Inputs'!$B$16-'Uplifters Inputs'!$B$18)*'Uplifters Inputs'!$B$12</f>
        <v>0</v>
      </c>
      <c r="K18" s="124" t="n">
        <f aca="false">SUMIFS($B$10:$CS$10,$B$5:$CS$5,K5-'Uplifters Inputs'!$B$15-'Uplifters Inputs'!$B$16-'Uplifters Inputs'!$B$18)*'Uplifters Inputs'!$B$12</f>
        <v>0</v>
      </c>
      <c r="L18" s="124" t="n">
        <f aca="false">SUMIFS($B$10:$CS$10,$B$5:$CS$5,L5-'Uplifters Inputs'!$B$15-'Uplifters Inputs'!$B$16-'Uplifters Inputs'!$B$18)*'Uplifters Inputs'!$B$12</f>
        <v>0</v>
      </c>
      <c r="M18" s="124" t="n">
        <f aca="false">SUMIFS($B$10:$CS$10,$B$5:$CS$5,M5-'Uplifters Inputs'!$B$15-'Uplifters Inputs'!$B$16-'Uplifters Inputs'!$B$18)*'Uplifters Inputs'!$B$12</f>
        <v>0</v>
      </c>
      <c r="N18" s="124" t="n">
        <f aca="false">SUMIFS($B$10:$CS$10,$B$5:$CS$5,N5-'Uplifters Inputs'!$B$15-'Uplifters Inputs'!$B$16-'Uplifters Inputs'!$B$18)*'Uplifters Inputs'!$B$12</f>
        <v>0</v>
      </c>
      <c r="O18" s="124" t="n">
        <f aca="false">SUMIFS($B$10:$CS$10,$B$5:$CS$5,O5-'Uplifters Inputs'!$B$15-'Uplifters Inputs'!$B$16-'Uplifters Inputs'!$B$18)*'Uplifters Inputs'!$B$12</f>
        <v>0</v>
      </c>
      <c r="P18" s="124" t="n">
        <f aca="false">SUMIFS($B$10:$CS$10,$B$5:$CS$5,P5-'Uplifters Inputs'!$B$15-'Uplifters Inputs'!$B$16-'Uplifters Inputs'!$B$18)*'Uplifters Inputs'!$B$12</f>
        <v>0</v>
      </c>
      <c r="Q18" s="124" t="n">
        <f aca="false">SUMIFS($B$10:$CS$10,$B$5:$CS$5,Q5-'Uplifters Inputs'!$B$15-'Uplifters Inputs'!$B$16-'Uplifters Inputs'!$B$18)*'Uplifters Inputs'!$B$12</f>
        <v>0</v>
      </c>
      <c r="R18" s="124" t="n">
        <f aca="false">SUMIFS($B$10:$CS$10,$B$5:$CS$5,R5-'Uplifters Inputs'!$B$15-'Uplifters Inputs'!$B$16-'Uplifters Inputs'!$B$18)*'Uplifters Inputs'!$B$12</f>
        <v>0</v>
      </c>
      <c r="S18" s="124" t="n">
        <f aca="false">SUMIFS($B$10:$CS$10,$B$5:$CS$5,S5-'Uplifters Inputs'!$B$15-'Uplifters Inputs'!$B$16-'Uplifters Inputs'!$B$18)*'Uplifters Inputs'!$B$12</f>
        <v>0</v>
      </c>
      <c r="T18" s="124" t="n">
        <f aca="false">SUMIFS($B$10:$CS$10,$B$5:$CS$5,T5-'Uplifters Inputs'!$B$15-'Uplifters Inputs'!$B$16-'Uplifters Inputs'!$B$18)*'Uplifters Inputs'!$B$12</f>
        <v>0</v>
      </c>
      <c r="U18" s="124" t="n">
        <f aca="false">SUMIFS($B$10:$CS$10,$B$5:$CS$5,U5-'Uplifters Inputs'!$B$15-'Uplifters Inputs'!$B$16-'Uplifters Inputs'!$B$18)*'Uplifters Inputs'!$B$12</f>
        <v>0</v>
      </c>
      <c r="V18" s="124" t="n">
        <f aca="false">SUMIFS($B$10:$CS$10,$B$5:$CS$5,V5-'Uplifters Inputs'!$B$15-'Uplifters Inputs'!$B$16-'Uplifters Inputs'!$B$18)*'Uplifters Inputs'!$B$12</f>
        <v>0</v>
      </c>
      <c r="W18" s="124" t="n">
        <f aca="false">SUMIFS($B$10:$CS$10,$B$5:$CS$5,W5-'Uplifters Inputs'!$B$15-'Uplifters Inputs'!$B$16-'Uplifters Inputs'!$B$18)*'Uplifters Inputs'!$B$12</f>
        <v>0</v>
      </c>
      <c r="X18" s="124" t="n">
        <f aca="false">SUMIFS($B$10:$CS$10,$B$5:$CS$5,X5-'Uplifters Inputs'!$B$15-'Uplifters Inputs'!$B$16-'Uplifters Inputs'!$B$18)*'Uplifters Inputs'!$B$12</f>
        <v>0</v>
      </c>
      <c r="Y18" s="124" t="n">
        <f aca="false">SUMIFS($B$10:$CS$10,$B$5:$CS$5,Y5-'Uplifters Inputs'!$B$15-'Uplifters Inputs'!$B$16-'Uplifters Inputs'!$B$18)*'Uplifters Inputs'!$B$12</f>
        <v>0</v>
      </c>
      <c r="Z18" s="124" t="n">
        <f aca="false">SUMIFS($B$10:$CS$10,$B$5:$CS$5,Z5-'Uplifters Inputs'!$B$15-'Uplifters Inputs'!$B$16-'Uplifters Inputs'!$B$18)*'Uplifters Inputs'!$B$12</f>
        <v>0</v>
      </c>
      <c r="AA18" s="124" t="n">
        <f aca="false">SUMIFS($B$10:$CS$10,$B$5:$CS$5,AA5-'Uplifters Inputs'!$B$15-'Uplifters Inputs'!$B$16-'Uplifters Inputs'!$B$18)*'Uplifters Inputs'!$B$12</f>
        <v>0</v>
      </c>
      <c r="AB18" s="124" t="n">
        <f aca="false">SUMIFS($B$10:$CS$10,$B$5:$CS$5,AB5-'Uplifters Inputs'!$B$15-'Uplifters Inputs'!$B$16-'Uplifters Inputs'!$B$18)*'Uplifters Inputs'!$B$12</f>
        <v>0</v>
      </c>
      <c r="AC18" s="124" t="n">
        <f aca="false">SUMIFS($B$10:$CS$10,$B$5:$CS$5,AC5-'Uplifters Inputs'!$B$15-'Uplifters Inputs'!$B$16-'Uplifters Inputs'!$B$18)*'Uplifters Inputs'!$B$12</f>
        <v>0</v>
      </c>
      <c r="AD18" s="124" t="n">
        <f aca="false">SUMIFS($B$10:$CS$10,$B$5:$CS$5,AD5-'Uplifters Inputs'!$B$15-'Uplifters Inputs'!$B$16-'Uplifters Inputs'!$B$18)*'Uplifters Inputs'!$B$12</f>
        <v>0</v>
      </c>
      <c r="AE18" s="124" t="n">
        <f aca="false">SUMIFS($B$10:$CS$10,$B$5:$CS$5,AE5-'Uplifters Inputs'!$B$15-'Uplifters Inputs'!$B$16-'Uplifters Inputs'!$B$18)*'Uplifters Inputs'!$B$12</f>
        <v>0</v>
      </c>
      <c r="AF18" s="124" t="n">
        <f aca="false">SUMIFS($B$10:$CS$10,$B$5:$CS$5,AF5-'Uplifters Inputs'!$B$15-'Uplifters Inputs'!$B$16-'Uplifters Inputs'!$B$18)*'Uplifters Inputs'!$B$12</f>
        <v>0</v>
      </c>
      <c r="AG18" s="124" t="n">
        <f aca="false">SUMIFS($B$10:$CS$10,$B$5:$CS$5,AG5-'Uplifters Inputs'!$B$15-'Uplifters Inputs'!$B$16-'Uplifters Inputs'!$B$18)*'Uplifters Inputs'!$B$12</f>
        <v>0</v>
      </c>
      <c r="AH18" s="124" t="n">
        <f aca="false">SUMIFS($B$10:$CS$10,$B$5:$CS$5,AH5-'Uplifters Inputs'!$B$15-'Uplifters Inputs'!$B$16-'Uplifters Inputs'!$B$18)*'Uplifters Inputs'!$B$12</f>
        <v>5400</v>
      </c>
      <c r="AI18" s="124" t="n">
        <f aca="false">SUMIFS($B$10:$CS$10,$B$5:$CS$5,AI5-'Uplifters Inputs'!$B$15-'Uplifters Inputs'!$B$16-'Uplifters Inputs'!$B$18)*'Uplifters Inputs'!$B$12</f>
        <v>10800</v>
      </c>
      <c r="AJ18" s="124" t="n">
        <f aca="false">SUMIFS($B$10:$CS$10,$B$5:$CS$5,AJ5-'Uplifters Inputs'!$B$15-'Uplifters Inputs'!$B$16-'Uplifters Inputs'!$B$18)*'Uplifters Inputs'!$B$12</f>
        <v>16200</v>
      </c>
      <c r="AK18" s="124" t="n">
        <f aca="false">SUMIFS($B$10:$CS$10,$B$5:$CS$5,AK5-'Uplifters Inputs'!$B$15-'Uplifters Inputs'!$B$16-'Uplifters Inputs'!$B$18)*'Uplifters Inputs'!$B$12</f>
        <v>21600</v>
      </c>
      <c r="AL18" s="124" t="n">
        <f aca="false">SUMIFS($B$10:$CS$10,$B$5:$CS$5,AL5-'Uplifters Inputs'!$B$15-'Uplifters Inputs'!$B$16-'Uplifters Inputs'!$B$18)*'Uplifters Inputs'!$B$12</f>
        <v>27000</v>
      </c>
      <c r="AM18" s="124" t="n">
        <f aca="false">SUMIFS($B$10:$CS$10,$B$5:$CS$5,AM5-'Uplifters Inputs'!$B$15-'Uplifters Inputs'!$B$16-'Uplifters Inputs'!$B$18)*'Uplifters Inputs'!$B$12</f>
        <v>27000</v>
      </c>
      <c r="AN18" s="124" t="n">
        <f aca="false">SUMIFS($B$10:$CS$10,$B$5:$CS$5,AN5-'Uplifters Inputs'!$B$15-'Uplifters Inputs'!$B$16-'Uplifters Inputs'!$B$18)*'Uplifters Inputs'!$B$12</f>
        <v>27000</v>
      </c>
      <c r="AO18" s="124" t="n">
        <f aca="false">SUMIFS($B$10:$CS$10,$B$5:$CS$5,AO5-'Uplifters Inputs'!$B$15-'Uplifters Inputs'!$B$16-'Uplifters Inputs'!$B$18)*'Uplifters Inputs'!$B$12</f>
        <v>27000</v>
      </c>
      <c r="AP18" s="124" t="n">
        <f aca="false">SUMIFS($B$10:$CS$10,$B$5:$CS$5,AP5-'Uplifters Inputs'!$B$15-'Uplifters Inputs'!$B$16-'Uplifters Inputs'!$B$18)*'Uplifters Inputs'!$B$12</f>
        <v>21600</v>
      </c>
      <c r="AQ18" s="124" t="n">
        <f aca="false">SUMIFS($B$10:$CS$10,$B$5:$CS$5,AQ5-'Uplifters Inputs'!$B$15-'Uplifters Inputs'!$B$16-'Uplifters Inputs'!$B$18)*'Uplifters Inputs'!$B$12</f>
        <v>21600</v>
      </c>
      <c r="AR18" s="124" t="n">
        <f aca="false">SUMIFS($B$10:$CS$10,$B$5:$CS$5,AR5-'Uplifters Inputs'!$B$15-'Uplifters Inputs'!$B$16-'Uplifters Inputs'!$B$18)*'Uplifters Inputs'!$B$12</f>
        <v>16200</v>
      </c>
      <c r="AS18" s="124" t="n">
        <f aca="false">SUMIFS($B$10:$CS$10,$B$5:$CS$5,AS5-'Uplifters Inputs'!$B$15-'Uplifters Inputs'!$B$16-'Uplifters Inputs'!$B$18)*'Uplifters Inputs'!$B$12</f>
        <v>16200</v>
      </c>
      <c r="AT18" s="124" t="n">
        <f aca="false">SUMIFS($B$10:$CS$10,$B$5:$CS$5,AT5-'Uplifters Inputs'!$B$15-'Uplifters Inputs'!$B$16-'Uplifters Inputs'!$B$18)*'Uplifters Inputs'!$B$12</f>
        <v>10800</v>
      </c>
      <c r="AU18" s="124" t="n">
        <f aca="false">SUMIFS($B$10:$CS$10,$B$5:$CS$5,AU5-'Uplifters Inputs'!$B$15-'Uplifters Inputs'!$B$16-'Uplifters Inputs'!$B$18)*'Uplifters Inputs'!$B$12</f>
        <v>10800</v>
      </c>
      <c r="AV18" s="124" t="n">
        <f aca="false">SUMIFS($B$10:$CS$10,$B$5:$CS$5,AV5-'Uplifters Inputs'!$B$15-'Uplifters Inputs'!$B$16-'Uplifters Inputs'!$B$18)*'Uplifters Inputs'!$B$12</f>
        <v>10800</v>
      </c>
      <c r="AW18" s="124" t="n">
        <f aca="false">SUMIFS($B$10:$CS$10,$B$5:$CS$5,AW5-'Uplifters Inputs'!$B$15-'Uplifters Inputs'!$B$16-'Uplifters Inputs'!$B$18)*'Uplifters Inputs'!$B$12</f>
        <v>10800</v>
      </c>
      <c r="AX18" s="124" t="n">
        <f aca="false">SUMIFS($B$10:$CS$10,$B$5:$CS$5,AX5-'Uplifters Inputs'!$B$15-'Uplifters Inputs'!$B$16-'Uplifters Inputs'!$B$18)*'Uplifters Inputs'!$B$12</f>
        <v>5400</v>
      </c>
      <c r="AY18" s="124" t="n">
        <f aca="false">SUMIFS($B$10:$CS$10,$B$5:$CS$5,AY5-'Uplifters Inputs'!$B$15-'Uplifters Inputs'!$B$16-'Uplifters Inputs'!$B$18)*'Uplifters Inputs'!$B$12</f>
        <v>5400</v>
      </c>
      <c r="AZ18" s="124" t="n">
        <f aca="false">SUMIFS($B$10:$CS$10,$B$5:$CS$5,AZ5-'Uplifters Inputs'!$B$15-'Uplifters Inputs'!$B$16-'Uplifters Inputs'!$B$18)*'Uplifters Inputs'!$B$12</f>
        <v>5400</v>
      </c>
      <c r="BA18" s="124" t="n">
        <f aca="false">SUMIFS($B$10:$CS$10,$B$5:$CS$5,BA5-'Uplifters Inputs'!$B$15-'Uplifters Inputs'!$B$16-'Uplifters Inputs'!$B$18)*'Uplifters Inputs'!$B$12</f>
        <v>5400</v>
      </c>
      <c r="BB18" s="124" t="n">
        <f aca="false">SUMIFS($B$10:$CS$10,$B$5:$CS$5,BB5-'Uplifters Inputs'!$B$15-'Uplifters Inputs'!$B$16-'Uplifters Inputs'!$B$18)*'Uplifters Inputs'!$B$12</f>
        <v>5400</v>
      </c>
      <c r="BC18" s="124" t="n">
        <f aca="false">SUMIFS($B$10:$CS$10,$B$5:$CS$5,BC5-'Uplifters Inputs'!$B$15-'Uplifters Inputs'!$B$16-'Uplifters Inputs'!$B$18)*'Uplifters Inputs'!$B$12</f>
        <v>5400</v>
      </c>
      <c r="BD18" s="124" t="n">
        <f aca="false">SUMIFS($B$10:$CS$10,$B$5:$CS$5,BD5-'Uplifters Inputs'!$B$15-'Uplifters Inputs'!$B$16-'Uplifters Inputs'!$B$18)*'Uplifters Inputs'!$B$12</f>
        <v>5400</v>
      </c>
      <c r="BE18" s="124" t="n">
        <f aca="false">SUMIFS($B$10:$CS$10,$B$5:$CS$5,BE5-'Uplifters Inputs'!$B$15-'Uplifters Inputs'!$B$16-'Uplifters Inputs'!$B$18)*'Uplifters Inputs'!$B$12</f>
        <v>5400</v>
      </c>
      <c r="BF18" s="124" t="n">
        <f aca="false">SUMIFS($B$10:$CS$10,$B$5:$CS$5,BF5-'Uplifters Inputs'!$B$15-'Uplifters Inputs'!$B$16-'Uplifters Inputs'!$B$18)*'Uplifters Inputs'!$B$12</f>
        <v>0</v>
      </c>
      <c r="BG18" s="124" t="n">
        <f aca="false">SUMIFS($B$10:$CS$10,$B$5:$CS$5,BG5-'Uplifters Inputs'!$B$15-'Uplifters Inputs'!$B$16-'Uplifters Inputs'!$B$18)*'Uplifters Inputs'!$B$12</f>
        <v>0</v>
      </c>
      <c r="BH18" s="124" t="n">
        <f aca="false">SUMIFS($B$10:$CS$10,$B$5:$CS$5,BH5-'Uplifters Inputs'!$B$15-'Uplifters Inputs'!$B$16-'Uplifters Inputs'!$B$18)*'Uplifters Inputs'!$B$12</f>
        <v>0</v>
      </c>
      <c r="BI18" s="124" t="n">
        <f aca="false">SUMIFS($B$10:$CS$10,$B$5:$CS$5,BI5-'Uplifters Inputs'!$B$15-'Uplifters Inputs'!$B$16-'Uplifters Inputs'!$B$18)*'Uplifters Inputs'!$B$12</f>
        <v>0</v>
      </c>
      <c r="BJ18" s="124" t="n">
        <f aca="false">SUMIFS($B$10:$CS$10,$B$5:$CS$5,BJ5-'Uplifters Inputs'!$B$15-'Uplifters Inputs'!$B$16-'Uplifters Inputs'!$B$18)*'Uplifters Inputs'!$B$12</f>
        <v>0</v>
      </c>
      <c r="BK18" s="124" t="n">
        <f aca="false">SUMIFS($B$10:$CS$10,$B$5:$CS$5,BK5-'Uplifters Inputs'!$B$15-'Uplifters Inputs'!$B$16-'Uplifters Inputs'!$B$18)*'Uplifters Inputs'!$B$12</f>
        <v>0</v>
      </c>
      <c r="BL18" s="124" t="n">
        <f aca="false">SUMIFS($B$10:$CS$10,$B$5:$CS$5,BL5-'Uplifters Inputs'!$B$15-'Uplifters Inputs'!$B$16-'Uplifters Inputs'!$B$18)*'Uplifters Inputs'!$B$12</f>
        <v>0</v>
      </c>
      <c r="BM18" s="124" t="n">
        <f aca="false">SUMIFS($B$10:$CS$10,$B$5:$CS$5,BM5-'Uplifters Inputs'!$B$15-'Uplifters Inputs'!$B$16-'Uplifters Inputs'!$B$18)*'Uplifters Inputs'!$B$12</f>
        <v>0</v>
      </c>
      <c r="BN18" s="124" t="n">
        <f aca="false">SUMIFS($B$10:$CS$10,$B$5:$CS$5,BN5-'Uplifters Inputs'!$B$15-'Uplifters Inputs'!$B$16-'Uplifters Inputs'!$B$18)*'Uplifters Inputs'!$B$12</f>
        <v>0</v>
      </c>
      <c r="BO18" s="124" t="n">
        <f aca="false">SUMIFS($B$10:$CS$10,$B$5:$CS$5,BO5-'Uplifters Inputs'!$B$15-'Uplifters Inputs'!$B$16-'Uplifters Inputs'!$B$18)*'Uplifters Inputs'!$B$12</f>
        <v>0</v>
      </c>
      <c r="BP18" s="124" t="n">
        <f aca="false">SUMIFS($B$10:$CS$10,$B$5:$CS$5,BP5-'Uplifters Inputs'!$B$15-'Uplifters Inputs'!$B$16-'Uplifters Inputs'!$B$18)*'Uplifters Inputs'!$B$12</f>
        <v>0</v>
      </c>
      <c r="BQ18" s="124" t="n">
        <f aca="false">SUMIFS($B$10:$CS$10,$B$5:$CS$5,BQ5-'Uplifters Inputs'!$B$15-'Uplifters Inputs'!$B$16-'Uplifters Inputs'!$B$18)*'Uplifters Inputs'!$B$12</f>
        <v>0</v>
      </c>
      <c r="BR18" s="124" t="n">
        <f aca="false">SUMIFS($B$10:$CS$10,$B$5:$CS$5,BR5-'Uplifters Inputs'!$B$15-'Uplifters Inputs'!$B$16-'Uplifters Inputs'!$B$18)*'Uplifters Inputs'!$B$12</f>
        <v>0</v>
      </c>
      <c r="BS18" s="124" t="n">
        <f aca="false">SUMIFS($B$10:$CS$10,$B$5:$CS$5,BS5-'Uplifters Inputs'!$B$15-'Uplifters Inputs'!$B$16-'Uplifters Inputs'!$B$18)*'Uplifters Inputs'!$B$12</f>
        <v>0</v>
      </c>
      <c r="BT18" s="124" t="n">
        <f aca="false">SUMIFS($B$10:$CS$10,$B$5:$CS$5,BT5-'Uplifters Inputs'!$B$15-'Uplifters Inputs'!$B$16-'Uplifters Inputs'!$B$18)*'Uplifters Inputs'!$B$12</f>
        <v>0</v>
      </c>
      <c r="BU18" s="124" t="n">
        <f aca="false">SUMIFS($B$10:$CS$10,$B$5:$CS$5,BU5-'Uplifters Inputs'!$B$15-'Uplifters Inputs'!$B$16-'Uplifters Inputs'!$B$18)*'Uplifters Inputs'!$B$12</f>
        <v>0</v>
      </c>
      <c r="BV18" s="124" t="n">
        <f aca="false">SUMIFS($B$10:$CS$10,$B$5:$CS$5,BV5-'Uplifters Inputs'!$B$15-'Uplifters Inputs'!$B$16-'Uplifters Inputs'!$B$18)*'Uplifters Inputs'!$B$12</f>
        <v>0</v>
      </c>
      <c r="BW18" s="124" t="n">
        <f aca="false">SUMIFS($B$10:$CS$10,$B$5:$CS$5,BW5-'Uplifters Inputs'!$B$15-'Uplifters Inputs'!$B$16-'Uplifters Inputs'!$B$18)*'Uplifters Inputs'!$B$12</f>
        <v>0</v>
      </c>
      <c r="BX18" s="124" t="n">
        <f aca="false">SUMIFS($B$10:$CS$10,$B$5:$CS$5,BX5-'Uplifters Inputs'!$B$15-'Uplifters Inputs'!$B$16-'Uplifters Inputs'!$B$18)*'Uplifters Inputs'!$B$12</f>
        <v>0</v>
      </c>
      <c r="BY18" s="124" t="n">
        <f aca="false">SUMIFS($B$10:$CS$10,$B$5:$CS$5,BY5-'Uplifters Inputs'!$B$15-'Uplifters Inputs'!$B$16-'Uplifters Inputs'!$B$18)*'Uplifters Inputs'!$B$12</f>
        <v>0</v>
      </c>
      <c r="BZ18" s="124" t="n">
        <f aca="false">SUMIFS($B$10:$CS$10,$B$5:$CS$5,BZ5-'Uplifters Inputs'!$B$15-'Uplifters Inputs'!$B$16-'Uplifters Inputs'!$B$18)*'Uplifters Inputs'!$B$12</f>
        <v>0</v>
      </c>
      <c r="CA18" s="124" t="n">
        <f aca="false">SUMIFS($B$10:$CS$10,$B$5:$CS$5,CA5-'Uplifters Inputs'!$B$15-'Uplifters Inputs'!$B$16-'Uplifters Inputs'!$B$18)*'Uplifters Inputs'!$B$12</f>
        <v>0</v>
      </c>
      <c r="CB18" s="124" t="n">
        <f aca="false">SUMIFS($B$10:$CS$10,$B$5:$CS$5,CB5-'Uplifters Inputs'!$B$15-'Uplifters Inputs'!$B$16-'Uplifters Inputs'!$B$18)*'Uplifters Inputs'!$B$12</f>
        <v>0</v>
      </c>
      <c r="CC18" s="124" t="n">
        <f aca="false">SUMIFS($B$10:$CS$10,$B$5:$CS$5,CC5-'Uplifters Inputs'!$B$15-'Uplifters Inputs'!$B$16-'Uplifters Inputs'!$B$18)*'Uplifters Inputs'!$B$12</f>
        <v>0</v>
      </c>
      <c r="CD18" s="124" t="n">
        <f aca="false">SUMIFS($B$10:$CS$10,$B$5:$CS$5,CD5-'Uplifters Inputs'!$B$15-'Uplifters Inputs'!$B$16-'Uplifters Inputs'!$B$18)*'Uplifters Inputs'!$B$12</f>
        <v>0</v>
      </c>
      <c r="CE18" s="124" t="n">
        <f aca="false">SUMIFS($B$10:$CS$10,$B$5:$CS$5,CE5-'Uplifters Inputs'!$B$15-'Uplifters Inputs'!$B$16-'Uplifters Inputs'!$B$18)*'Uplifters Inputs'!$B$12</f>
        <v>0</v>
      </c>
      <c r="CF18" s="124" t="n">
        <f aca="false">SUMIFS($B$10:$CS$10,$B$5:$CS$5,CF5-'Uplifters Inputs'!$B$15-'Uplifters Inputs'!$B$16-'Uplifters Inputs'!$B$18)*'Uplifters Inputs'!$B$12</f>
        <v>0</v>
      </c>
      <c r="CG18" s="124" t="n">
        <f aca="false">SUMIFS($B$10:$CS$10,$B$5:$CS$5,CG5-'Uplifters Inputs'!$B$15-'Uplifters Inputs'!$B$16-'Uplifters Inputs'!$B$18)*'Uplifters Inputs'!$B$12</f>
        <v>0</v>
      </c>
      <c r="CH18" s="124" t="n">
        <f aca="false">SUMIFS($B$10:$CS$10,$B$5:$CS$5,CH5-'Uplifters Inputs'!$B$15-'Uplifters Inputs'!$B$16-'Uplifters Inputs'!$B$18)*'Uplifters Inputs'!$B$12</f>
        <v>0</v>
      </c>
      <c r="CI18" s="124" t="n">
        <f aca="false">SUMIFS($B$10:$CS$10,$B$5:$CS$5,CI5-'Uplifters Inputs'!$B$15-'Uplifters Inputs'!$B$16-'Uplifters Inputs'!$B$18)*'Uplifters Inputs'!$B$12</f>
        <v>0</v>
      </c>
      <c r="CJ18" s="124" t="n">
        <f aca="false">SUMIFS($B$10:$CS$10,$B$5:$CS$5,CJ5-'Uplifters Inputs'!$B$15-'Uplifters Inputs'!$B$16-'Uplifters Inputs'!$B$18)*'Uplifters Inputs'!$B$12</f>
        <v>0</v>
      </c>
      <c r="CK18" s="124" t="n">
        <f aca="false">SUMIFS($B$10:$CS$10,$B$5:$CS$5,CK5-'Uplifters Inputs'!$B$15-'Uplifters Inputs'!$B$16-'Uplifters Inputs'!$B$18)*'Uplifters Inputs'!$B$12</f>
        <v>0</v>
      </c>
      <c r="CL18" s="124" t="n">
        <f aca="false">SUMIFS($B$10:$CS$10,$B$5:$CS$5,CL5-'Uplifters Inputs'!$B$15-'Uplifters Inputs'!$B$16-'Uplifters Inputs'!$B$18)*'Uplifters Inputs'!$B$12</f>
        <v>0</v>
      </c>
      <c r="CM18" s="124" t="n">
        <f aca="false">SUMIFS($B$10:$CS$10,$B$5:$CS$5,CM5-'Uplifters Inputs'!$B$15-'Uplifters Inputs'!$B$16-'Uplifters Inputs'!$B$18)*'Uplifters Inputs'!$B$12</f>
        <v>0</v>
      </c>
      <c r="CN18" s="124" t="n">
        <f aca="false">SUMIFS($B$10:$CS$10,$B$5:$CS$5,CN5-'Uplifters Inputs'!$B$15-'Uplifters Inputs'!$B$16-'Uplifters Inputs'!$B$18)*'Uplifters Inputs'!$B$12</f>
        <v>0</v>
      </c>
      <c r="CO18" s="124" t="n">
        <f aca="false">SUMIFS($B$10:$CS$10,$B$5:$CS$5,CO5-'Uplifters Inputs'!$B$15-'Uplifters Inputs'!$B$16-'Uplifters Inputs'!$B$18)*'Uplifters Inputs'!$B$12</f>
        <v>0</v>
      </c>
      <c r="CP18" s="124" t="n">
        <f aca="false">SUMIFS($B$10:$CS$10,$B$5:$CS$5,CP5-'Uplifters Inputs'!$B$15-'Uplifters Inputs'!$B$16-'Uplifters Inputs'!$B$18)*'Uplifters Inputs'!$B$12</f>
        <v>0</v>
      </c>
      <c r="CQ18" s="124" t="n">
        <f aca="false">SUMIFS($B$10:$CS$10,$B$5:$CS$5,CQ5-'Uplifters Inputs'!$B$15-'Uplifters Inputs'!$B$16-'Uplifters Inputs'!$B$18)*'Uplifters Inputs'!$B$12</f>
        <v>0</v>
      </c>
      <c r="CR18" s="124" t="n">
        <f aca="false">SUMIFS($B$10:$CS$10,$B$5:$CS$5,CR5-'Uplifters Inputs'!$B$15-'Uplifters Inputs'!$B$16-'Uplifters Inputs'!$B$18)*'Uplifters Inputs'!$B$12</f>
        <v>0</v>
      </c>
      <c r="CS18" s="124" t="n">
        <f aca="false">SUMIFS($B$10:$CS$10,$B$5:$CS$5,CS5-'Uplifters Inputs'!$B$15-'Uplifters Inputs'!$B$16-'Uplifters Inputs'!$B$18)*'Uplifters Inputs'!$B$12</f>
        <v>0</v>
      </c>
    </row>
    <row r="19" customFormat="false" ht="15" hidden="false" customHeight="true" outlineLevel="0" collapsed="false">
      <c r="A19" s="123" t="s">
        <v>1418</v>
      </c>
      <c r="B19" s="124" t="n">
        <f aca="false">B13*'Uplifters Inputs'!$B$13</f>
        <v>0</v>
      </c>
      <c r="C19" s="124" t="n">
        <f aca="false">C13*'Uplifters Inputs'!$B$13</f>
        <v>0</v>
      </c>
      <c r="D19" s="124" t="n">
        <f aca="false">D13*'Uplifters Inputs'!$B$13</f>
        <v>0</v>
      </c>
      <c r="E19" s="124" t="n">
        <f aca="false">E13*'Uplifters Inputs'!$B$13</f>
        <v>0</v>
      </c>
      <c r="F19" s="124" t="n">
        <f aca="false">F13*'Uplifters Inputs'!$B$13</f>
        <v>0</v>
      </c>
      <c r="G19" s="124" t="n">
        <f aca="false">G13*'Uplifters Inputs'!$B$13</f>
        <v>0</v>
      </c>
      <c r="H19" s="124" t="n">
        <f aca="false">H13*'Uplifters Inputs'!$B$13</f>
        <v>0</v>
      </c>
      <c r="I19" s="124" t="n">
        <f aca="false">I13*'Uplifters Inputs'!$B$13</f>
        <v>0</v>
      </c>
      <c r="J19" s="124" t="n">
        <f aca="false">J13*'Uplifters Inputs'!$B$13</f>
        <v>0</v>
      </c>
      <c r="K19" s="124" t="n">
        <f aca="false">K13*'Uplifters Inputs'!$B$13</f>
        <v>0</v>
      </c>
      <c r="L19" s="124" t="n">
        <f aca="false">L13*'Uplifters Inputs'!$B$13</f>
        <v>0</v>
      </c>
      <c r="M19" s="124" t="n">
        <f aca="false">M13*'Uplifters Inputs'!$B$13</f>
        <v>0</v>
      </c>
      <c r="N19" s="124" t="n">
        <f aca="false">N13*'Uplifters Inputs'!$B$13</f>
        <v>0</v>
      </c>
      <c r="O19" s="124" t="n">
        <f aca="false">O13*'Uplifters Inputs'!$B$13</f>
        <v>0</v>
      </c>
      <c r="P19" s="124" t="n">
        <f aca="false">P13*'Uplifters Inputs'!$B$13</f>
        <v>0</v>
      </c>
      <c r="Q19" s="124" t="n">
        <f aca="false">Q13*'Uplifters Inputs'!$B$13</f>
        <v>0</v>
      </c>
      <c r="R19" s="124" t="n">
        <f aca="false">R13*'Uplifters Inputs'!$B$13</f>
        <v>0</v>
      </c>
      <c r="S19" s="124" t="n">
        <f aca="false">S13*'Uplifters Inputs'!$B$13</f>
        <v>0</v>
      </c>
      <c r="T19" s="124" t="n">
        <f aca="false">T13*'Uplifters Inputs'!$B$13</f>
        <v>0</v>
      </c>
      <c r="U19" s="124" t="n">
        <f aca="false">U13*'Uplifters Inputs'!$B$13</f>
        <v>0</v>
      </c>
      <c r="V19" s="124" t="n">
        <f aca="false">V13*'Uplifters Inputs'!$B$13</f>
        <v>0</v>
      </c>
      <c r="W19" s="124" t="n">
        <f aca="false">W13*'Uplifters Inputs'!$B$13</f>
        <v>0</v>
      </c>
      <c r="X19" s="124" t="n">
        <f aca="false">X13*'Uplifters Inputs'!$B$13</f>
        <v>0</v>
      </c>
      <c r="Y19" s="124" t="n">
        <f aca="false">Y13*'Uplifters Inputs'!$B$13</f>
        <v>0</v>
      </c>
      <c r="Z19" s="124" t="n">
        <f aca="false">Z13*'Uplifters Inputs'!$B$13</f>
        <v>0</v>
      </c>
      <c r="AA19" s="124" t="n">
        <f aca="false">AA13*'Uplifters Inputs'!$B$13</f>
        <v>0</v>
      </c>
      <c r="AB19" s="124" t="n">
        <f aca="false">AB13*'Uplifters Inputs'!$B$13</f>
        <v>0</v>
      </c>
      <c r="AC19" s="124" t="n">
        <f aca="false">AC13*'Uplifters Inputs'!$B$13</f>
        <v>0</v>
      </c>
      <c r="AD19" s="124" t="n">
        <f aca="false">AD13*'Uplifters Inputs'!$B$13</f>
        <v>0</v>
      </c>
      <c r="AE19" s="124" t="n">
        <f aca="false">AE13*'Uplifters Inputs'!$B$13</f>
        <v>0</v>
      </c>
      <c r="AF19" s="124" t="n">
        <f aca="false">AF13*'Uplifters Inputs'!$B$13</f>
        <v>0</v>
      </c>
      <c r="AG19" s="124" t="n">
        <f aca="false">AG13*'Uplifters Inputs'!$B$13</f>
        <v>0</v>
      </c>
      <c r="AH19" s="124" t="n">
        <f aca="false">AH13*'Uplifters Inputs'!$B$13</f>
        <v>0</v>
      </c>
      <c r="AI19" s="124" t="n">
        <f aca="false">AI13*'Uplifters Inputs'!$B$13</f>
        <v>0</v>
      </c>
      <c r="AJ19" s="124" t="n">
        <f aca="false">AJ13*'Uplifters Inputs'!$B$13</f>
        <v>0</v>
      </c>
      <c r="AK19" s="124" t="n">
        <f aca="false">AK13*'Uplifters Inputs'!$B$13</f>
        <v>0</v>
      </c>
      <c r="AL19" s="124" t="n">
        <f aca="false">AL13*'Uplifters Inputs'!$B$13</f>
        <v>0</v>
      </c>
      <c r="AM19" s="124" t="n">
        <f aca="false">AM13*'Uplifters Inputs'!$B$13</f>
        <v>0</v>
      </c>
      <c r="AN19" s="124" t="n">
        <f aca="false">AN13*'Uplifters Inputs'!$B$13</f>
        <v>0</v>
      </c>
      <c r="AO19" s="124" t="n">
        <f aca="false">AO13*'Uplifters Inputs'!$B$13</f>
        <v>0</v>
      </c>
      <c r="AP19" s="124" t="n">
        <f aca="false">AP13*'Uplifters Inputs'!$B$13</f>
        <v>0</v>
      </c>
      <c r="AQ19" s="124" t="n">
        <f aca="false">AQ13*'Uplifters Inputs'!$B$13</f>
        <v>0</v>
      </c>
      <c r="AR19" s="124" t="n">
        <f aca="false">AR13*'Uplifters Inputs'!$B$13</f>
        <v>0</v>
      </c>
      <c r="AS19" s="124" t="n">
        <f aca="false">AS13*'Uplifters Inputs'!$B$13</f>
        <v>0</v>
      </c>
      <c r="AT19" s="124" t="n">
        <f aca="false">AT13*'Uplifters Inputs'!$B$13</f>
        <v>0</v>
      </c>
      <c r="AU19" s="124" t="n">
        <f aca="false">AU13*'Uplifters Inputs'!$B$13</f>
        <v>34198</v>
      </c>
      <c r="AV19" s="124" t="n">
        <f aca="false">AV13*'Uplifters Inputs'!$B$13</f>
        <v>68396</v>
      </c>
      <c r="AW19" s="124" t="n">
        <f aca="false">AW13*'Uplifters Inputs'!$B$13</f>
        <v>102594</v>
      </c>
      <c r="AX19" s="124" t="n">
        <f aca="false">AX13*'Uplifters Inputs'!$B$13</f>
        <v>136792</v>
      </c>
      <c r="AY19" s="124" t="n">
        <f aca="false">AY13*'Uplifters Inputs'!$B$13</f>
        <v>170990</v>
      </c>
      <c r="AZ19" s="124" t="n">
        <f aca="false">AZ13*'Uplifters Inputs'!$B$13</f>
        <v>170990</v>
      </c>
      <c r="BA19" s="124" t="n">
        <f aca="false">BA13*'Uplifters Inputs'!$B$13</f>
        <v>170990</v>
      </c>
      <c r="BB19" s="124" t="n">
        <f aca="false">BB13*'Uplifters Inputs'!$B$13</f>
        <v>170990</v>
      </c>
      <c r="BC19" s="124" t="n">
        <f aca="false">BC13*'Uplifters Inputs'!$B$13</f>
        <v>136792</v>
      </c>
      <c r="BD19" s="124" t="n">
        <f aca="false">BD13*'Uplifters Inputs'!$B$13</f>
        <v>136792</v>
      </c>
      <c r="BE19" s="124" t="n">
        <f aca="false">BE13*'Uplifters Inputs'!$B$13</f>
        <v>102594</v>
      </c>
      <c r="BF19" s="124" t="n">
        <f aca="false">BF13*'Uplifters Inputs'!$B$13</f>
        <v>102594</v>
      </c>
      <c r="BG19" s="124" t="n">
        <f aca="false">BG13*'Uplifters Inputs'!$B$13</f>
        <v>68396</v>
      </c>
      <c r="BH19" s="124" t="n">
        <f aca="false">BH13*'Uplifters Inputs'!$B$13</f>
        <v>68396</v>
      </c>
      <c r="BI19" s="124" t="n">
        <f aca="false">BI13*'Uplifters Inputs'!$B$13</f>
        <v>68396</v>
      </c>
      <c r="BJ19" s="124" t="n">
        <f aca="false">BJ13*'Uplifters Inputs'!$B$13</f>
        <v>68396</v>
      </c>
      <c r="BK19" s="124" t="n">
        <f aca="false">BK13*'Uplifters Inputs'!$B$13</f>
        <v>34198</v>
      </c>
      <c r="BL19" s="124" t="n">
        <f aca="false">BL13*'Uplifters Inputs'!$B$13</f>
        <v>34198</v>
      </c>
      <c r="BM19" s="124" t="n">
        <f aca="false">BM13*'Uplifters Inputs'!$B$13</f>
        <v>34198</v>
      </c>
      <c r="BN19" s="124" t="n">
        <f aca="false">BN13*'Uplifters Inputs'!$B$13</f>
        <v>34198</v>
      </c>
      <c r="BO19" s="124" t="n">
        <f aca="false">BO13*'Uplifters Inputs'!$B$13</f>
        <v>34198</v>
      </c>
      <c r="BP19" s="124" t="n">
        <f aca="false">BP13*'Uplifters Inputs'!$B$13</f>
        <v>34198</v>
      </c>
      <c r="BQ19" s="124" t="n">
        <f aca="false">BQ13*'Uplifters Inputs'!$B$13</f>
        <v>34198</v>
      </c>
      <c r="BR19" s="124" t="n">
        <f aca="false">BR13*'Uplifters Inputs'!$B$13</f>
        <v>34198</v>
      </c>
      <c r="BS19" s="124" t="n">
        <f aca="false">BS13*'Uplifters Inputs'!$B$13</f>
        <v>0</v>
      </c>
      <c r="BT19" s="124" t="n">
        <f aca="false">BT13*'Uplifters Inputs'!$B$13</f>
        <v>0</v>
      </c>
      <c r="BU19" s="124" t="n">
        <f aca="false">BU13*'Uplifters Inputs'!$B$13</f>
        <v>0</v>
      </c>
      <c r="BV19" s="124" t="n">
        <f aca="false">BV13*'Uplifters Inputs'!$B$13</f>
        <v>0</v>
      </c>
      <c r="BW19" s="124" t="n">
        <f aca="false">BW13*'Uplifters Inputs'!$B$13</f>
        <v>0</v>
      </c>
      <c r="BX19" s="124" t="n">
        <f aca="false">BX13*'Uplifters Inputs'!$B$13</f>
        <v>0</v>
      </c>
      <c r="BY19" s="124" t="n">
        <f aca="false">BY13*'Uplifters Inputs'!$B$13</f>
        <v>0</v>
      </c>
      <c r="BZ19" s="124" t="n">
        <f aca="false">BZ13*'Uplifters Inputs'!$B$13</f>
        <v>0</v>
      </c>
      <c r="CA19" s="124" t="n">
        <f aca="false">CA13*'Uplifters Inputs'!$B$13</f>
        <v>0</v>
      </c>
      <c r="CB19" s="124" t="n">
        <f aca="false">CB13*'Uplifters Inputs'!$B$13</f>
        <v>0</v>
      </c>
      <c r="CC19" s="124" t="n">
        <f aca="false">CC13*'Uplifters Inputs'!$B$13</f>
        <v>0</v>
      </c>
      <c r="CD19" s="124" t="n">
        <f aca="false">CD13*'Uplifters Inputs'!$B$13</f>
        <v>0</v>
      </c>
      <c r="CE19" s="124" t="n">
        <f aca="false">CE13*'Uplifters Inputs'!$B$13</f>
        <v>0</v>
      </c>
      <c r="CF19" s="124" t="n">
        <f aca="false">CF13*'Uplifters Inputs'!$B$13</f>
        <v>0</v>
      </c>
      <c r="CG19" s="124" t="n">
        <f aca="false">CG13*'Uplifters Inputs'!$B$13</f>
        <v>0</v>
      </c>
      <c r="CH19" s="124" t="n">
        <f aca="false">CH13*'Uplifters Inputs'!$B$13</f>
        <v>0</v>
      </c>
      <c r="CI19" s="124" t="n">
        <f aca="false">CI13*'Uplifters Inputs'!$B$13</f>
        <v>0</v>
      </c>
      <c r="CJ19" s="124" t="n">
        <f aca="false">CJ13*'Uplifters Inputs'!$B$13</f>
        <v>0</v>
      </c>
      <c r="CK19" s="124" t="n">
        <f aca="false">CK13*'Uplifters Inputs'!$B$13</f>
        <v>0</v>
      </c>
      <c r="CL19" s="124" t="n">
        <f aca="false">CL13*'Uplifters Inputs'!$B$13</f>
        <v>0</v>
      </c>
      <c r="CM19" s="124" t="n">
        <f aca="false">CM13*'Uplifters Inputs'!$B$13</f>
        <v>0</v>
      </c>
      <c r="CN19" s="124" t="n">
        <f aca="false">CN13*'Uplifters Inputs'!$B$13</f>
        <v>0</v>
      </c>
      <c r="CO19" s="124" t="n">
        <f aca="false">CO13*'Uplifters Inputs'!$B$13</f>
        <v>0</v>
      </c>
      <c r="CP19" s="124" t="n">
        <f aca="false">CP13*'Uplifters Inputs'!$B$13</f>
        <v>0</v>
      </c>
      <c r="CQ19" s="124" t="n">
        <f aca="false">CQ13*'Uplifters Inputs'!$B$13</f>
        <v>0</v>
      </c>
      <c r="CR19" s="124" t="n">
        <f aca="false">CR13*'Uplifters Inputs'!$B$13</f>
        <v>0</v>
      </c>
      <c r="CS19" s="124" t="n">
        <f aca="false">CS13*'Uplifters Inputs'!$B$13</f>
        <v>0</v>
      </c>
    </row>
    <row r="20" customFormat="false" ht="15" hidden="false" customHeight="true" outlineLevel="0" collapsed="false">
      <c r="A20" s="118" t="s">
        <v>1419</v>
      </c>
      <c r="B20" s="403" t="n">
        <f aca="false">SUM(B16:B19)</f>
        <v>0</v>
      </c>
      <c r="C20" s="403" t="n">
        <f aca="false">SUM(C16:C19)</f>
        <v>0</v>
      </c>
      <c r="D20" s="403" t="n">
        <f aca="false">SUM(D16:D19)</f>
        <v>0</v>
      </c>
      <c r="E20" s="403" t="n">
        <f aca="false">SUM(E16:E19)</f>
        <v>0</v>
      </c>
      <c r="F20" s="403" t="n">
        <f aca="false">SUM(F16:F19)</f>
        <v>0</v>
      </c>
      <c r="G20" s="403" t="n">
        <f aca="false">SUM(G16:G19)</f>
        <v>0</v>
      </c>
      <c r="H20" s="403" t="n">
        <f aca="false">SUM(H16:H19)</f>
        <v>0</v>
      </c>
      <c r="I20" s="403" t="n">
        <f aca="false">SUM(I16:I19)</f>
        <v>0</v>
      </c>
      <c r="J20" s="403" t="n">
        <f aca="false">SUM(J16:J19)</f>
        <v>0</v>
      </c>
      <c r="K20" s="403" t="n">
        <f aca="false">SUM(K16:K19)</f>
        <v>0</v>
      </c>
      <c r="L20" s="403" t="n">
        <f aca="false">SUM(L16:L19)</f>
        <v>0</v>
      </c>
      <c r="M20" s="403" t="n">
        <f aca="false">SUM(M16:M19)</f>
        <v>0</v>
      </c>
      <c r="N20" s="403" t="n">
        <f aca="false">SUM(N16:N19)</f>
        <v>0</v>
      </c>
      <c r="O20" s="403" t="n">
        <f aca="false">SUM(O16:O19)</f>
        <v>0</v>
      </c>
      <c r="P20" s="403" t="n">
        <f aca="false">SUM(P16:P19)</f>
        <v>0</v>
      </c>
      <c r="Q20" s="403" t="n">
        <f aca="false">SUM(Q16:Q19)</f>
        <v>14000</v>
      </c>
      <c r="R20" s="403" t="n">
        <f aca="false">SUM(R16:R19)</f>
        <v>28000</v>
      </c>
      <c r="S20" s="403" t="n">
        <f aca="false">SUM(S16:S19)</f>
        <v>42000</v>
      </c>
      <c r="T20" s="403" t="n">
        <f aca="false">SUM(T16:T19)</f>
        <v>56000</v>
      </c>
      <c r="U20" s="403" t="n">
        <f aca="false">SUM(U16:U19)</f>
        <v>70000</v>
      </c>
      <c r="V20" s="403" t="n">
        <f aca="false">SUM(V16:V19)</f>
        <v>78046.9166666667</v>
      </c>
      <c r="W20" s="403" t="n">
        <f aca="false">SUM(W16:W19)</f>
        <v>94140.75</v>
      </c>
      <c r="X20" s="403" t="n">
        <f aca="false">SUM(X16:X19)</f>
        <v>118281.5</v>
      </c>
      <c r="Y20" s="403" t="n">
        <f aca="false">SUM(Y16:Y19)</f>
        <v>136469.166666667</v>
      </c>
      <c r="Z20" s="403" t="n">
        <f aca="false">SUM(Z16:Z19)</f>
        <v>176703.75</v>
      </c>
      <c r="AA20" s="403" t="n">
        <f aca="false">SUM(AA16:AA19)</f>
        <v>202938.333333333</v>
      </c>
      <c r="AB20" s="403" t="n">
        <f aca="false">SUM(AB16:AB19)</f>
        <v>243172.916666667</v>
      </c>
      <c r="AC20" s="403" t="n">
        <f aca="false">SUM(AC16:AC19)</f>
        <v>269407.5</v>
      </c>
      <c r="AD20" s="403" t="n">
        <f aca="false">SUM(AD16:AD19)</f>
        <v>301595.166666667</v>
      </c>
      <c r="AE20" s="403" t="n">
        <f aca="false">SUM(AE16:AE19)</f>
        <v>333782.833333333</v>
      </c>
      <c r="AF20" s="403" t="n">
        <f aca="false">SUM(AF16:AF19)</f>
        <v>357923.583333333</v>
      </c>
      <c r="AG20" s="403" t="n">
        <f aca="false">SUM(AG16:AG19)</f>
        <v>368064.333333333</v>
      </c>
      <c r="AH20" s="403" t="n">
        <f aca="false">SUM(AH16:AH19)</f>
        <v>381511.25</v>
      </c>
      <c r="AI20" s="403" t="n">
        <f aca="false">SUM(AI16:AI19)</f>
        <v>386911.25</v>
      </c>
      <c r="AJ20" s="403" t="n">
        <f aca="false">SUM(AJ16:AJ19)</f>
        <v>384264.333333333</v>
      </c>
      <c r="AK20" s="403" t="n">
        <f aca="false">SUM(AK16:AK19)</f>
        <v>373570.5</v>
      </c>
      <c r="AL20" s="403" t="n">
        <f aca="false">SUM(AL16:AL19)</f>
        <v>346782.833333333</v>
      </c>
      <c r="AM20" s="403" t="n">
        <f aca="false">SUM(AM16:AM19)</f>
        <v>314595.166666667</v>
      </c>
      <c r="AN20" s="403" t="n">
        <f aca="false">SUM(AN16:AN19)</f>
        <v>282407.5</v>
      </c>
      <c r="AO20" s="403" t="n">
        <f aca="false">SUM(AO16:AO19)</f>
        <v>236219.833333333</v>
      </c>
      <c r="AP20" s="403" t="n">
        <f aca="false">SUM(AP16:AP19)</f>
        <v>206679.083333333</v>
      </c>
      <c r="AQ20" s="403" t="n">
        <f aca="false">SUM(AQ16:AQ19)</f>
        <v>182538.333333333</v>
      </c>
      <c r="AR20" s="403" t="n">
        <f aca="false">SUM(AR16:AR19)</f>
        <v>161044.5</v>
      </c>
      <c r="AS20" s="403" t="n">
        <f aca="false">SUM(AS16:AS19)</f>
        <v>144950.666666667</v>
      </c>
      <c r="AT20" s="403" t="n">
        <f aca="false">SUM(AT16:AT19)</f>
        <v>123456.833333333</v>
      </c>
      <c r="AU20" s="403" t="n">
        <f aca="false">SUM(AU16:AU19)</f>
        <v>141561</v>
      </c>
      <c r="AV20" s="403" t="n">
        <f aca="false">SUM(AV16:AV19)</f>
        <v>159665.166666667</v>
      </c>
      <c r="AW20" s="403" t="n">
        <f aca="false">SUM(AW16:AW19)</f>
        <v>177769.333333333</v>
      </c>
      <c r="AX20" s="403" t="n">
        <f aca="false">SUM(AX16:AX19)</f>
        <v>198520.416666667</v>
      </c>
      <c r="AY20" s="403" t="n">
        <f aca="false">SUM(AY16:AY19)</f>
        <v>224671.5</v>
      </c>
      <c r="AZ20" s="403" t="n">
        <f aca="false">SUM(AZ16:AZ19)</f>
        <v>216624.583333333</v>
      </c>
      <c r="BA20" s="403" t="n">
        <f aca="false">SUM(BA16:BA19)</f>
        <v>208577.666666667</v>
      </c>
      <c r="BB20" s="403" t="n">
        <f aca="false">SUM(BB16:BB19)</f>
        <v>200530.75</v>
      </c>
      <c r="BC20" s="403" t="n">
        <f aca="false">SUM(BC16:BC19)</f>
        <v>158285.833333333</v>
      </c>
      <c r="BD20" s="403" t="n">
        <f aca="false">SUM(BD16:BD19)</f>
        <v>150238.916666667</v>
      </c>
      <c r="BE20" s="403" t="n">
        <f aca="false">SUM(BE16:BE19)</f>
        <v>107994</v>
      </c>
      <c r="BF20" s="403" t="n">
        <f aca="false">SUM(BF16:BF19)</f>
        <v>102594</v>
      </c>
      <c r="BG20" s="403" t="n">
        <f aca="false">SUM(BG16:BG19)</f>
        <v>68396</v>
      </c>
      <c r="BH20" s="403" t="n">
        <f aca="false">SUM(BH16:BH19)</f>
        <v>68396</v>
      </c>
      <c r="BI20" s="403" t="n">
        <f aca="false">SUM(BI16:BI19)</f>
        <v>68396</v>
      </c>
      <c r="BJ20" s="403" t="n">
        <f aca="false">SUM(BJ16:BJ19)</f>
        <v>68396</v>
      </c>
      <c r="BK20" s="403" t="n">
        <f aca="false">SUM(BK16:BK19)</f>
        <v>34198</v>
      </c>
      <c r="BL20" s="403" t="n">
        <f aca="false">SUM(BL16:BL19)</f>
        <v>34198</v>
      </c>
      <c r="BM20" s="403" t="n">
        <f aca="false">SUM(BM16:BM19)</f>
        <v>34198</v>
      </c>
      <c r="BN20" s="403" t="n">
        <f aca="false">SUM(BN16:BN19)</f>
        <v>34198</v>
      </c>
      <c r="BO20" s="403" t="n">
        <f aca="false">SUM(BO16:BO19)</f>
        <v>34198</v>
      </c>
      <c r="BP20" s="403" t="n">
        <f aca="false">SUM(BP16:BP19)</f>
        <v>34198</v>
      </c>
      <c r="BQ20" s="403" t="n">
        <f aca="false">SUM(BQ16:BQ19)</f>
        <v>34198</v>
      </c>
      <c r="BR20" s="403" t="n">
        <f aca="false">SUM(BR16:BR19)</f>
        <v>34198</v>
      </c>
      <c r="BS20" s="403" t="n">
        <f aca="false">SUM(BS16:BS19)</f>
        <v>0</v>
      </c>
      <c r="BT20" s="403" t="n">
        <f aca="false">SUM(BT16:BT19)</f>
        <v>0</v>
      </c>
      <c r="BU20" s="403" t="n">
        <f aca="false">SUM(BU16:BU19)</f>
        <v>0</v>
      </c>
      <c r="BV20" s="403" t="n">
        <f aca="false">SUM(BV16:BV19)</f>
        <v>0</v>
      </c>
      <c r="BW20" s="403" t="n">
        <f aca="false">SUM(BW16:BW19)</f>
        <v>0</v>
      </c>
      <c r="BX20" s="403" t="n">
        <f aca="false">SUM(BX16:BX19)</f>
        <v>0</v>
      </c>
      <c r="BY20" s="403" t="n">
        <f aca="false">SUM(BY16:BY19)</f>
        <v>0</v>
      </c>
      <c r="BZ20" s="403" t="n">
        <f aca="false">SUM(BZ16:BZ19)</f>
        <v>0</v>
      </c>
      <c r="CA20" s="403" t="n">
        <f aca="false">SUM(CA16:CA19)</f>
        <v>0</v>
      </c>
      <c r="CB20" s="403" t="n">
        <f aca="false">SUM(CB16:CB19)</f>
        <v>0</v>
      </c>
      <c r="CC20" s="403" t="n">
        <f aca="false">SUM(CC16:CC19)</f>
        <v>0</v>
      </c>
      <c r="CD20" s="403" t="n">
        <f aca="false">SUM(CD16:CD19)</f>
        <v>0</v>
      </c>
      <c r="CE20" s="403" t="n">
        <f aca="false">SUM(CE16:CE19)</f>
        <v>0</v>
      </c>
      <c r="CF20" s="403" t="n">
        <f aca="false">SUM(CF16:CF19)</f>
        <v>0</v>
      </c>
      <c r="CG20" s="403" t="n">
        <f aca="false">SUM(CG16:CG19)</f>
        <v>0</v>
      </c>
      <c r="CH20" s="403" t="n">
        <f aca="false">SUM(CH16:CH19)</f>
        <v>0</v>
      </c>
      <c r="CI20" s="403" t="n">
        <f aca="false">SUM(CI16:CI19)</f>
        <v>0</v>
      </c>
      <c r="CJ20" s="403" t="n">
        <f aca="false">SUM(CJ16:CJ19)</f>
        <v>0</v>
      </c>
      <c r="CK20" s="403" t="n">
        <f aca="false">SUM(CK16:CK19)</f>
        <v>0</v>
      </c>
      <c r="CL20" s="403" t="n">
        <f aca="false">SUM(CL16:CL19)</f>
        <v>0</v>
      </c>
      <c r="CM20" s="403" t="n">
        <f aca="false">SUM(CM16:CM19)</f>
        <v>0</v>
      </c>
      <c r="CN20" s="403" t="n">
        <f aca="false">SUM(CN16:CN19)</f>
        <v>0</v>
      </c>
      <c r="CO20" s="403" t="n">
        <f aca="false">SUM(CO16:CO19)</f>
        <v>0</v>
      </c>
      <c r="CP20" s="403" t="n">
        <f aca="false">SUM(CP16:CP19)</f>
        <v>0</v>
      </c>
      <c r="CQ20" s="403" t="n">
        <f aca="false">SUM(CQ16:CQ19)</f>
        <v>0</v>
      </c>
      <c r="CR20" s="403" t="n">
        <f aca="false">SUM(CR16:CR19)</f>
        <v>0</v>
      </c>
      <c r="CS20" s="403" t="n">
        <f aca="false">SUM(CS16:CS19)</f>
        <v>0</v>
      </c>
    </row>
    <row r="22" customFormat="false" ht="15" hidden="false" customHeight="true" outlineLevel="0" collapsed="false">
      <c r="A22" s="386" t="s">
        <v>1420</v>
      </c>
    </row>
    <row r="23" customFormat="false" ht="15" hidden="false" customHeight="true" outlineLevel="0" collapsed="false">
      <c r="A23" s="123" t="s">
        <v>1421</v>
      </c>
      <c r="B23" s="124" t="n">
        <f aca="false">IF(AND(B5&gt;='Uplifters Inputs'!$B$5,B5&lt;$B$42),'Uplifters Inputs'!$B$42,0)+IF(B5='Uplifters Inputs'!$B$5-3,'Uplifters Inputs'!$B$54,0)+IF(B5='Uplifters Inputs'!$B$5-2,'Uplifters Inputs'!$B$55,0)+IF(B5='Uplifters Inputs'!$B$5-1,'Uplifters Inputs'!$B$56,0)</f>
        <v>0</v>
      </c>
      <c r="C23" s="124" t="n">
        <f aca="false">IF(AND(C5&gt;='Uplifters Inputs'!$B$5,C5&lt;$B$42),'Uplifters Inputs'!$B$42,0)+IF(C5='Uplifters Inputs'!$B$5-3,'Uplifters Inputs'!$B$54,0)+IF(C5='Uplifters Inputs'!$B$5-2,'Uplifters Inputs'!$B$55,0)+IF(C5='Uplifters Inputs'!$B$5-1,'Uplifters Inputs'!$B$56,0)</f>
        <v>0</v>
      </c>
      <c r="D23" s="124" t="n">
        <f aca="false">IF(AND(D5&gt;='Uplifters Inputs'!$B$5,D5&lt;$B$42),'Uplifters Inputs'!$B$42,0)+IF(D5='Uplifters Inputs'!$B$5-3,'Uplifters Inputs'!$B$54,0)+IF(D5='Uplifters Inputs'!$B$5-2,'Uplifters Inputs'!$B$55,0)+IF(D5='Uplifters Inputs'!$B$5-1,'Uplifters Inputs'!$B$56,0)</f>
        <v>0</v>
      </c>
      <c r="E23" s="124" t="n">
        <f aca="false">IF(AND(E5&gt;='Uplifters Inputs'!$B$5,E5&lt;$B$42),'Uplifters Inputs'!$B$42,0)+IF(E5='Uplifters Inputs'!$B$5-3,'Uplifters Inputs'!$B$54,0)+IF(E5='Uplifters Inputs'!$B$5-2,'Uplifters Inputs'!$B$55,0)+IF(E5='Uplifters Inputs'!$B$5-1,'Uplifters Inputs'!$B$56,0)</f>
        <v>0</v>
      </c>
      <c r="F23" s="124" t="n">
        <f aca="false">IF(AND(F5&gt;='Uplifters Inputs'!$B$5,F5&lt;$B$42),'Uplifters Inputs'!$B$42,0)+IF(F5='Uplifters Inputs'!$B$5-3,'Uplifters Inputs'!$B$54,0)+IF(F5='Uplifters Inputs'!$B$5-2,'Uplifters Inputs'!$B$55,0)+IF(F5='Uplifters Inputs'!$B$5-1,'Uplifters Inputs'!$B$56,0)</f>
        <v>0</v>
      </c>
      <c r="G23" s="124" t="n">
        <f aca="false">IF(AND(G5&gt;='Uplifters Inputs'!$B$5,G5&lt;$B$42),'Uplifters Inputs'!$B$42,0)+IF(G5='Uplifters Inputs'!$B$5-3,'Uplifters Inputs'!$B$54,0)+IF(G5='Uplifters Inputs'!$B$5-2,'Uplifters Inputs'!$B$55,0)+IF(G5='Uplifters Inputs'!$B$5-1,'Uplifters Inputs'!$B$56,0)</f>
        <v>0</v>
      </c>
      <c r="H23" s="124" t="n">
        <f aca="false">IF(AND(H5&gt;='Uplifters Inputs'!$B$5,H5&lt;$B$42),'Uplifters Inputs'!$B$42,0)+IF(H5='Uplifters Inputs'!$B$5-3,'Uplifters Inputs'!$B$54,0)+IF(H5='Uplifters Inputs'!$B$5-2,'Uplifters Inputs'!$B$55,0)+IF(H5='Uplifters Inputs'!$B$5-1,'Uplifters Inputs'!$B$56,0)</f>
        <v>0</v>
      </c>
      <c r="I23" s="124" t="n">
        <f aca="false">IF(AND(I5&gt;='Uplifters Inputs'!$B$5,I5&lt;$B$42),'Uplifters Inputs'!$B$42,0)+IF(I5='Uplifters Inputs'!$B$5-3,'Uplifters Inputs'!$B$54,0)+IF(I5='Uplifters Inputs'!$B$5-2,'Uplifters Inputs'!$B$55,0)+IF(I5='Uplifters Inputs'!$B$5-1,'Uplifters Inputs'!$B$56,0)</f>
        <v>0</v>
      </c>
      <c r="J23" s="124" t="n">
        <f aca="false">IF(AND(J5&gt;='Uplifters Inputs'!$B$5,J5&lt;$B$42),'Uplifters Inputs'!$B$42,0)+IF(J5='Uplifters Inputs'!$B$5-3,'Uplifters Inputs'!$B$54,0)+IF(J5='Uplifters Inputs'!$B$5-2,'Uplifters Inputs'!$B$55,0)+IF(J5='Uplifters Inputs'!$B$5-1,'Uplifters Inputs'!$B$56,0)</f>
        <v>0</v>
      </c>
      <c r="K23" s="124" t="n">
        <f aca="false">IF(AND(K5&gt;='Uplifters Inputs'!$B$5,K5&lt;$B$42),'Uplifters Inputs'!$B$42,0)+IF(K5='Uplifters Inputs'!$B$5-3,'Uplifters Inputs'!$B$54,0)+IF(K5='Uplifters Inputs'!$B$5-2,'Uplifters Inputs'!$B$55,0)+IF(K5='Uplifters Inputs'!$B$5-1,'Uplifters Inputs'!$B$56,0)</f>
        <v>0</v>
      </c>
      <c r="L23" s="124" t="n">
        <f aca="false">IF(AND(L5&gt;='Uplifters Inputs'!$B$5,L5&lt;$B$42),'Uplifters Inputs'!$B$42,0)+IF(L5='Uplifters Inputs'!$B$5-3,'Uplifters Inputs'!$B$54,0)+IF(L5='Uplifters Inputs'!$B$5-2,'Uplifters Inputs'!$B$55,0)+IF(L5='Uplifters Inputs'!$B$5-1,'Uplifters Inputs'!$B$56,0)</f>
        <v>5000</v>
      </c>
      <c r="M23" s="124" t="n">
        <f aca="false">IF(AND(M5&gt;='Uplifters Inputs'!$B$5,M5&lt;$B$42),'Uplifters Inputs'!$B$42,0)+IF(M5='Uplifters Inputs'!$B$5-3,'Uplifters Inputs'!$B$54,0)+IF(M5='Uplifters Inputs'!$B$5-2,'Uplifters Inputs'!$B$55,0)+IF(M5='Uplifters Inputs'!$B$5-1,'Uplifters Inputs'!$B$56,0)</f>
        <v>5000</v>
      </c>
      <c r="N23" s="124" t="n">
        <f aca="false">IF(AND(N5&gt;='Uplifters Inputs'!$B$5,N5&lt;$B$42),'Uplifters Inputs'!$B$42,0)+IF(N5='Uplifters Inputs'!$B$5-3,'Uplifters Inputs'!$B$54,0)+IF(N5='Uplifters Inputs'!$B$5-2,'Uplifters Inputs'!$B$55,0)+IF(N5='Uplifters Inputs'!$B$5-1,'Uplifters Inputs'!$B$56,0)</f>
        <v>10000</v>
      </c>
      <c r="O23" s="124" t="n">
        <f aca="false">IF(AND(O5&gt;='Uplifters Inputs'!$B$5,O5&lt;$B$42),'Uplifters Inputs'!$B$42,0)+IF(O5='Uplifters Inputs'!$B$5-3,'Uplifters Inputs'!$B$54,0)+IF(O5='Uplifters Inputs'!$B$5-2,'Uplifters Inputs'!$B$55,0)+IF(O5='Uplifters Inputs'!$B$5-1,'Uplifters Inputs'!$B$56,0)</f>
        <v>10000</v>
      </c>
      <c r="P23" s="124" t="n">
        <f aca="false">IF(AND(P5&gt;='Uplifters Inputs'!$B$5,P5&lt;$B$42),'Uplifters Inputs'!$B$42,0)+IF(P5='Uplifters Inputs'!$B$5-3,'Uplifters Inputs'!$B$54,0)+IF(P5='Uplifters Inputs'!$B$5-2,'Uplifters Inputs'!$B$55,0)+IF(P5='Uplifters Inputs'!$B$5-1,'Uplifters Inputs'!$B$56,0)</f>
        <v>10000</v>
      </c>
      <c r="Q23" s="124" t="n">
        <f aca="false">IF(AND(Q5&gt;='Uplifters Inputs'!$B$5,Q5&lt;$B$42),'Uplifters Inputs'!$B$42,0)+IF(Q5='Uplifters Inputs'!$B$5-3,'Uplifters Inputs'!$B$54,0)+IF(Q5='Uplifters Inputs'!$B$5-2,'Uplifters Inputs'!$B$55,0)+IF(Q5='Uplifters Inputs'!$B$5-1,'Uplifters Inputs'!$B$56,0)</f>
        <v>10000</v>
      </c>
      <c r="R23" s="124" t="n">
        <f aca="false">IF(AND(R5&gt;='Uplifters Inputs'!$B$5,R5&lt;$B$42),'Uplifters Inputs'!$B$42,0)+IF(R5='Uplifters Inputs'!$B$5-3,'Uplifters Inputs'!$B$54,0)+IF(R5='Uplifters Inputs'!$B$5-2,'Uplifters Inputs'!$B$55,0)+IF(R5='Uplifters Inputs'!$B$5-1,'Uplifters Inputs'!$B$56,0)</f>
        <v>10000</v>
      </c>
      <c r="S23" s="124" t="n">
        <f aca="false">IF(AND(S5&gt;='Uplifters Inputs'!$B$5,S5&lt;$B$42),'Uplifters Inputs'!$B$42,0)+IF(S5='Uplifters Inputs'!$B$5-3,'Uplifters Inputs'!$B$54,0)+IF(S5='Uplifters Inputs'!$B$5-2,'Uplifters Inputs'!$B$55,0)+IF(S5='Uplifters Inputs'!$B$5-1,'Uplifters Inputs'!$B$56,0)</f>
        <v>10000</v>
      </c>
      <c r="T23" s="124" t="n">
        <f aca="false">IF(AND(T5&gt;='Uplifters Inputs'!$B$5,T5&lt;$B$42),'Uplifters Inputs'!$B$42,0)+IF(T5='Uplifters Inputs'!$B$5-3,'Uplifters Inputs'!$B$54,0)+IF(T5='Uplifters Inputs'!$B$5-2,'Uplifters Inputs'!$B$55,0)+IF(T5='Uplifters Inputs'!$B$5-1,'Uplifters Inputs'!$B$56,0)</f>
        <v>10000</v>
      </c>
      <c r="U23" s="124" t="n">
        <f aca="false">IF(AND(U5&gt;='Uplifters Inputs'!$B$5,U5&lt;$B$42),'Uplifters Inputs'!$B$42,0)+IF(U5='Uplifters Inputs'!$B$5-3,'Uplifters Inputs'!$B$54,0)+IF(U5='Uplifters Inputs'!$B$5-2,'Uplifters Inputs'!$B$55,0)+IF(U5='Uplifters Inputs'!$B$5-1,'Uplifters Inputs'!$B$56,0)</f>
        <v>0</v>
      </c>
      <c r="V23" s="124" t="n">
        <f aca="false">IF(AND(V5&gt;='Uplifters Inputs'!$B$5,V5&lt;$B$42),'Uplifters Inputs'!$B$42,0)+IF(V5='Uplifters Inputs'!$B$5-3,'Uplifters Inputs'!$B$54,0)+IF(V5='Uplifters Inputs'!$B$5-2,'Uplifters Inputs'!$B$55,0)+IF(V5='Uplifters Inputs'!$B$5-1,'Uplifters Inputs'!$B$56,0)</f>
        <v>0</v>
      </c>
      <c r="W23" s="124" t="n">
        <f aca="false">IF(AND(W5&gt;='Uplifters Inputs'!$B$5,W5&lt;$B$42),'Uplifters Inputs'!$B$42,0)+IF(W5='Uplifters Inputs'!$B$5-3,'Uplifters Inputs'!$B$54,0)+IF(W5='Uplifters Inputs'!$B$5-2,'Uplifters Inputs'!$B$55,0)+IF(W5='Uplifters Inputs'!$B$5-1,'Uplifters Inputs'!$B$56,0)</f>
        <v>0</v>
      </c>
      <c r="X23" s="124" t="n">
        <f aca="false">IF(AND(X5&gt;='Uplifters Inputs'!$B$5,X5&lt;$B$42),'Uplifters Inputs'!$B$42,0)+IF(X5='Uplifters Inputs'!$B$5-3,'Uplifters Inputs'!$B$54,0)+IF(X5='Uplifters Inputs'!$B$5-2,'Uplifters Inputs'!$B$55,0)+IF(X5='Uplifters Inputs'!$B$5-1,'Uplifters Inputs'!$B$56,0)</f>
        <v>0</v>
      </c>
      <c r="Y23" s="124" t="n">
        <f aca="false">IF(AND(Y5&gt;='Uplifters Inputs'!$B$5,Y5&lt;$B$42),'Uplifters Inputs'!$B$42,0)+IF(Y5='Uplifters Inputs'!$B$5-3,'Uplifters Inputs'!$B$54,0)+IF(Y5='Uplifters Inputs'!$B$5-2,'Uplifters Inputs'!$B$55,0)+IF(Y5='Uplifters Inputs'!$B$5-1,'Uplifters Inputs'!$B$56,0)</f>
        <v>0</v>
      </c>
      <c r="Z23" s="124" t="n">
        <f aca="false">IF(AND(Z5&gt;='Uplifters Inputs'!$B$5,Z5&lt;$B$42),'Uplifters Inputs'!$B$42,0)+IF(Z5='Uplifters Inputs'!$B$5-3,'Uplifters Inputs'!$B$54,0)+IF(Z5='Uplifters Inputs'!$B$5-2,'Uplifters Inputs'!$B$55,0)+IF(Z5='Uplifters Inputs'!$B$5-1,'Uplifters Inputs'!$B$56,0)</f>
        <v>0</v>
      </c>
      <c r="AA23" s="124" t="n">
        <f aca="false">IF(AND(AA5&gt;='Uplifters Inputs'!$B$5,AA5&lt;$B$42),'Uplifters Inputs'!$B$42,0)+IF(AA5='Uplifters Inputs'!$B$5-3,'Uplifters Inputs'!$B$54,0)+IF(AA5='Uplifters Inputs'!$B$5-2,'Uplifters Inputs'!$B$55,0)+IF(AA5='Uplifters Inputs'!$B$5-1,'Uplifters Inputs'!$B$56,0)</f>
        <v>0</v>
      </c>
      <c r="AB23" s="124" t="n">
        <f aca="false">IF(AND(AB5&gt;='Uplifters Inputs'!$B$5,AB5&lt;$B$42),'Uplifters Inputs'!$B$42,0)+IF(AB5='Uplifters Inputs'!$B$5-3,'Uplifters Inputs'!$B$54,0)+IF(AB5='Uplifters Inputs'!$B$5-2,'Uplifters Inputs'!$B$55,0)+IF(AB5='Uplifters Inputs'!$B$5-1,'Uplifters Inputs'!$B$56,0)</f>
        <v>0</v>
      </c>
      <c r="AC23" s="124" t="n">
        <f aca="false">IF(AND(AC5&gt;='Uplifters Inputs'!$B$5,AC5&lt;$B$42),'Uplifters Inputs'!$B$42,0)+IF(AC5='Uplifters Inputs'!$B$5-3,'Uplifters Inputs'!$B$54,0)+IF(AC5='Uplifters Inputs'!$B$5-2,'Uplifters Inputs'!$B$55,0)+IF(AC5='Uplifters Inputs'!$B$5-1,'Uplifters Inputs'!$B$56,0)</f>
        <v>0</v>
      </c>
      <c r="AD23" s="124" t="n">
        <f aca="false">IF(AND(AD5&gt;='Uplifters Inputs'!$B$5,AD5&lt;$B$42),'Uplifters Inputs'!$B$42,0)+IF(AD5='Uplifters Inputs'!$B$5-3,'Uplifters Inputs'!$B$54,0)+IF(AD5='Uplifters Inputs'!$B$5-2,'Uplifters Inputs'!$B$55,0)+IF(AD5='Uplifters Inputs'!$B$5-1,'Uplifters Inputs'!$B$56,0)</f>
        <v>0</v>
      </c>
      <c r="AE23" s="124" t="n">
        <f aca="false">IF(AND(AE5&gt;='Uplifters Inputs'!$B$5,AE5&lt;$B$42),'Uplifters Inputs'!$B$42,0)+IF(AE5='Uplifters Inputs'!$B$5-3,'Uplifters Inputs'!$B$54,0)+IF(AE5='Uplifters Inputs'!$B$5-2,'Uplifters Inputs'!$B$55,0)+IF(AE5='Uplifters Inputs'!$B$5-1,'Uplifters Inputs'!$B$56,0)</f>
        <v>0</v>
      </c>
      <c r="AF23" s="124" t="n">
        <f aca="false">IF(AND(AF5&gt;='Uplifters Inputs'!$B$5,AF5&lt;$B$42),'Uplifters Inputs'!$B$42,0)+IF(AF5='Uplifters Inputs'!$B$5-3,'Uplifters Inputs'!$B$54,0)+IF(AF5='Uplifters Inputs'!$B$5-2,'Uplifters Inputs'!$B$55,0)+IF(AF5='Uplifters Inputs'!$B$5-1,'Uplifters Inputs'!$B$56,0)</f>
        <v>0</v>
      </c>
      <c r="AG23" s="124" t="n">
        <f aca="false">IF(AND(AG5&gt;='Uplifters Inputs'!$B$5,AG5&lt;$B$42),'Uplifters Inputs'!$B$42,0)+IF(AG5='Uplifters Inputs'!$B$5-3,'Uplifters Inputs'!$B$54,0)+IF(AG5='Uplifters Inputs'!$B$5-2,'Uplifters Inputs'!$B$55,0)+IF(AG5='Uplifters Inputs'!$B$5-1,'Uplifters Inputs'!$B$56,0)</f>
        <v>0</v>
      </c>
      <c r="AH23" s="124" t="n">
        <f aca="false">IF(AND(AH5&gt;='Uplifters Inputs'!$B$5,AH5&lt;$B$42),'Uplifters Inputs'!$B$42,0)+IF(AH5='Uplifters Inputs'!$B$5-3,'Uplifters Inputs'!$B$54,0)+IF(AH5='Uplifters Inputs'!$B$5-2,'Uplifters Inputs'!$B$55,0)+IF(AH5='Uplifters Inputs'!$B$5-1,'Uplifters Inputs'!$B$56,0)</f>
        <v>0</v>
      </c>
      <c r="AI23" s="124" t="n">
        <f aca="false">IF(AND(AI5&gt;='Uplifters Inputs'!$B$5,AI5&lt;$B$42),'Uplifters Inputs'!$B$42,0)+IF(AI5='Uplifters Inputs'!$B$5-3,'Uplifters Inputs'!$B$54,0)+IF(AI5='Uplifters Inputs'!$B$5-2,'Uplifters Inputs'!$B$55,0)+IF(AI5='Uplifters Inputs'!$B$5-1,'Uplifters Inputs'!$B$56,0)</f>
        <v>0</v>
      </c>
      <c r="AJ23" s="124" t="n">
        <f aca="false">IF(AND(AJ5&gt;='Uplifters Inputs'!$B$5,AJ5&lt;$B$42),'Uplifters Inputs'!$B$42,0)+IF(AJ5='Uplifters Inputs'!$B$5-3,'Uplifters Inputs'!$B$54,0)+IF(AJ5='Uplifters Inputs'!$B$5-2,'Uplifters Inputs'!$B$55,0)+IF(AJ5='Uplifters Inputs'!$B$5-1,'Uplifters Inputs'!$B$56,0)</f>
        <v>0</v>
      </c>
      <c r="AK23" s="124" t="n">
        <f aca="false">IF(AND(AK5&gt;='Uplifters Inputs'!$B$5,AK5&lt;$B$42),'Uplifters Inputs'!$B$42,0)+IF(AK5='Uplifters Inputs'!$B$5-3,'Uplifters Inputs'!$B$54,0)+IF(AK5='Uplifters Inputs'!$B$5-2,'Uplifters Inputs'!$B$55,0)+IF(AK5='Uplifters Inputs'!$B$5-1,'Uplifters Inputs'!$B$56,0)</f>
        <v>0</v>
      </c>
      <c r="AL23" s="124" t="n">
        <f aca="false">IF(AND(AL5&gt;='Uplifters Inputs'!$B$5,AL5&lt;$B$42),'Uplifters Inputs'!$B$42,0)+IF(AL5='Uplifters Inputs'!$B$5-3,'Uplifters Inputs'!$B$54,0)+IF(AL5='Uplifters Inputs'!$B$5-2,'Uplifters Inputs'!$B$55,0)+IF(AL5='Uplifters Inputs'!$B$5-1,'Uplifters Inputs'!$B$56,0)</f>
        <v>0</v>
      </c>
      <c r="AM23" s="124" t="n">
        <f aca="false">IF(AND(AM5&gt;='Uplifters Inputs'!$B$5,AM5&lt;$B$42),'Uplifters Inputs'!$B$42,0)+IF(AM5='Uplifters Inputs'!$B$5-3,'Uplifters Inputs'!$B$54,0)+IF(AM5='Uplifters Inputs'!$B$5-2,'Uplifters Inputs'!$B$55,0)+IF(AM5='Uplifters Inputs'!$B$5-1,'Uplifters Inputs'!$B$56,0)</f>
        <v>0</v>
      </c>
      <c r="AN23" s="124" t="n">
        <f aca="false">IF(AND(AN5&gt;='Uplifters Inputs'!$B$5,AN5&lt;$B$42),'Uplifters Inputs'!$B$42,0)+IF(AN5='Uplifters Inputs'!$B$5-3,'Uplifters Inputs'!$B$54,0)+IF(AN5='Uplifters Inputs'!$B$5-2,'Uplifters Inputs'!$B$55,0)+IF(AN5='Uplifters Inputs'!$B$5-1,'Uplifters Inputs'!$B$56,0)</f>
        <v>0</v>
      </c>
      <c r="AO23" s="124" t="n">
        <f aca="false">IF(AND(AO5&gt;='Uplifters Inputs'!$B$5,AO5&lt;$B$42),'Uplifters Inputs'!$B$42,0)+IF(AO5='Uplifters Inputs'!$B$5-3,'Uplifters Inputs'!$B$54,0)+IF(AO5='Uplifters Inputs'!$B$5-2,'Uplifters Inputs'!$B$55,0)+IF(AO5='Uplifters Inputs'!$B$5-1,'Uplifters Inputs'!$B$56,0)</f>
        <v>0</v>
      </c>
      <c r="AP23" s="124" t="n">
        <f aca="false">IF(AND(AP5&gt;='Uplifters Inputs'!$B$5,AP5&lt;$B$42),'Uplifters Inputs'!$B$42,0)+IF(AP5='Uplifters Inputs'!$B$5-3,'Uplifters Inputs'!$B$54,0)+IF(AP5='Uplifters Inputs'!$B$5-2,'Uplifters Inputs'!$B$55,0)+IF(AP5='Uplifters Inputs'!$B$5-1,'Uplifters Inputs'!$B$56,0)</f>
        <v>0</v>
      </c>
      <c r="AQ23" s="124" t="n">
        <f aca="false">IF(AND(AQ5&gt;='Uplifters Inputs'!$B$5,AQ5&lt;$B$42),'Uplifters Inputs'!$B$42,0)+IF(AQ5='Uplifters Inputs'!$B$5-3,'Uplifters Inputs'!$B$54,0)+IF(AQ5='Uplifters Inputs'!$B$5-2,'Uplifters Inputs'!$B$55,0)+IF(AQ5='Uplifters Inputs'!$B$5-1,'Uplifters Inputs'!$B$56,0)</f>
        <v>0</v>
      </c>
      <c r="AR23" s="124" t="n">
        <f aca="false">IF(AND(AR5&gt;='Uplifters Inputs'!$B$5,AR5&lt;$B$42),'Uplifters Inputs'!$B$42,0)+IF(AR5='Uplifters Inputs'!$B$5-3,'Uplifters Inputs'!$B$54,0)+IF(AR5='Uplifters Inputs'!$B$5-2,'Uplifters Inputs'!$B$55,0)+IF(AR5='Uplifters Inputs'!$B$5-1,'Uplifters Inputs'!$B$56,0)</f>
        <v>0</v>
      </c>
      <c r="AS23" s="124" t="n">
        <f aca="false">IF(AND(AS5&gt;='Uplifters Inputs'!$B$5,AS5&lt;$B$42),'Uplifters Inputs'!$B$42,0)+IF(AS5='Uplifters Inputs'!$B$5-3,'Uplifters Inputs'!$B$54,0)+IF(AS5='Uplifters Inputs'!$B$5-2,'Uplifters Inputs'!$B$55,0)+IF(AS5='Uplifters Inputs'!$B$5-1,'Uplifters Inputs'!$B$56,0)</f>
        <v>0</v>
      </c>
      <c r="AT23" s="124" t="n">
        <f aca="false">IF(AND(AT5&gt;='Uplifters Inputs'!$B$5,AT5&lt;$B$42),'Uplifters Inputs'!$B$42,0)+IF(AT5='Uplifters Inputs'!$B$5-3,'Uplifters Inputs'!$B$54,0)+IF(AT5='Uplifters Inputs'!$B$5-2,'Uplifters Inputs'!$B$55,0)+IF(AT5='Uplifters Inputs'!$B$5-1,'Uplifters Inputs'!$B$56,0)</f>
        <v>0</v>
      </c>
      <c r="AU23" s="124" t="n">
        <f aca="false">IF(AND(AU5&gt;='Uplifters Inputs'!$B$5,AU5&lt;$B$42),'Uplifters Inputs'!$B$42,0)+IF(AU5='Uplifters Inputs'!$B$5-3,'Uplifters Inputs'!$B$54,0)+IF(AU5='Uplifters Inputs'!$B$5-2,'Uplifters Inputs'!$B$55,0)+IF(AU5='Uplifters Inputs'!$B$5-1,'Uplifters Inputs'!$B$56,0)</f>
        <v>0</v>
      </c>
      <c r="AV23" s="124" t="n">
        <f aca="false">IF(AND(AV5&gt;='Uplifters Inputs'!$B$5,AV5&lt;$B$42),'Uplifters Inputs'!$B$42,0)+IF(AV5='Uplifters Inputs'!$B$5-3,'Uplifters Inputs'!$B$54,0)+IF(AV5='Uplifters Inputs'!$B$5-2,'Uplifters Inputs'!$B$55,0)+IF(AV5='Uplifters Inputs'!$B$5-1,'Uplifters Inputs'!$B$56,0)</f>
        <v>0</v>
      </c>
      <c r="AW23" s="124" t="n">
        <f aca="false">IF(AND(AW5&gt;='Uplifters Inputs'!$B$5,AW5&lt;$B$42),'Uplifters Inputs'!$B$42,0)+IF(AW5='Uplifters Inputs'!$B$5-3,'Uplifters Inputs'!$B$54,0)+IF(AW5='Uplifters Inputs'!$B$5-2,'Uplifters Inputs'!$B$55,0)+IF(AW5='Uplifters Inputs'!$B$5-1,'Uplifters Inputs'!$B$56,0)</f>
        <v>0</v>
      </c>
      <c r="AX23" s="124" t="n">
        <f aca="false">IF(AND(AX5&gt;='Uplifters Inputs'!$B$5,AX5&lt;$B$42),'Uplifters Inputs'!$B$42,0)+IF(AX5='Uplifters Inputs'!$B$5-3,'Uplifters Inputs'!$B$54,0)+IF(AX5='Uplifters Inputs'!$B$5-2,'Uplifters Inputs'!$B$55,0)+IF(AX5='Uplifters Inputs'!$B$5-1,'Uplifters Inputs'!$B$56,0)</f>
        <v>0</v>
      </c>
      <c r="AY23" s="124" t="n">
        <f aca="false">IF(AND(AY5&gt;='Uplifters Inputs'!$B$5,AY5&lt;$B$42),'Uplifters Inputs'!$B$42,0)+IF(AY5='Uplifters Inputs'!$B$5-3,'Uplifters Inputs'!$B$54,0)+IF(AY5='Uplifters Inputs'!$B$5-2,'Uplifters Inputs'!$B$55,0)+IF(AY5='Uplifters Inputs'!$B$5-1,'Uplifters Inputs'!$B$56,0)</f>
        <v>0</v>
      </c>
      <c r="AZ23" s="124" t="n">
        <f aca="false">IF(AND(AZ5&gt;='Uplifters Inputs'!$B$5,AZ5&lt;$B$42),'Uplifters Inputs'!$B$42,0)+IF(AZ5='Uplifters Inputs'!$B$5-3,'Uplifters Inputs'!$B$54,0)+IF(AZ5='Uplifters Inputs'!$B$5-2,'Uplifters Inputs'!$B$55,0)+IF(AZ5='Uplifters Inputs'!$B$5-1,'Uplifters Inputs'!$B$56,0)</f>
        <v>0</v>
      </c>
      <c r="BA23" s="124" t="n">
        <f aca="false">IF(AND(BA5&gt;='Uplifters Inputs'!$B$5,BA5&lt;$B$42),'Uplifters Inputs'!$B$42,0)+IF(BA5='Uplifters Inputs'!$B$5-3,'Uplifters Inputs'!$B$54,0)+IF(BA5='Uplifters Inputs'!$B$5-2,'Uplifters Inputs'!$B$55,0)+IF(BA5='Uplifters Inputs'!$B$5-1,'Uplifters Inputs'!$B$56,0)</f>
        <v>0</v>
      </c>
      <c r="BB23" s="124" t="n">
        <f aca="false">IF(AND(BB5&gt;='Uplifters Inputs'!$B$5,BB5&lt;$B$42),'Uplifters Inputs'!$B$42,0)+IF(BB5='Uplifters Inputs'!$B$5-3,'Uplifters Inputs'!$B$54,0)+IF(BB5='Uplifters Inputs'!$B$5-2,'Uplifters Inputs'!$B$55,0)+IF(BB5='Uplifters Inputs'!$B$5-1,'Uplifters Inputs'!$B$56,0)</f>
        <v>0</v>
      </c>
      <c r="BC23" s="124" t="n">
        <f aca="false">IF(AND(BC5&gt;='Uplifters Inputs'!$B$5,BC5&lt;$B$42),'Uplifters Inputs'!$B$42,0)+IF(BC5='Uplifters Inputs'!$B$5-3,'Uplifters Inputs'!$B$54,0)+IF(BC5='Uplifters Inputs'!$B$5-2,'Uplifters Inputs'!$B$55,0)+IF(BC5='Uplifters Inputs'!$B$5-1,'Uplifters Inputs'!$B$56,0)</f>
        <v>0</v>
      </c>
      <c r="BD23" s="124" t="n">
        <f aca="false">IF(AND(BD5&gt;='Uplifters Inputs'!$B$5,BD5&lt;$B$42),'Uplifters Inputs'!$B$42,0)+IF(BD5='Uplifters Inputs'!$B$5-3,'Uplifters Inputs'!$B$54,0)+IF(BD5='Uplifters Inputs'!$B$5-2,'Uplifters Inputs'!$B$55,0)+IF(BD5='Uplifters Inputs'!$B$5-1,'Uplifters Inputs'!$B$56,0)</f>
        <v>0</v>
      </c>
      <c r="BE23" s="124" t="n">
        <f aca="false">IF(AND(BE5&gt;='Uplifters Inputs'!$B$5,BE5&lt;$B$42),'Uplifters Inputs'!$B$42,0)+IF(BE5='Uplifters Inputs'!$B$5-3,'Uplifters Inputs'!$B$54,0)+IF(BE5='Uplifters Inputs'!$B$5-2,'Uplifters Inputs'!$B$55,0)+IF(BE5='Uplifters Inputs'!$B$5-1,'Uplifters Inputs'!$B$56,0)</f>
        <v>0</v>
      </c>
      <c r="BF23" s="124" t="n">
        <f aca="false">IF(AND(BF5&gt;='Uplifters Inputs'!$B$5,BF5&lt;$B$42),'Uplifters Inputs'!$B$42,0)+IF(BF5='Uplifters Inputs'!$B$5-3,'Uplifters Inputs'!$B$54,0)+IF(BF5='Uplifters Inputs'!$B$5-2,'Uplifters Inputs'!$B$55,0)+IF(BF5='Uplifters Inputs'!$B$5-1,'Uplifters Inputs'!$B$56,0)</f>
        <v>0</v>
      </c>
      <c r="BG23" s="124" t="n">
        <f aca="false">IF(AND(BG5&gt;='Uplifters Inputs'!$B$5,BG5&lt;$B$42),'Uplifters Inputs'!$B$42,0)+IF(BG5='Uplifters Inputs'!$B$5-3,'Uplifters Inputs'!$B$54,0)+IF(BG5='Uplifters Inputs'!$B$5-2,'Uplifters Inputs'!$B$55,0)+IF(BG5='Uplifters Inputs'!$B$5-1,'Uplifters Inputs'!$B$56,0)</f>
        <v>0</v>
      </c>
      <c r="BH23" s="124" t="n">
        <f aca="false">IF(AND(BH5&gt;='Uplifters Inputs'!$B$5,BH5&lt;$B$42),'Uplifters Inputs'!$B$42,0)+IF(BH5='Uplifters Inputs'!$B$5-3,'Uplifters Inputs'!$B$54,0)+IF(BH5='Uplifters Inputs'!$B$5-2,'Uplifters Inputs'!$B$55,0)+IF(BH5='Uplifters Inputs'!$B$5-1,'Uplifters Inputs'!$B$56,0)</f>
        <v>0</v>
      </c>
      <c r="BI23" s="124" t="n">
        <f aca="false">IF(AND(BI5&gt;='Uplifters Inputs'!$B$5,BI5&lt;$B$42),'Uplifters Inputs'!$B$42,0)+IF(BI5='Uplifters Inputs'!$B$5-3,'Uplifters Inputs'!$B$54,0)+IF(BI5='Uplifters Inputs'!$B$5-2,'Uplifters Inputs'!$B$55,0)+IF(BI5='Uplifters Inputs'!$B$5-1,'Uplifters Inputs'!$B$56,0)</f>
        <v>0</v>
      </c>
      <c r="BJ23" s="124" t="n">
        <f aca="false">IF(AND(BJ5&gt;='Uplifters Inputs'!$B$5,BJ5&lt;$B$42),'Uplifters Inputs'!$B$42,0)+IF(BJ5='Uplifters Inputs'!$B$5-3,'Uplifters Inputs'!$B$54,0)+IF(BJ5='Uplifters Inputs'!$B$5-2,'Uplifters Inputs'!$B$55,0)+IF(BJ5='Uplifters Inputs'!$B$5-1,'Uplifters Inputs'!$B$56,0)</f>
        <v>0</v>
      </c>
      <c r="BK23" s="124" t="n">
        <f aca="false">IF(AND(BK5&gt;='Uplifters Inputs'!$B$5,BK5&lt;$B$42),'Uplifters Inputs'!$B$42,0)+IF(BK5='Uplifters Inputs'!$B$5-3,'Uplifters Inputs'!$B$54,0)+IF(BK5='Uplifters Inputs'!$B$5-2,'Uplifters Inputs'!$B$55,0)+IF(BK5='Uplifters Inputs'!$B$5-1,'Uplifters Inputs'!$B$56,0)</f>
        <v>0</v>
      </c>
      <c r="BL23" s="124" t="n">
        <f aca="false">IF(AND(BL5&gt;='Uplifters Inputs'!$B$5,BL5&lt;$B$42),'Uplifters Inputs'!$B$42,0)+IF(BL5='Uplifters Inputs'!$B$5-3,'Uplifters Inputs'!$B$54,0)+IF(BL5='Uplifters Inputs'!$B$5-2,'Uplifters Inputs'!$B$55,0)+IF(BL5='Uplifters Inputs'!$B$5-1,'Uplifters Inputs'!$B$56,0)</f>
        <v>0</v>
      </c>
      <c r="BM23" s="124" t="n">
        <f aca="false">IF(AND(BM5&gt;='Uplifters Inputs'!$B$5,BM5&lt;$B$42),'Uplifters Inputs'!$B$42,0)+IF(BM5='Uplifters Inputs'!$B$5-3,'Uplifters Inputs'!$B$54,0)+IF(BM5='Uplifters Inputs'!$B$5-2,'Uplifters Inputs'!$B$55,0)+IF(BM5='Uplifters Inputs'!$B$5-1,'Uplifters Inputs'!$B$56,0)</f>
        <v>0</v>
      </c>
      <c r="BN23" s="124" t="n">
        <f aca="false">IF(AND(BN5&gt;='Uplifters Inputs'!$B$5,BN5&lt;$B$42),'Uplifters Inputs'!$B$42,0)+IF(BN5='Uplifters Inputs'!$B$5-3,'Uplifters Inputs'!$B$54,0)+IF(BN5='Uplifters Inputs'!$B$5-2,'Uplifters Inputs'!$B$55,0)+IF(BN5='Uplifters Inputs'!$B$5-1,'Uplifters Inputs'!$B$56,0)</f>
        <v>0</v>
      </c>
      <c r="BO23" s="124" t="n">
        <f aca="false">IF(AND(BO5&gt;='Uplifters Inputs'!$B$5,BO5&lt;$B$42),'Uplifters Inputs'!$B$42,0)+IF(BO5='Uplifters Inputs'!$B$5-3,'Uplifters Inputs'!$B$54,0)+IF(BO5='Uplifters Inputs'!$B$5-2,'Uplifters Inputs'!$B$55,0)+IF(BO5='Uplifters Inputs'!$B$5-1,'Uplifters Inputs'!$B$56,0)</f>
        <v>0</v>
      </c>
      <c r="BP23" s="124" t="n">
        <f aca="false">IF(AND(BP5&gt;='Uplifters Inputs'!$B$5,BP5&lt;$B$42),'Uplifters Inputs'!$B$42,0)+IF(BP5='Uplifters Inputs'!$B$5-3,'Uplifters Inputs'!$B$54,0)+IF(BP5='Uplifters Inputs'!$B$5-2,'Uplifters Inputs'!$B$55,0)+IF(BP5='Uplifters Inputs'!$B$5-1,'Uplifters Inputs'!$B$56,0)</f>
        <v>0</v>
      </c>
      <c r="BQ23" s="124" t="n">
        <f aca="false">IF(AND(BQ5&gt;='Uplifters Inputs'!$B$5,BQ5&lt;$B$42),'Uplifters Inputs'!$B$42,0)+IF(BQ5='Uplifters Inputs'!$B$5-3,'Uplifters Inputs'!$B$54,0)+IF(BQ5='Uplifters Inputs'!$B$5-2,'Uplifters Inputs'!$B$55,0)+IF(BQ5='Uplifters Inputs'!$B$5-1,'Uplifters Inputs'!$B$56,0)</f>
        <v>0</v>
      </c>
      <c r="BR23" s="124" t="n">
        <f aca="false">IF(AND(BR5&gt;='Uplifters Inputs'!$B$5,BR5&lt;$B$42),'Uplifters Inputs'!$B$42,0)+IF(BR5='Uplifters Inputs'!$B$5-3,'Uplifters Inputs'!$B$54,0)+IF(BR5='Uplifters Inputs'!$B$5-2,'Uplifters Inputs'!$B$55,0)+IF(BR5='Uplifters Inputs'!$B$5-1,'Uplifters Inputs'!$B$56,0)</f>
        <v>0</v>
      </c>
      <c r="BS23" s="124" t="n">
        <f aca="false">IF(AND(BS5&gt;='Uplifters Inputs'!$B$5,BS5&lt;$B$42),'Uplifters Inputs'!$B$42,0)+IF(BS5='Uplifters Inputs'!$B$5-3,'Uplifters Inputs'!$B$54,0)+IF(BS5='Uplifters Inputs'!$B$5-2,'Uplifters Inputs'!$B$55,0)+IF(BS5='Uplifters Inputs'!$B$5-1,'Uplifters Inputs'!$B$56,0)</f>
        <v>0</v>
      </c>
      <c r="BT23" s="124" t="n">
        <f aca="false">IF(AND(BT5&gt;='Uplifters Inputs'!$B$5,BT5&lt;$B$42),'Uplifters Inputs'!$B$42,0)+IF(BT5='Uplifters Inputs'!$B$5-3,'Uplifters Inputs'!$B$54,0)+IF(BT5='Uplifters Inputs'!$B$5-2,'Uplifters Inputs'!$B$55,0)+IF(BT5='Uplifters Inputs'!$B$5-1,'Uplifters Inputs'!$B$56,0)</f>
        <v>0</v>
      </c>
      <c r="BU23" s="124" t="n">
        <f aca="false">IF(AND(BU5&gt;='Uplifters Inputs'!$B$5,BU5&lt;$B$42),'Uplifters Inputs'!$B$42,0)+IF(BU5='Uplifters Inputs'!$B$5-3,'Uplifters Inputs'!$B$54,0)+IF(BU5='Uplifters Inputs'!$B$5-2,'Uplifters Inputs'!$B$55,0)+IF(BU5='Uplifters Inputs'!$B$5-1,'Uplifters Inputs'!$B$56,0)</f>
        <v>0</v>
      </c>
      <c r="BV23" s="124" t="n">
        <f aca="false">IF(AND(BV5&gt;='Uplifters Inputs'!$B$5,BV5&lt;$B$42),'Uplifters Inputs'!$B$42,0)+IF(BV5='Uplifters Inputs'!$B$5-3,'Uplifters Inputs'!$B$54,0)+IF(BV5='Uplifters Inputs'!$B$5-2,'Uplifters Inputs'!$B$55,0)+IF(BV5='Uplifters Inputs'!$B$5-1,'Uplifters Inputs'!$B$56,0)</f>
        <v>0</v>
      </c>
      <c r="BW23" s="124" t="n">
        <f aca="false">IF(AND(BW5&gt;='Uplifters Inputs'!$B$5,BW5&lt;$B$42),'Uplifters Inputs'!$B$42,0)+IF(BW5='Uplifters Inputs'!$B$5-3,'Uplifters Inputs'!$B$54,0)+IF(BW5='Uplifters Inputs'!$B$5-2,'Uplifters Inputs'!$B$55,0)+IF(BW5='Uplifters Inputs'!$B$5-1,'Uplifters Inputs'!$B$56,0)</f>
        <v>0</v>
      </c>
      <c r="BX23" s="124" t="n">
        <f aca="false">IF(AND(BX5&gt;='Uplifters Inputs'!$B$5,BX5&lt;$B$42),'Uplifters Inputs'!$B$42,0)+IF(BX5='Uplifters Inputs'!$B$5-3,'Uplifters Inputs'!$B$54,0)+IF(BX5='Uplifters Inputs'!$B$5-2,'Uplifters Inputs'!$B$55,0)+IF(BX5='Uplifters Inputs'!$B$5-1,'Uplifters Inputs'!$B$56,0)</f>
        <v>0</v>
      </c>
      <c r="BY23" s="124" t="n">
        <f aca="false">IF(AND(BY5&gt;='Uplifters Inputs'!$B$5,BY5&lt;$B$42),'Uplifters Inputs'!$B$42,0)+IF(BY5='Uplifters Inputs'!$B$5-3,'Uplifters Inputs'!$B$54,0)+IF(BY5='Uplifters Inputs'!$B$5-2,'Uplifters Inputs'!$B$55,0)+IF(BY5='Uplifters Inputs'!$B$5-1,'Uplifters Inputs'!$B$56,0)</f>
        <v>0</v>
      </c>
      <c r="BZ23" s="124" t="n">
        <f aca="false">IF(AND(BZ5&gt;='Uplifters Inputs'!$B$5,BZ5&lt;$B$42),'Uplifters Inputs'!$B$42,0)+IF(BZ5='Uplifters Inputs'!$B$5-3,'Uplifters Inputs'!$B$54,0)+IF(BZ5='Uplifters Inputs'!$B$5-2,'Uplifters Inputs'!$B$55,0)+IF(BZ5='Uplifters Inputs'!$B$5-1,'Uplifters Inputs'!$B$56,0)</f>
        <v>0</v>
      </c>
      <c r="CA23" s="124" t="n">
        <f aca="false">IF(AND(CA5&gt;='Uplifters Inputs'!$B$5,CA5&lt;$B$42),'Uplifters Inputs'!$B$42,0)+IF(CA5='Uplifters Inputs'!$B$5-3,'Uplifters Inputs'!$B$54,0)+IF(CA5='Uplifters Inputs'!$B$5-2,'Uplifters Inputs'!$B$55,0)+IF(CA5='Uplifters Inputs'!$B$5-1,'Uplifters Inputs'!$B$56,0)</f>
        <v>0</v>
      </c>
      <c r="CB23" s="124" t="n">
        <f aca="false">IF(AND(CB5&gt;='Uplifters Inputs'!$B$5,CB5&lt;$B$42),'Uplifters Inputs'!$B$42,0)+IF(CB5='Uplifters Inputs'!$B$5-3,'Uplifters Inputs'!$B$54,0)+IF(CB5='Uplifters Inputs'!$B$5-2,'Uplifters Inputs'!$B$55,0)+IF(CB5='Uplifters Inputs'!$B$5-1,'Uplifters Inputs'!$B$56,0)</f>
        <v>0</v>
      </c>
      <c r="CC23" s="124" t="n">
        <f aca="false">IF(AND(CC5&gt;='Uplifters Inputs'!$B$5,CC5&lt;$B$42),'Uplifters Inputs'!$B$42,0)+IF(CC5='Uplifters Inputs'!$B$5-3,'Uplifters Inputs'!$B$54,0)+IF(CC5='Uplifters Inputs'!$B$5-2,'Uplifters Inputs'!$B$55,0)+IF(CC5='Uplifters Inputs'!$B$5-1,'Uplifters Inputs'!$B$56,0)</f>
        <v>0</v>
      </c>
      <c r="CD23" s="124" t="n">
        <f aca="false">IF(AND(CD5&gt;='Uplifters Inputs'!$B$5,CD5&lt;$B$42),'Uplifters Inputs'!$B$42,0)+IF(CD5='Uplifters Inputs'!$B$5-3,'Uplifters Inputs'!$B$54,0)+IF(CD5='Uplifters Inputs'!$B$5-2,'Uplifters Inputs'!$B$55,0)+IF(CD5='Uplifters Inputs'!$B$5-1,'Uplifters Inputs'!$B$56,0)</f>
        <v>0</v>
      </c>
      <c r="CE23" s="124" t="n">
        <f aca="false">IF(AND(CE5&gt;='Uplifters Inputs'!$B$5,CE5&lt;$B$42),'Uplifters Inputs'!$B$42,0)+IF(CE5='Uplifters Inputs'!$B$5-3,'Uplifters Inputs'!$B$54,0)+IF(CE5='Uplifters Inputs'!$B$5-2,'Uplifters Inputs'!$B$55,0)+IF(CE5='Uplifters Inputs'!$B$5-1,'Uplifters Inputs'!$B$56,0)</f>
        <v>0</v>
      </c>
      <c r="CF23" s="124" t="n">
        <f aca="false">IF(AND(CF5&gt;='Uplifters Inputs'!$B$5,CF5&lt;$B$42),'Uplifters Inputs'!$B$42,0)+IF(CF5='Uplifters Inputs'!$B$5-3,'Uplifters Inputs'!$B$54,0)+IF(CF5='Uplifters Inputs'!$B$5-2,'Uplifters Inputs'!$B$55,0)+IF(CF5='Uplifters Inputs'!$B$5-1,'Uplifters Inputs'!$B$56,0)</f>
        <v>0</v>
      </c>
      <c r="CG23" s="124" t="n">
        <f aca="false">IF(AND(CG5&gt;='Uplifters Inputs'!$B$5,CG5&lt;$B$42),'Uplifters Inputs'!$B$42,0)+IF(CG5='Uplifters Inputs'!$B$5-3,'Uplifters Inputs'!$B$54,0)+IF(CG5='Uplifters Inputs'!$B$5-2,'Uplifters Inputs'!$B$55,0)+IF(CG5='Uplifters Inputs'!$B$5-1,'Uplifters Inputs'!$B$56,0)</f>
        <v>0</v>
      </c>
      <c r="CH23" s="124" t="n">
        <f aca="false">IF(AND(CH5&gt;='Uplifters Inputs'!$B$5,CH5&lt;$B$42),'Uplifters Inputs'!$B$42,0)+IF(CH5='Uplifters Inputs'!$B$5-3,'Uplifters Inputs'!$B$54,0)+IF(CH5='Uplifters Inputs'!$B$5-2,'Uplifters Inputs'!$B$55,0)+IF(CH5='Uplifters Inputs'!$B$5-1,'Uplifters Inputs'!$B$56,0)</f>
        <v>0</v>
      </c>
      <c r="CI23" s="124" t="n">
        <f aca="false">IF(AND(CI5&gt;='Uplifters Inputs'!$B$5,CI5&lt;$B$42),'Uplifters Inputs'!$B$42,0)+IF(CI5='Uplifters Inputs'!$B$5-3,'Uplifters Inputs'!$B$54,0)+IF(CI5='Uplifters Inputs'!$B$5-2,'Uplifters Inputs'!$B$55,0)+IF(CI5='Uplifters Inputs'!$B$5-1,'Uplifters Inputs'!$B$56,0)</f>
        <v>0</v>
      </c>
      <c r="CJ23" s="124" t="n">
        <f aca="false">IF(AND(CJ5&gt;='Uplifters Inputs'!$B$5,CJ5&lt;$B$42),'Uplifters Inputs'!$B$42,0)+IF(CJ5='Uplifters Inputs'!$B$5-3,'Uplifters Inputs'!$B$54,0)+IF(CJ5='Uplifters Inputs'!$B$5-2,'Uplifters Inputs'!$B$55,0)+IF(CJ5='Uplifters Inputs'!$B$5-1,'Uplifters Inputs'!$B$56,0)</f>
        <v>0</v>
      </c>
      <c r="CK23" s="124" t="n">
        <f aca="false">IF(AND(CK5&gt;='Uplifters Inputs'!$B$5,CK5&lt;$B$42),'Uplifters Inputs'!$B$42,0)+IF(CK5='Uplifters Inputs'!$B$5-3,'Uplifters Inputs'!$B$54,0)+IF(CK5='Uplifters Inputs'!$B$5-2,'Uplifters Inputs'!$B$55,0)+IF(CK5='Uplifters Inputs'!$B$5-1,'Uplifters Inputs'!$B$56,0)</f>
        <v>0</v>
      </c>
      <c r="CL23" s="124" t="n">
        <f aca="false">IF(AND(CL5&gt;='Uplifters Inputs'!$B$5,CL5&lt;$B$42),'Uplifters Inputs'!$B$42,0)+IF(CL5='Uplifters Inputs'!$B$5-3,'Uplifters Inputs'!$B$54,0)+IF(CL5='Uplifters Inputs'!$B$5-2,'Uplifters Inputs'!$B$55,0)+IF(CL5='Uplifters Inputs'!$B$5-1,'Uplifters Inputs'!$B$56,0)</f>
        <v>0</v>
      </c>
      <c r="CM23" s="124" t="n">
        <f aca="false">IF(AND(CM5&gt;='Uplifters Inputs'!$B$5,CM5&lt;$B$42),'Uplifters Inputs'!$B$42,0)+IF(CM5='Uplifters Inputs'!$B$5-3,'Uplifters Inputs'!$B$54,0)+IF(CM5='Uplifters Inputs'!$B$5-2,'Uplifters Inputs'!$B$55,0)+IF(CM5='Uplifters Inputs'!$B$5-1,'Uplifters Inputs'!$B$56,0)</f>
        <v>0</v>
      </c>
      <c r="CN23" s="124" t="n">
        <f aca="false">IF(AND(CN5&gt;='Uplifters Inputs'!$B$5,CN5&lt;$B$42),'Uplifters Inputs'!$B$42,0)+IF(CN5='Uplifters Inputs'!$B$5-3,'Uplifters Inputs'!$B$54,0)+IF(CN5='Uplifters Inputs'!$B$5-2,'Uplifters Inputs'!$B$55,0)+IF(CN5='Uplifters Inputs'!$B$5-1,'Uplifters Inputs'!$B$56,0)</f>
        <v>0</v>
      </c>
      <c r="CO23" s="124" t="n">
        <f aca="false">IF(AND(CO5&gt;='Uplifters Inputs'!$B$5,CO5&lt;$B$42),'Uplifters Inputs'!$B$42,0)+IF(CO5='Uplifters Inputs'!$B$5-3,'Uplifters Inputs'!$B$54,0)+IF(CO5='Uplifters Inputs'!$B$5-2,'Uplifters Inputs'!$B$55,0)+IF(CO5='Uplifters Inputs'!$B$5-1,'Uplifters Inputs'!$B$56,0)</f>
        <v>0</v>
      </c>
      <c r="CP23" s="124" t="n">
        <f aca="false">IF(AND(CP5&gt;='Uplifters Inputs'!$B$5,CP5&lt;$B$42),'Uplifters Inputs'!$B$42,0)+IF(CP5='Uplifters Inputs'!$B$5-3,'Uplifters Inputs'!$B$54,0)+IF(CP5='Uplifters Inputs'!$B$5-2,'Uplifters Inputs'!$B$55,0)+IF(CP5='Uplifters Inputs'!$B$5-1,'Uplifters Inputs'!$B$56,0)</f>
        <v>0</v>
      </c>
      <c r="CQ23" s="124" t="n">
        <f aca="false">IF(AND(CQ5&gt;='Uplifters Inputs'!$B$5,CQ5&lt;$B$42),'Uplifters Inputs'!$B$42,0)+IF(CQ5='Uplifters Inputs'!$B$5-3,'Uplifters Inputs'!$B$54,0)+IF(CQ5='Uplifters Inputs'!$B$5-2,'Uplifters Inputs'!$B$55,0)+IF(CQ5='Uplifters Inputs'!$B$5-1,'Uplifters Inputs'!$B$56,0)</f>
        <v>0</v>
      </c>
      <c r="CR23" s="124" t="n">
        <f aca="false">IF(AND(CR5&gt;='Uplifters Inputs'!$B$5,CR5&lt;$B$42),'Uplifters Inputs'!$B$42,0)+IF(CR5='Uplifters Inputs'!$B$5-3,'Uplifters Inputs'!$B$54,0)+IF(CR5='Uplifters Inputs'!$B$5-2,'Uplifters Inputs'!$B$55,0)+IF(CR5='Uplifters Inputs'!$B$5-1,'Uplifters Inputs'!$B$56,0)</f>
        <v>0</v>
      </c>
      <c r="CS23" s="124"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3" t="s">
        <v>1422</v>
      </c>
      <c r="B24" s="124" t="n">
        <f aca="false">IF(B12&gt;0,MIN('Uplifters Inputs'!$B$45,MAX('Uplifters Inputs'!$B$44,B12*'Uplifters Inputs'!$B$43)),0)</f>
        <v>0</v>
      </c>
      <c r="C24" s="124" t="n">
        <f aca="false">IF(C12&gt;0,MIN('Uplifters Inputs'!$B$45,MAX('Uplifters Inputs'!$B$44,C12*'Uplifters Inputs'!$B$43)),0)</f>
        <v>0</v>
      </c>
      <c r="D24" s="124" t="n">
        <f aca="false">IF(D12&gt;0,MIN('Uplifters Inputs'!$B$45,MAX('Uplifters Inputs'!$B$44,D12*'Uplifters Inputs'!$B$43)),0)</f>
        <v>0</v>
      </c>
      <c r="E24" s="124" t="n">
        <f aca="false">IF(E12&gt;0,MIN('Uplifters Inputs'!$B$45,MAX('Uplifters Inputs'!$B$44,E12*'Uplifters Inputs'!$B$43)),0)</f>
        <v>0</v>
      </c>
      <c r="F24" s="124" t="n">
        <f aca="false">IF(F12&gt;0,MIN('Uplifters Inputs'!$B$45,MAX('Uplifters Inputs'!$B$44,F12*'Uplifters Inputs'!$B$43)),0)</f>
        <v>0</v>
      </c>
      <c r="G24" s="124" t="n">
        <f aca="false">IF(G12&gt;0,MIN('Uplifters Inputs'!$B$45,MAX('Uplifters Inputs'!$B$44,G12*'Uplifters Inputs'!$B$43)),0)</f>
        <v>0</v>
      </c>
      <c r="H24" s="124" t="n">
        <f aca="false">IF(H12&gt;0,MIN('Uplifters Inputs'!$B$45,MAX('Uplifters Inputs'!$B$44,H12*'Uplifters Inputs'!$B$43)),0)</f>
        <v>0</v>
      </c>
      <c r="I24" s="124" t="n">
        <f aca="false">IF(I12&gt;0,MIN('Uplifters Inputs'!$B$45,MAX('Uplifters Inputs'!$B$44,I12*'Uplifters Inputs'!$B$43)),0)</f>
        <v>0</v>
      </c>
      <c r="J24" s="124" t="n">
        <f aca="false">IF(J12&gt;0,MIN('Uplifters Inputs'!$B$45,MAX('Uplifters Inputs'!$B$44,J12*'Uplifters Inputs'!$B$43)),0)</f>
        <v>0</v>
      </c>
      <c r="K24" s="124" t="n">
        <f aca="false">IF(K12&gt;0,MIN('Uplifters Inputs'!$B$45,MAX('Uplifters Inputs'!$B$44,K12*'Uplifters Inputs'!$B$43)),0)</f>
        <v>0</v>
      </c>
      <c r="L24" s="124" t="n">
        <f aca="false">IF(L12&gt;0,MIN('Uplifters Inputs'!$B$45,MAX('Uplifters Inputs'!$B$44,L12*'Uplifters Inputs'!$B$43)),0)</f>
        <v>0</v>
      </c>
      <c r="M24" s="124" t="n">
        <f aca="false">IF(M12&gt;0,MIN('Uplifters Inputs'!$B$45,MAX('Uplifters Inputs'!$B$44,M12*'Uplifters Inputs'!$B$43)),0)</f>
        <v>0</v>
      </c>
      <c r="N24" s="124" t="n">
        <f aca="false">IF(N12&gt;0,MIN('Uplifters Inputs'!$B$45,MAX('Uplifters Inputs'!$B$44,N12*'Uplifters Inputs'!$B$43)),0)</f>
        <v>0</v>
      </c>
      <c r="O24" s="124" t="n">
        <f aca="false">IF(O12&gt;0,MIN('Uplifters Inputs'!$B$45,MAX('Uplifters Inputs'!$B$44,O12*'Uplifters Inputs'!$B$43)),0)</f>
        <v>0</v>
      </c>
      <c r="P24" s="124" t="n">
        <f aca="false">IF(P12&gt;0,MIN('Uplifters Inputs'!$B$45,MAX('Uplifters Inputs'!$B$44,P12*'Uplifters Inputs'!$B$43)),0)</f>
        <v>0</v>
      </c>
      <c r="Q24" s="124" t="n">
        <f aca="false">IF(Q12&gt;0,MIN('Uplifters Inputs'!$B$45,MAX('Uplifters Inputs'!$B$44,Q12*'Uplifters Inputs'!$B$43)),0)</f>
        <v>0</v>
      </c>
      <c r="R24" s="124" t="n">
        <f aca="false">IF(R12&gt;0,MIN('Uplifters Inputs'!$B$45,MAX('Uplifters Inputs'!$B$44,R12*'Uplifters Inputs'!$B$43)),0)</f>
        <v>0</v>
      </c>
      <c r="S24" s="124" t="n">
        <f aca="false">IF(S12&gt;0,MIN('Uplifters Inputs'!$B$45,MAX('Uplifters Inputs'!$B$44,S12*'Uplifters Inputs'!$B$43)),0)</f>
        <v>0</v>
      </c>
      <c r="T24" s="124" t="n">
        <f aca="false">IF(T12&gt;0,MIN('Uplifters Inputs'!$B$45,MAX('Uplifters Inputs'!$B$44,T12*'Uplifters Inputs'!$B$43)),0)</f>
        <v>0</v>
      </c>
      <c r="U24" s="124" t="n">
        <f aca="false">IF(U12&gt;0,MIN('Uplifters Inputs'!$B$45,MAX('Uplifters Inputs'!$B$44,U12*'Uplifters Inputs'!$B$43)),0)</f>
        <v>15000</v>
      </c>
      <c r="V24" s="124" t="n">
        <f aca="false">IF(V12&gt;0,MIN('Uplifters Inputs'!$B$45,MAX('Uplifters Inputs'!$B$44,V12*'Uplifters Inputs'!$B$43)),0)</f>
        <v>15000</v>
      </c>
      <c r="W24" s="124" t="n">
        <f aca="false">IF(W12&gt;0,MIN('Uplifters Inputs'!$B$45,MAX('Uplifters Inputs'!$B$44,W12*'Uplifters Inputs'!$B$43)),0)</f>
        <v>15000</v>
      </c>
      <c r="X24" s="124" t="n">
        <f aca="false">IF(X12&gt;0,MIN('Uplifters Inputs'!$B$45,MAX('Uplifters Inputs'!$B$44,X12*'Uplifters Inputs'!$B$43)),0)</f>
        <v>15000</v>
      </c>
      <c r="Y24" s="124" t="n">
        <f aca="false">IF(Y12&gt;0,MIN('Uplifters Inputs'!$B$45,MAX('Uplifters Inputs'!$B$44,Y12*'Uplifters Inputs'!$B$43)),0)</f>
        <v>15000</v>
      </c>
      <c r="Z24" s="124" t="n">
        <f aca="false">IF(Z12&gt;0,MIN('Uplifters Inputs'!$B$45,MAX('Uplifters Inputs'!$B$44,Z12*'Uplifters Inputs'!$B$43)),0)</f>
        <v>15000</v>
      </c>
      <c r="AA24" s="124" t="n">
        <f aca="false">IF(AA12&gt;0,MIN('Uplifters Inputs'!$B$45,MAX('Uplifters Inputs'!$B$44,AA12*'Uplifters Inputs'!$B$43)),0)</f>
        <v>17500</v>
      </c>
      <c r="AB24" s="124" t="n">
        <f aca="false">IF(AB12&gt;0,MIN('Uplifters Inputs'!$B$45,MAX('Uplifters Inputs'!$B$44,AB12*'Uplifters Inputs'!$B$43)),0)</f>
        <v>21000</v>
      </c>
      <c r="AC24" s="124" t="n">
        <f aca="false">IF(AC12&gt;0,MIN('Uplifters Inputs'!$B$45,MAX('Uplifters Inputs'!$B$44,AC12*'Uplifters Inputs'!$B$43)),0)</f>
        <v>23800</v>
      </c>
      <c r="AD24" s="124" t="n">
        <f aca="false">IF(AD12&gt;0,MIN('Uplifters Inputs'!$B$45,MAX('Uplifters Inputs'!$B$44,AD12*'Uplifters Inputs'!$B$43)),0)</f>
        <v>25000</v>
      </c>
      <c r="AE24" s="124" t="n">
        <f aca="false">IF(AE12&gt;0,MIN('Uplifters Inputs'!$B$45,MAX('Uplifters Inputs'!$B$44,AE12*'Uplifters Inputs'!$B$43)),0)</f>
        <v>25000</v>
      </c>
      <c r="AF24" s="124" t="n">
        <f aca="false">IF(AF12&gt;0,MIN('Uplifters Inputs'!$B$45,MAX('Uplifters Inputs'!$B$44,AF12*'Uplifters Inputs'!$B$43)),0)</f>
        <v>25000</v>
      </c>
      <c r="AG24" s="124" t="n">
        <f aca="false">IF(AG12&gt;0,MIN('Uplifters Inputs'!$B$45,MAX('Uplifters Inputs'!$B$44,AG12*'Uplifters Inputs'!$B$43)),0)</f>
        <v>25000</v>
      </c>
      <c r="AH24" s="124" t="n">
        <f aca="false">IF(AH12&gt;0,MIN('Uplifters Inputs'!$B$45,MAX('Uplifters Inputs'!$B$44,AH12*'Uplifters Inputs'!$B$43)),0)</f>
        <v>25000</v>
      </c>
      <c r="AI24" s="124" t="n">
        <f aca="false">IF(AI12&gt;0,MIN('Uplifters Inputs'!$B$45,MAX('Uplifters Inputs'!$B$44,AI12*'Uplifters Inputs'!$B$43)),0)</f>
        <v>25000</v>
      </c>
      <c r="AJ24" s="124" t="n">
        <f aca="false">IF(AJ12&gt;0,MIN('Uplifters Inputs'!$B$45,MAX('Uplifters Inputs'!$B$44,AJ12*'Uplifters Inputs'!$B$43)),0)</f>
        <v>25000</v>
      </c>
      <c r="AK24" s="124" t="n">
        <f aca="false">IF(AK12&gt;0,MIN('Uplifters Inputs'!$B$45,MAX('Uplifters Inputs'!$B$44,AK12*'Uplifters Inputs'!$B$43)),0)</f>
        <v>25000</v>
      </c>
      <c r="AL24" s="124" t="n">
        <f aca="false">IF(AL12&gt;0,MIN('Uplifters Inputs'!$B$45,MAX('Uplifters Inputs'!$B$44,AL12*'Uplifters Inputs'!$B$43)),0)</f>
        <v>23800</v>
      </c>
      <c r="AM24" s="124" t="n">
        <f aca="false">IF(AM12&gt;0,MIN('Uplifters Inputs'!$B$45,MAX('Uplifters Inputs'!$B$44,AM12*'Uplifters Inputs'!$B$43)),0)</f>
        <v>21000</v>
      </c>
      <c r="AN24" s="124" t="n">
        <f aca="false">IF(AN12&gt;0,MIN('Uplifters Inputs'!$B$45,MAX('Uplifters Inputs'!$B$44,AN12*'Uplifters Inputs'!$B$43)),0)</f>
        <v>18200</v>
      </c>
      <c r="AO24" s="124" t="n">
        <f aca="false">IF(AO12&gt;0,MIN('Uplifters Inputs'!$B$45,MAX('Uplifters Inputs'!$B$44,AO12*'Uplifters Inputs'!$B$43)),0)</f>
        <v>16100</v>
      </c>
      <c r="AP24" s="124" t="n">
        <f aca="false">IF(AP12&gt;0,MIN('Uplifters Inputs'!$B$45,MAX('Uplifters Inputs'!$B$44,AP12*'Uplifters Inputs'!$B$43)),0)</f>
        <v>15000</v>
      </c>
      <c r="AQ24" s="124" t="n">
        <f aca="false">IF(AQ12&gt;0,MIN('Uplifters Inputs'!$B$45,MAX('Uplifters Inputs'!$B$44,AQ12*'Uplifters Inputs'!$B$43)),0)</f>
        <v>15000</v>
      </c>
      <c r="AR24" s="124" t="n">
        <f aca="false">IF(AR12&gt;0,MIN('Uplifters Inputs'!$B$45,MAX('Uplifters Inputs'!$B$44,AR12*'Uplifters Inputs'!$B$43)),0)</f>
        <v>15000</v>
      </c>
      <c r="AS24" s="124" t="n">
        <f aca="false">IF(AS12&gt;0,MIN('Uplifters Inputs'!$B$45,MAX('Uplifters Inputs'!$B$44,AS12*'Uplifters Inputs'!$B$43)),0)</f>
        <v>15000</v>
      </c>
      <c r="AT24" s="124" t="n">
        <f aca="false">IF(AT12&gt;0,MIN('Uplifters Inputs'!$B$45,MAX('Uplifters Inputs'!$B$44,AT12*'Uplifters Inputs'!$B$43)),0)</f>
        <v>15000</v>
      </c>
      <c r="AU24" s="124" t="n">
        <f aca="false">IF(AU12&gt;0,MIN('Uplifters Inputs'!$B$45,MAX('Uplifters Inputs'!$B$44,AU12*'Uplifters Inputs'!$B$43)),0)</f>
        <v>15000</v>
      </c>
      <c r="AV24" s="124" t="n">
        <f aca="false">IF(AV12&gt;0,MIN('Uplifters Inputs'!$B$45,MAX('Uplifters Inputs'!$B$44,AV12*'Uplifters Inputs'!$B$43)),0)</f>
        <v>15000</v>
      </c>
      <c r="AW24" s="124" t="n">
        <f aca="false">IF(AW12&gt;0,MIN('Uplifters Inputs'!$B$45,MAX('Uplifters Inputs'!$B$44,AW12*'Uplifters Inputs'!$B$43)),0)</f>
        <v>15000</v>
      </c>
      <c r="AX24" s="124" t="n">
        <f aca="false">IF(AX12&gt;0,MIN('Uplifters Inputs'!$B$45,MAX('Uplifters Inputs'!$B$44,AX12*'Uplifters Inputs'!$B$43)),0)</f>
        <v>15000</v>
      </c>
      <c r="AY24" s="124" t="n">
        <f aca="false">IF(AY12&gt;0,MIN('Uplifters Inputs'!$B$45,MAX('Uplifters Inputs'!$B$44,AY12*'Uplifters Inputs'!$B$43)),0)</f>
        <v>15000</v>
      </c>
      <c r="AZ24" s="124" t="n">
        <f aca="false">IF(AZ12&gt;0,MIN('Uplifters Inputs'!$B$45,MAX('Uplifters Inputs'!$B$44,AZ12*'Uplifters Inputs'!$B$43)),0)</f>
        <v>15000</v>
      </c>
      <c r="BA24" s="124" t="n">
        <f aca="false">IF(BA12&gt;0,MIN('Uplifters Inputs'!$B$45,MAX('Uplifters Inputs'!$B$44,BA12*'Uplifters Inputs'!$B$43)),0)</f>
        <v>15000</v>
      </c>
      <c r="BB24" s="124" t="n">
        <f aca="false">IF(BB12&gt;0,MIN('Uplifters Inputs'!$B$45,MAX('Uplifters Inputs'!$B$44,BB12*'Uplifters Inputs'!$B$43)),0)</f>
        <v>15000</v>
      </c>
      <c r="BC24" s="124" t="n">
        <f aca="false">IF(BC12&gt;0,MIN('Uplifters Inputs'!$B$45,MAX('Uplifters Inputs'!$B$44,BC12*'Uplifters Inputs'!$B$43)),0)</f>
        <v>15000</v>
      </c>
      <c r="BD24" s="124" t="n">
        <f aca="false">IF(BD12&gt;0,MIN('Uplifters Inputs'!$B$45,MAX('Uplifters Inputs'!$B$44,BD12*'Uplifters Inputs'!$B$43)),0)</f>
        <v>0</v>
      </c>
      <c r="BE24" s="124" t="n">
        <f aca="false">IF(BE12&gt;0,MIN('Uplifters Inputs'!$B$45,MAX('Uplifters Inputs'!$B$44,BE12*'Uplifters Inputs'!$B$43)),0)</f>
        <v>0</v>
      </c>
      <c r="BF24" s="124" t="n">
        <f aca="false">IF(BF12&gt;0,MIN('Uplifters Inputs'!$B$45,MAX('Uplifters Inputs'!$B$44,BF12*'Uplifters Inputs'!$B$43)),0)</f>
        <v>0</v>
      </c>
      <c r="BG24" s="124" t="n">
        <f aca="false">IF(BG12&gt;0,MIN('Uplifters Inputs'!$B$45,MAX('Uplifters Inputs'!$B$44,BG12*'Uplifters Inputs'!$B$43)),0)</f>
        <v>0</v>
      </c>
      <c r="BH24" s="124" t="n">
        <f aca="false">IF(BH12&gt;0,MIN('Uplifters Inputs'!$B$45,MAX('Uplifters Inputs'!$B$44,BH12*'Uplifters Inputs'!$B$43)),0)</f>
        <v>0</v>
      </c>
      <c r="BI24" s="124" t="n">
        <f aca="false">IF(BI12&gt;0,MIN('Uplifters Inputs'!$B$45,MAX('Uplifters Inputs'!$B$44,BI12*'Uplifters Inputs'!$B$43)),0)</f>
        <v>0</v>
      </c>
      <c r="BJ24" s="124" t="n">
        <f aca="false">IF(BJ12&gt;0,MIN('Uplifters Inputs'!$B$45,MAX('Uplifters Inputs'!$B$44,BJ12*'Uplifters Inputs'!$B$43)),0)</f>
        <v>0</v>
      </c>
      <c r="BK24" s="124" t="n">
        <f aca="false">IF(BK12&gt;0,MIN('Uplifters Inputs'!$B$45,MAX('Uplifters Inputs'!$B$44,BK12*'Uplifters Inputs'!$B$43)),0)</f>
        <v>0</v>
      </c>
      <c r="BL24" s="124" t="n">
        <f aca="false">IF(BL12&gt;0,MIN('Uplifters Inputs'!$B$45,MAX('Uplifters Inputs'!$B$44,BL12*'Uplifters Inputs'!$B$43)),0)</f>
        <v>0</v>
      </c>
      <c r="BM24" s="124" t="n">
        <f aca="false">IF(BM12&gt;0,MIN('Uplifters Inputs'!$B$45,MAX('Uplifters Inputs'!$B$44,BM12*'Uplifters Inputs'!$B$43)),0)</f>
        <v>0</v>
      </c>
      <c r="BN24" s="124" t="n">
        <f aca="false">IF(BN12&gt;0,MIN('Uplifters Inputs'!$B$45,MAX('Uplifters Inputs'!$B$44,BN12*'Uplifters Inputs'!$B$43)),0)</f>
        <v>0</v>
      </c>
      <c r="BO24" s="124" t="n">
        <f aca="false">IF(BO12&gt;0,MIN('Uplifters Inputs'!$B$45,MAX('Uplifters Inputs'!$B$44,BO12*'Uplifters Inputs'!$B$43)),0)</f>
        <v>0</v>
      </c>
      <c r="BP24" s="124" t="n">
        <f aca="false">IF(BP12&gt;0,MIN('Uplifters Inputs'!$B$45,MAX('Uplifters Inputs'!$B$44,BP12*'Uplifters Inputs'!$B$43)),0)</f>
        <v>0</v>
      </c>
      <c r="BQ24" s="124" t="n">
        <f aca="false">IF(BQ12&gt;0,MIN('Uplifters Inputs'!$B$45,MAX('Uplifters Inputs'!$B$44,BQ12*'Uplifters Inputs'!$B$43)),0)</f>
        <v>0</v>
      </c>
      <c r="BR24" s="124" t="n">
        <f aca="false">IF(BR12&gt;0,MIN('Uplifters Inputs'!$B$45,MAX('Uplifters Inputs'!$B$44,BR12*'Uplifters Inputs'!$B$43)),0)</f>
        <v>0</v>
      </c>
      <c r="BS24" s="124" t="n">
        <f aca="false">IF(BS12&gt;0,MIN('Uplifters Inputs'!$B$45,MAX('Uplifters Inputs'!$B$44,BS12*'Uplifters Inputs'!$B$43)),0)</f>
        <v>0</v>
      </c>
      <c r="BT24" s="124" t="n">
        <f aca="false">IF(BT12&gt;0,MIN('Uplifters Inputs'!$B$45,MAX('Uplifters Inputs'!$B$44,BT12*'Uplifters Inputs'!$B$43)),0)</f>
        <v>0</v>
      </c>
      <c r="BU24" s="124" t="n">
        <f aca="false">IF(BU12&gt;0,MIN('Uplifters Inputs'!$B$45,MAX('Uplifters Inputs'!$B$44,BU12*'Uplifters Inputs'!$B$43)),0)</f>
        <v>0</v>
      </c>
      <c r="BV24" s="124" t="n">
        <f aca="false">IF(BV12&gt;0,MIN('Uplifters Inputs'!$B$45,MAX('Uplifters Inputs'!$B$44,BV12*'Uplifters Inputs'!$B$43)),0)</f>
        <v>0</v>
      </c>
      <c r="BW24" s="124" t="n">
        <f aca="false">IF(BW12&gt;0,MIN('Uplifters Inputs'!$B$45,MAX('Uplifters Inputs'!$B$44,BW12*'Uplifters Inputs'!$B$43)),0)</f>
        <v>0</v>
      </c>
      <c r="BX24" s="124" t="n">
        <f aca="false">IF(BX12&gt;0,MIN('Uplifters Inputs'!$B$45,MAX('Uplifters Inputs'!$B$44,BX12*'Uplifters Inputs'!$B$43)),0)</f>
        <v>0</v>
      </c>
      <c r="BY24" s="124" t="n">
        <f aca="false">IF(BY12&gt;0,MIN('Uplifters Inputs'!$B$45,MAX('Uplifters Inputs'!$B$44,BY12*'Uplifters Inputs'!$B$43)),0)</f>
        <v>0</v>
      </c>
      <c r="BZ24" s="124" t="n">
        <f aca="false">IF(BZ12&gt;0,MIN('Uplifters Inputs'!$B$45,MAX('Uplifters Inputs'!$B$44,BZ12*'Uplifters Inputs'!$B$43)),0)</f>
        <v>0</v>
      </c>
      <c r="CA24" s="124" t="n">
        <f aca="false">IF(CA12&gt;0,MIN('Uplifters Inputs'!$B$45,MAX('Uplifters Inputs'!$B$44,CA12*'Uplifters Inputs'!$B$43)),0)</f>
        <v>0</v>
      </c>
      <c r="CB24" s="124" t="n">
        <f aca="false">IF(CB12&gt;0,MIN('Uplifters Inputs'!$B$45,MAX('Uplifters Inputs'!$B$44,CB12*'Uplifters Inputs'!$B$43)),0)</f>
        <v>0</v>
      </c>
      <c r="CC24" s="124" t="n">
        <f aca="false">IF(CC12&gt;0,MIN('Uplifters Inputs'!$B$45,MAX('Uplifters Inputs'!$B$44,CC12*'Uplifters Inputs'!$B$43)),0)</f>
        <v>0</v>
      </c>
      <c r="CD24" s="124" t="n">
        <f aca="false">IF(CD12&gt;0,MIN('Uplifters Inputs'!$B$45,MAX('Uplifters Inputs'!$B$44,CD12*'Uplifters Inputs'!$B$43)),0)</f>
        <v>0</v>
      </c>
      <c r="CE24" s="124" t="n">
        <f aca="false">IF(CE12&gt;0,MIN('Uplifters Inputs'!$B$45,MAX('Uplifters Inputs'!$B$44,CE12*'Uplifters Inputs'!$B$43)),0)</f>
        <v>0</v>
      </c>
      <c r="CF24" s="124" t="n">
        <f aca="false">IF(CF12&gt;0,MIN('Uplifters Inputs'!$B$45,MAX('Uplifters Inputs'!$B$44,CF12*'Uplifters Inputs'!$B$43)),0)</f>
        <v>0</v>
      </c>
      <c r="CG24" s="124" t="n">
        <f aca="false">IF(CG12&gt;0,MIN('Uplifters Inputs'!$B$45,MAX('Uplifters Inputs'!$B$44,CG12*'Uplifters Inputs'!$B$43)),0)</f>
        <v>0</v>
      </c>
      <c r="CH24" s="124" t="n">
        <f aca="false">IF(CH12&gt;0,MIN('Uplifters Inputs'!$B$45,MAX('Uplifters Inputs'!$B$44,CH12*'Uplifters Inputs'!$B$43)),0)</f>
        <v>0</v>
      </c>
      <c r="CI24" s="124" t="n">
        <f aca="false">IF(CI12&gt;0,MIN('Uplifters Inputs'!$B$45,MAX('Uplifters Inputs'!$B$44,CI12*'Uplifters Inputs'!$B$43)),0)</f>
        <v>0</v>
      </c>
      <c r="CJ24" s="124" t="n">
        <f aca="false">IF(CJ12&gt;0,MIN('Uplifters Inputs'!$B$45,MAX('Uplifters Inputs'!$B$44,CJ12*'Uplifters Inputs'!$B$43)),0)</f>
        <v>0</v>
      </c>
      <c r="CK24" s="124" t="n">
        <f aca="false">IF(CK12&gt;0,MIN('Uplifters Inputs'!$B$45,MAX('Uplifters Inputs'!$B$44,CK12*'Uplifters Inputs'!$B$43)),0)</f>
        <v>0</v>
      </c>
      <c r="CL24" s="124" t="n">
        <f aca="false">IF(CL12&gt;0,MIN('Uplifters Inputs'!$B$45,MAX('Uplifters Inputs'!$B$44,CL12*'Uplifters Inputs'!$B$43)),0)</f>
        <v>0</v>
      </c>
      <c r="CM24" s="124" t="n">
        <f aca="false">IF(CM12&gt;0,MIN('Uplifters Inputs'!$B$45,MAX('Uplifters Inputs'!$B$44,CM12*'Uplifters Inputs'!$B$43)),0)</f>
        <v>0</v>
      </c>
      <c r="CN24" s="124" t="n">
        <f aca="false">IF(CN12&gt;0,MIN('Uplifters Inputs'!$B$45,MAX('Uplifters Inputs'!$B$44,CN12*'Uplifters Inputs'!$B$43)),0)</f>
        <v>0</v>
      </c>
      <c r="CO24" s="124" t="n">
        <f aca="false">IF(CO12&gt;0,MIN('Uplifters Inputs'!$B$45,MAX('Uplifters Inputs'!$B$44,CO12*'Uplifters Inputs'!$B$43)),0)</f>
        <v>0</v>
      </c>
      <c r="CP24" s="124" t="n">
        <f aca="false">IF(CP12&gt;0,MIN('Uplifters Inputs'!$B$45,MAX('Uplifters Inputs'!$B$44,CP12*'Uplifters Inputs'!$B$43)),0)</f>
        <v>0</v>
      </c>
      <c r="CQ24" s="124" t="n">
        <f aca="false">IF(CQ12&gt;0,MIN('Uplifters Inputs'!$B$45,MAX('Uplifters Inputs'!$B$44,CQ12*'Uplifters Inputs'!$B$43)),0)</f>
        <v>0</v>
      </c>
      <c r="CR24" s="124" t="n">
        <f aca="false">IF(CR12&gt;0,MIN('Uplifters Inputs'!$B$45,MAX('Uplifters Inputs'!$B$44,CR12*'Uplifters Inputs'!$B$43)),0)</f>
        <v>0</v>
      </c>
      <c r="CS24" s="124" t="n">
        <f aca="false">IF(CS12&gt;0,MIN('Uplifters Inputs'!$B$45,MAX('Uplifters Inputs'!$B$44,CS12*'Uplifters Inputs'!$B$43)),0)</f>
        <v>0</v>
      </c>
    </row>
    <row r="25" customFormat="false" ht="15" hidden="false" customHeight="true" outlineLevel="0" collapsed="false">
      <c r="A25" s="123" t="s">
        <v>1423</v>
      </c>
      <c r="B25" s="402" t="n">
        <f aca="false">IF(B12&gt;0,MAX(0,ROUNDUP(B12/'Uplifters Inputs'!$B$47,0)-1),0)</f>
        <v>0</v>
      </c>
      <c r="C25" s="402" t="n">
        <f aca="false">IF(C12&gt;0,MAX(0,ROUNDUP(C12/'Uplifters Inputs'!$B$47,0)-1),0)</f>
        <v>0</v>
      </c>
      <c r="D25" s="402" t="n">
        <f aca="false">IF(D12&gt;0,MAX(0,ROUNDUP(D12/'Uplifters Inputs'!$B$47,0)-1),0)</f>
        <v>0</v>
      </c>
      <c r="E25" s="402" t="n">
        <f aca="false">IF(E12&gt;0,MAX(0,ROUNDUP(E12/'Uplifters Inputs'!$B$47,0)-1),0)</f>
        <v>0</v>
      </c>
      <c r="F25" s="402" t="n">
        <f aca="false">IF(F12&gt;0,MAX(0,ROUNDUP(F12/'Uplifters Inputs'!$B$47,0)-1),0)</f>
        <v>0</v>
      </c>
      <c r="G25" s="402" t="n">
        <f aca="false">IF(G12&gt;0,MAX(0,ROUNDUP(G12/'Uplifters Inputs'!$B$47,0)-1),0)</f>
        <v>0</v>
      </c>
      <c r="H25" s="402" t="n">
        <f aca="false">IF(H12&gt;0,MAX(0,ROUNDUP(H12/'Uplifters Inputs'!$B$47,0)-1),0)</f>
        <v>0</v>
      </c>
      <c r="I25" s="402" t="n">
        <f aca="false">IF(I12&gt;0,MAX(0,ROUNDUP(I12/'Uplifters Inputs'!$B$47,0)-1),0)</f>
        <v>0</v>
      </c>
      <c r="J25" s="402" t="n">
        <f aca="false">IF(J12&gt;0,MAX(0,ROUNDUP(J12/'Uplifters Inputs'!$B$47,0)-1),0)</f>
        <v>0</v>
      </c>
      <c r="K25" s="402" t="n">
        <f aca="false">IF(K12&gt;0,MAX(0,ROUNDUP(K12/'Uplifters Inputs'!$B$47,0)-1),0)</f>
        <v>0</v>
      </c>
      <c r="L25" s="402" t="n">
        <f aca="false">IF(L12&gt;0,MAX(0,ROUNDUP(L12/'Uplifters Inputs'!$B$47,0)-1),0)</f>
        <v>0</v>
      </c>
      <c r="M25" s="402" t="n">
        <f aca="false">IF(M12&gt;0,MAX(0,ROUNDUP(M12/'Uplifters Inputs'!$B$47,0)-1),0)</f>
        <v>0</v>
      </c>
      <c r="N25" s="402" t="n">
        <f aca="false">IF(N12&gt;0,MAX(0,ROUNDUP(N12/'Uplifters Inputs'!$B$47,0)-1),0)</f>
        <v>0</v>
      </c>
      <c r="O25" s="402" t="n">
        <f aca="false">IF(O12&gt;0,MAX(0,ROUNDUP(O12/'Uplifters Inputs'!$B$47,0)-1),0)</f>
        <v>0</v>
      </c>
      <c r="P25" s="402" t="n">
        <f aca="false">IF(P12&gt;0,MAX(0,ROUNDUP(P12/'Uplifters Inputs'!$B$47,0)-1),0)</f>
        <v>0</v>
      </c>
      <c r="Q25" s="402" t="n">
        <f aca="false">IF(Q12&gt;0,MAX(0,ROUNDUP(Q12/'Uplifters Inputs'!$B$47,0)-1),0)</f>
        <v>0</v>
      </c>
      <c r="R25" s="402" t="n">
        <f aca="false">IF(R12&gt;0,MAX(0,ROUNDUP(R12/'Uplifters Inputs'!$B$47,0)-1),0)</f>
        <v>0</v>
      </c>
      <c r="S25" s="402" t="n">
        <f aca="false">IF(S12&gt;0,MAX(0,ROUNDUP(S12/'Uplifters Inputs'!$B$47,0)-1),0)</f>
        <v>0</v>
      </c>
      <c r="T25" s="402" t="n">
        <f aca="false">IF(T12&gt;0,MAX(0,ROUNDUP(T12/'Uplifters Inputs'!$B$47,0)-1),0)</f>
        <v>0</v>
      </c>
      <c r="U25" s="402" t="n">
        <f aca="false">IF(U12&gt;0,MAX(0,ROUNDUP(U12/'Uplifters Inputs'!$B$47,0)-1),0)</f>
        <v>0</v>
      </c>
      <c r="V25" s="402" t="n">
        <f aca="false">IF(V12&gt;0,MAX(0,ROUNDUP(V12/'Uplifters Inputs'!$B$47,0)-1),0)</f>
        <v>0</v>
      </c>
      <c r="W25" s="402" t="n">
        <f aca="false">IF(W12&gt;0,MAX(0,ROUNDUP(W12/'Uplifters Inputs'!$B$47,0)-1),0)</f>
        <v>0</v>
      </c>
      <c r="X25" s="402" t="n">
        <f aca="false">IF(X12&gt;0,MAX(0,ROUNDUP(X12/'Uplifters Inputs'!$B$47,0)-1),0)</f>
        <v>0</v>
      </c>
      <c r="Y25" s="402" t="n">
        <f aca="false">IF(Y12&gt;0,MAX(0,ROUNDUP(Y12/'Uplifters Inputs'!$B$47,0)-1),0)</f>
        <v>1</v>
      </c>
      <c r="Z25" s="402" t="n">
        <f aca="false">IF(Z12&gt;0,MAX(0,ROUNDUP(Z12/'Uplifters Inputs'!$B$47,0)-1),0)</f>
        <v>1</v>
      </c>
      <c r="AA25" s="402" t="n">
        <f aca="false">IF(AA12&gt;0,MAX(0,ROUNDUP(AA12/'Uplifters Inputs'!$B$47,0)-1),0)</f>
        <v>2</v>
      </c>
      <c r="AB25" s="402" t="n">
        <f aca="false">IF(AB12&gt;0,MAX(0,ROUNDUP(AB12/'Uplifters Inputs'!$B$47,0)-1),0)</f>
        <v>2</v>
      </c>
      <c r="AC25" s="402" t="n">
        <f aca="false">IF(AC12&gt;0,MAX(0,ROUNDUP(AC12/'Uplifters Inputs'!$B$47,0)-1),0)</f>
        <v>2</v>
      </c>
      <c r="AD25" s="402" t="n">
        <f aca="false">IF(AD12&gt;0,MAX(0,ROUNDUP(AD12/'Uplifters Inputs'!$B$47,0)-1),0)</f>
        <v>3</v>
      </c>
      <c r="AE25" s="402" t="n">
        <f aca="false">IF(AE12&gt;0,MAX(0,ROUNDUP(AE12/'Uplifters Inputs'!$B$47,0)-1),0)</f>
        <v>3</v>
      </c>
      <c r="AF25" s="402" t="n">
        <f aca="false">IF(AF12&gt;0,MAX(0,ROUNDUP(AF12/'Uplifters Inputs'!$B$47,0)-1),0)</f>
        <v>3</v>
      </c>
      <c r="AG25" s="402" t="n">
        <f aca="false">IF(AG12&gt;0,MAX(0,ROUNDUP(AG12/'Uplifters Inputs'!$B$47,0)-1),0)</f>
        <v>3</v>
      </c>
      <c r="AH25" s="402" t="n">
        <f aca="false">IF(AH12&gt;0,MAX(0,ROUNDUP(AH12/'Uplifters Inputs'!$B$47,0)-1),0)</f>
        <v>3</v>
      </c>
      <c r="AI25" s="402" t="n">
        <f aca="false">IF(AI12&gt;0,MAX(0,ROUNDUP(AI12/'Uplifters Inputs'!$B$47,0)-1),0)</f>
        <v>3</v>
      </c>
      <c r="AJ25" s="402" t="n">
        <f aca="false">IF(AJ12&gt;0,MAX(0,ROUNDUP(AJ12/'Uplifters Inputs'!$B$47,0)-1),0)</f>
        <v>3</v>
      </c>
      <c r="AK25" s="402" t="n">
        <f aca="false">IF(AK12&gt;0,MAX(0,ROUNDUP(AK12/'Uplifters Inputs'!$B$47,0)-1),0)</f>
        <v>3</v>
      </c>
      <c r="AL25" s="402" t="n">
        <f aca="false">IF(AL12&gt;0,MAX(0,ROUNDUP(AL12/'Uplifters Inputs'!$B$47,0)-1),0)</f>
        <v>2</v>
      </c>
      <c r="AM25" s="402" t="n">
        <f aca="false">IF(AM12&gt;0,MAX(0,ROUNDUP(AM12/'Uplifters Inputs'!$B$47,0)-1),0)</f>
        <v>2</v>
      </c>
      <c r="AN25" s="402" t="n">
        <f aca="false">IF(AN12&gt;0,MAX(0,ROUNDUP(AN12/'Uplifters Inputs'!$B$47,0)-1),0)</f>
        <v>2</v>
      </c>
      <c r="AO25" s="402" t="n">
        <f aca="false">IF(AO12&gt;0,MAX(0,ROUNDUP(AO12/'Uplifters Inputs'!$B$47,0)-1),0)</f>
        <v>1</v>
      </c>
      <c r="AP25" s="402" t="n">
        <f aca="false">IF(AP12&gt;0,MAX(0,ROUNDUP(AP12/'Uplifters Inputs'!$B$47,0)-1),0)</f>
        <v>1</v>
      </c>
      <c r="AQ25" s="402" t="n">
        <f aca="false">IF(AQ12&gt;0,MAX(0,ROUNDUP(AQ12/'Uplifters Inputs'!$B$47,0)-1),0)</f>
        <v>1</v>
      </c>
      <c r="AR25" s="402" t="n">
        <f aca="false">IF(AR12&gt;0,MAX(0,ROUNDUP(AR12/'Uplifters Inputs'!$B$47,0)-1),0)</f>
        <v>1</v>
      </c>
      <c r="AS25" s="402" t="n">
        <f aca="false">IF(AS12&gt;0,MAX(0,ROUNDUP(AS12/'Uplifters Inputs'!$B$47,0)-1),0)</f>
        <v>1</v>
      </c>
      <c r="AT25" s="402" t="n">
        <f aca="false">IF(AT12&gt;0,MAX(0,ROUNDUP(AT12/'Uplifters Inputs'!$B$47,0)-1),0)</f>
        <v>0</v>
      </c>
      <c r="AU25" s="402" t="n">
        <f aca="false">IF(AU12&gt;0,MAX(0,ROUNDUP(AU12/'Uplifters Inputs'!$B$47,0)-1),0)</f>
        <v>0</v>
      </c>
      <c r="AV25" s="402" t="n">
        <f aca="false">IF(AV12&gt;0,MAX(0,ROUNDUP(AV12/'Uplifters Inputs'!$B$47,0)-1),0)</f>
        <v>0</v>
      </c>
      <c r="AW25" s="402" t="n">
        <f aca="false">IF(AW12&gt;0,MAX(0,ROUNDUP(AW12/'Uplifters Inputs'!$B$47,0)-1),0)</f>
        <v>0</v>
      </c>
      <c r="AX25" s="402" t="n">
        <f aca="false">IF(AX12&gt;0,MAX(0,ROUNDUP(AX12/'Uplifters Inputs'!$B$47,0)-1),0)</f>
        <v>0</v>
      </c>
      <c r="AY25" s="402" t="n">
        <f aca="false">IF(AY12&gt;0,MAX(0,ROUNDUP(AY12/'Uplifters Inputs'!$B$47,0)-1),0)</f>
        <v>0</v>
      </c>
      <c r="AZ25" s="402" t="n">
        <f aca="false">IF(AZ12&gt;0,MAX(0,ROUNDUP(AZ12/'Uplifters Inputs'!$B$47,0)-1),0)</f>
        <v>0</v>
      </c>
      <c r="BA25" s="402" t="n">
        <f aca="false">IF(BA12&gt;0,MAX(0,ROUNDUP(BA12/'Uplifters Inputs'!$B$47,0)-1),0)</f>
        <v>0</v>
      </c>
      <c r="BB25" s="402" t="n">
        <f aca="false">IF(BB12&gt;0,MAX(0,ROUNDUP(BB12/'Uplifters Inputs'!$B$47,0)-1),0)</f>
        <v>0</v>
      </c>
      <c r="BC25" s="402" t="n">
        <f aca="false">IF(BC12&gt;0,MAX(0,ROUNDUP(BC12/'Uplifters Inputs'!$B$47,0)-1),0)</f>
        <v>0</v>
      </c>
      <c r="BD25" s="402" t="n">
        <f aca="false">IF(BD12&gt;0,MAX(0,ROUNDUP(BD12/'Uplifters Inputs'!$B$47,0)-1),0)</f>
        <v>0</v>
      </c>
      <c r="BE25" s="402" t="n">
        <f aca="false">IF(BE12&gt;0,MAX(0,ROUNDUP(BE12/'Uplifters Inputs'!$B$47,0)-1),0)</f>
        <v>0</v>
      </c>
      <c r="BF25" s="402" t="n">
        <f aca="false">IF(BF12&gt;0,MAX(0,ROUNDUP(BF12/'Uplifters Inputs'!$B$47,0)-1),0)</f>
        <v>0</v>
      </c>
      <c r="BG25" s="402" t="n">
        <f aca="false">IF(BG12&gt;0,MAX(0,ROUNDUP(BG12/'Uplifters Inputs'!$B$47,0)-1),0)</f>
        <v>0</v>
      </c>
      <c r="BH25" s="402" t="n">
        <f aca="false">IF(BH12&gt;0,MAX(0,ROUNDUP(BH12/'Uplifters Inputs'!$B$47,0)-1),0)</f>
        <v>0</v>
      </c>
      <c r="BI25" s="402" t="n">
        <f aca="false">IF(BI12&gt;0,MAX(0,ROUNDUP(BI12/'Uplifters Inputs'!$B$47,0)-1),0)</f>
        <v>0</v>
      </c>
      <c r="BJ25" s="402" t="n">
        <f aca="false">IF(BJ12&gt;0,MAX(0,ROUNDUP(BJ12/'Uplifters Inputs'!$B$47,0)-1),0)</f>
        <v>0</v>
      </c>
      <c r="BK25" s="402" t="n">
        <f aca="false">IF(BK12&gt;0,MAX(0,ROUNDUP(BK12/'Uplifters Inputs'!$B$47,0)-1),0)</f>
        <v>0</v>
      </c>
      <c r="BL25" s="402" t="n">
        <f aca="false">IF(BL12&gt;0,MAX(0,ROUNDUP(BL12/'Uplifters Inputs'!$B$47,0)-1),0)</f>
        <v>0</v>
      </c>
      <c r="BM25" s="402" t="n">
        <f aca="false">IF(BM12&gt;0,MAX(0,ROUNDUP(BM12/'Uplifters Inputs'!$B$47,0)-1),0)</f>
        <v>0</v>
      </c>
      <c r="BN25" s="402" t="n">
        <f aca="false">IF(BN12&gt;0,MAX(0,ROUNDUP(BN12/'Uplifters Inputs'!$B$47,0)-1),0)</f>
        <v>0</v>
      </c>
      <c r="BO25" s="402" t="n">
        <f aca="false">IF(BO12&gt;0,MAX(0,ROUNDUP(BO12/'Uplifters Inputs'!$B$47,0)-1),0)</f>
        <v>0</v>
      </c>
      <c r="BP25" s="402" t="n">
        <f aca="false">IF(BP12&gt;0,MAX(0,ROUNDUP(BP12/'Uplifters Inputs'!$B$47,0)-1),0)</f>
        <v>0</v>
      </c>
      <c r="BQ25" s="402" t="n">
        <f aca="false">IF(BQ12&gt;0,MAX(0,ROUNDUP(BQ12/'Uplifters Inputs'!$B$47,0)-1),0)</f>
        <v>0</v>
      </c>
      <c r="BR25" s="402" t="n">
        <f aca="false">IF(BR12&gt;0,MAX(0,ROUNDUP(BR12/'Uplifters Inputs'!$B$47,0)-1),0)</f>
        <v>0</v>
      </c>
      <c r="BS25" s="402" t="n">
        <f aca="false">IF(BS12&gt;0,MAX(0,ROUNDUP(BS12/'Uplifters Inputs'!$B$47,0)-1),0)</f>
        <v>0</v>
      </c>
      <c r="BT25" s="402" t="n">
        <f aca="false">IF(BT12&gt;0,MAX(0,ROUNDUP(BT12/'Uplifters Inputs'!$B$47,0)-1),0)</f>
        <v>0</v>
      </c>
      <c r="BU25" s="402" t="n">
        <f aca="false">IF(BU12&gt;0,MAX(0,ROUNDUP(BU12/'Uplifters Inputs'!$B$47,0)-1),0)</f>
        <v>0</v>
      </c>
      <c r="BV25" s="402" t="n">
        <f aca="false">IF(BV12&gt;0,MAX(0,ROUNDUP(BV12/'Uplifters Inputs'!$B$47,0)-1),0)</f>
        <v>0</v>
      </c>
      <c r="BW25" s="402" t="n">
        <f aca="false">IF(BW12&gt;0,MAX(0,ROUNDUP(BW12/'Uplifters Inputs'!$B$47,0)-1),0)</f>
        <v>0</v>
      </c>
      <c r="BX25" s="402" t="n">
        <f aca="false">IF(BX12&gt;0,MAX(0,ROUNDUP(BX12/'Uplifters Inputs'!$B$47,0)-1),0)</f>
        <v>0</v>
      </c>
      <c r="BY25" s="402" t="n">
        <f aca="false">IF(BY12&gt;0,MAX(0,ROUNDUP(BY12/'Uplifters Inputs'!$B$47,0)-1),0)</f>
        <v>0</v>
      </c>
      <c r="BZ25" s="402" t="n">
        <f aca="false">IF(BZ12&gt;0,MAX(0,ROUNDUP(BZ12/'Uplifters Inputs'!$B$47,0)-1),0)</f>
        <v>0</v>
      </c>
      <c r="CA25" s="402" t="n">
        <f aca="false">IF(CA12&gt;0,MAX(0,ROUNDUP(CA12/'Uplifters Inputs'!$B$47,0)-1),0)</f>
        <v>0</v>
      </c>
      <c r="CB25" s="402" t="n">
        <f aca="false">IF(CB12&gt;0,MAX(0,ROUNDUP(CB12/'Uplifters Inputs'!$B$47,0)-1),0)</f>
        <v>0</v>
      </c>
      <c r="CC25" s="402" t="n">
        <f aca="false">IF(CC12&gt;0,MAX(0,ROUNDUP(CC12/'Uplifters Inputs'!$B$47,0)-1),0)</f>
        <v>0</v>
      </c>
      <c r="CD25" s="402" t="n">
        <f aca="false">IF(CD12&gt;0,MAX(0,ROUNDUP(CD12/'Uplifters Inputs'!$B$47,0)-1),0)</f>
        <v>0</v>
      </c>
      <c r="CE25" s="402" t="n">
        <f aca="false">IF(CE12&gt;0,MAX(0,ROUNDUP(CE12/'Uplifters Inputs'!$B$47,0)-1),0)</f>
        <v>0</v>
      </c>
      <c r="CF25" s="402" t="n">
        <f aca="false">IF(CF12&gt;0,MAX(0,ROUNDUP(CF12/'Uplifters Inputs'!$B$47,0)-1),0)</f>
        <v>0</v>
      </c>
      <c r="CG25" s="402" t="n">
        <f aca="false">IF(CG12&gt;0,MAX(0,ROUNDUP(CG12/'Uplifters Inputs'!$B$47,0)-1),0)</f>
        <v>0</v>
      </c>
      <c r="CH25" s="402" t="n">
        <f aca="false">IF(CH12&gt;0,MAX(0,ROUNDUP(CH12/'Uplifters Inputs'!$B$47,0)-1),0)</f>
        <v>0</v>
      </c>
      <c r="CI25" s="402" t="n">
        <f aca="false">IF(CI12&gt;0,MAX(0,ROUNDUP(CI12/'Uplifters Inputs'!$B$47,0)-1),0)</f>
        <v>0</v>
      </c>
      <c r="CJ25" s="402" t="n">
        <f aca="false">IF(CJ12&gt;0,MAX(0,ROUNDUP(CJ12/'Uplifters Inputs'!$B$47,0)-1),0)</f>
        <v>0</v>
      </c>
      <c r="CK25" s="402" t="n">
        <f aca="false">IF(CK12&gt;0,MAX(0,ROUNDUP(CK12/'Uplifters Inputs'!$B$47,0)-1),0)</f>
        <v>0</v>
      </c>
      <c r="CL25" s="402" t="n">
        <f aca="false">IF(CL12&gt;0,MAX(0,ROUNDUP(CL12/'Uplifters Inputs'!$B$47,0)-1),0)</f>
        <v>0</v>
      </c>
      <c r="CM25" s="402" t="n">
        <f aca="false">IF(CM12&gt;0,MAX(0,ROUNDUP(CM12/'Uplifters Inputs'!$B$47,0)-1),0)</f>
        <v>0</v>
      </c>
      <c r="CN25" s="402" t="n">
        <f aca="false">IF(CN12&gt;0,MAX(0,ROUNDUP(CN12/'Uplifters Inputs'!$B$47,0)-1),0)</f>
        <v>0</v>
      </c>
      <c r="CO25" s="402" t="n">
        <f aca="false">IF(CO12&gt;0,MAX(0,ROUNDUP(CO12/'Uplifters Inputs'!$B$47,0)-1),0)</f>
        <v>0</v>
      </c>
      <c r="CP25" s="402" t="n">
        <f aca="false">IF(CP12&gt;0,MAX(0,ROUNDUP(CP12/'Uplifters Inputs'!$B$47,0)-1),0)</f>
        <v>0</v>
      </c>
      <c r="CQ25" s="402" t="n">
        <f aca="false">IF(CQ12&gt;0,MAX(0,ROUNDUP(CQ12/'Uplifters Inputs'!$B$47,0)-1),0)</f>
        <v>0</v>
      </c>
      <c r="CR25" s="402" t="n">
        <f aca="false">IF(CR12&gt;0,MAX(0,ROUNDUP(CR12/'Uplifters Inputs'!$B$47,0)-1),0)</f>
        <v>0</v>
      </c>
      <c r="CS25" s="402" t="n">
        <f aca="false">IF(CS12&gt;0,MAX(0,ROUNDUP(CS12/'Uplifters Inputs'!$B$47,0)-1),0)</f>
        <v>0</v>
      </c>
    </row>
    <row r="26" customFormat="false" ht="15" hidden="false" customHeight="true" outlineLevel="0" collapsed="false">
      <c r="A26" s="123" t="s">
        <v>1424</v>
      </c>
      <c r="B26" s="124" t="n">
        <f aca="false">B25*'Uplifters Inputs'!$B$48/12</f>
        <v>0</v>
      </c>
      <c r="C26" s="124" t="n">
        <f aca="false">C25*'Uplifters Inputs'!$B$48/12</f>
        <v>0</v>
      </c>
      <c r="D26" s="124" t="n">
        <f aca="false">D25*'Uplifters Inputs'!$B$48/12</f>
        <v>0</v>
      </c>
      <c r="E26" s="124" t="n">
        <f aca="false">E25*'Uplifters Inputs'!$B$48/12</f>
        <v>0</v>
      </c>
      <c r="F26" s="124" t="n">
        <f aca="false">F25*'Uplifters Inputs'!$B$48/12</f>
        <v>0</v>
      </c>
      <c r="G26" s="124" t="n">
        <f aca="false">G25*'Uplifters Inputs'!$B$48/12</f>
        <v>0</v>
      </c>
      <c r="H26" s="124" t="n">
        <f aca="false">H25*'Uplifters Inputs'!$B$48/12</f>
        <v>0</v>
      </c>
      <c r="I26" s="124" t="n">
        <f aca="false">I25*'Uplifters Inputs'!$B$48/12</f>
        <v>0</v>
      </c>
      <c r="J26" s="124" t="n">
        <f aca="false">J25*'Uplifters Inputs'!$B$48/12</f>
        <v>0</v>
      </c>
      <c r="K26" s="124" t="n">
        <f aca="false">K25*'Uplifters Inputs'!$B$48/12</f>
        <v>0</v>
      </c>
      <c r="L26" s="124" t="n">
        <f aca="false">L25*'Uplifters Inputs'!$B$48/12</f>
        <v>0</v>
      </c>
      <c r="M26" s="124" t="n">
        <f aca="false">M25*'Uplifters Inputs'!$B$48/12</f>
        <v>0</v>
      </c>
      <c r="N26" s="124" t="n">
        <f aca="false">N25*'Uplifters Inputs'!$B$48/12</f>
        <v>0</v>
      </c>
      <c r="O26" s="124" t="n">
        <f aca="false">O25*'Uplifters Inputs'!$B$48/12</f>
        <v>0</v>
      </c>
      <c r="P26" s="124" t="n">
        <f aca="false">P25*'Uplifters Inputs'!$B$48/12</f>
        <v>0</v>
      </c>
      <c r="Q26" s="124" t="n">
        <f aca="false">Q25*'Uplifters Inputs'!$B$48/12</f>
        <v>0</v>
      </c>
      <c r="R26" s="124" t="n">
        <f aca="false">R25*'Uplifters Inputs'!$B$48/12</f>
        <v>0</v>
      </c>
      <c r="S26" s="124" t="n">
        <f aca="false">S25*'Uplifters Inputs'!$B$48/12</f>
        <v>0</v>
      </c>
      <c r="T26" s="124" t="n">
        <f aca="false">T25*'Uplifters Inputs'!$B$48/12</f>
        <v>0</v>
      </c>
      <c r="U26" s="124" t="n">
        <f aca="false">U25*'Uplifters Inputs'!$B$48/12</f>
        <v>0</v>
      </c>
      <c r="V26" s="124" t="n">
        <f aca="false">V25*'Uplifters Inputs'!$B$48/12</f>
        <v>0</v>
      </c>
      <c r="W26" s="124" t="n">
        <f aca="false">W25*'Uplifters Inputs'!$B$48/12</f>
        <v>0</v>
      </c>
      <c r="X26" s="124" t="n">
        <f aca="false">X25*'Uplifters Inputs'!$B$48/12</f>
        <v>0</v>
      </c>
      <c r="Y26" s="124" t="n">
        <f aca="false">Y25*'Uplifters Inputs'!$B$48/12</f>
        <v>10416.6666666667</v>
      </c>
      <c r="Z26" s="124" t="n">
        <f aca="false">Z25*'Uplifters Inputs'!$B$48/12</f>
        <v>10416.6666666667</v>
      </c>
      <c r="AA26" s="124" t="n">
        <f aca="false">AA25*'Uplifters Inputs'!$B$48/12</f>
        <v>20833.3333333333</v>
      </c>
      <c r="AB26" s="124" t="n">
        <f aca="false">AB25*'Uplifters Inputs'!$B$48/12</f>
        <v>20833.3333333333</v>
      </c>
      <c r="AC26" s="124" t="n">
        <f aca="false">AC25*'Uplifters Inputs'!$B$48/12</f>
        <v>20833.3333333333</v>
      </c>
      <c r="AD26" s="124" t="n">
        <f aca="false">AD25*'Uplifters Inputs'!$B$48/12</f>
        <v>31250</v>
      </c>
      <c r="AE26" s="124" t="n">
        <f aca="false">AE25*'Uplifters Inputs'!$B$48/12</f>
        <v>31250</v>
      </c>
      <c r="AF26" s="124" t="n">
        <f aca="false">AF25*'Uplifters Inputs'!$B$48/12</f>
        <v>31250</v>
      </c>
      <c r="AG26" s="124" t="n">
        <f aca="false">AG25*'Uplifters Inputs'!$B$48/12</f>
        <v>31250</v>
      </c>
      <c r="AH26" s="124" t="n">
        <f aca="false">AH25*'Uplifters Inputs'!$B$48/12</f>
        <v>31250</v>
      </c>
      <c r="AI26" s="124" t="n">
        <f aca="false">AI25*'Uplifters Inputs'!$B$48/12</f>
        <v>31250</v>
      </c>
      <c r="AJ26" s="124" t="n">
        <f aca="false">AJ25*'Uplifters Inputs'!$B$48/12</f>
        <v>31250</v>
      </c>
      <c r="AK26" s="124" t="n">
        <f aca="false">AK25*'Uplifters Inputs'!$B$48/12</f>
        <v>31250</v>
      </c>
      <c r="AL26" s="124" t="n">
        <f aca="false">AL25*'Uplifters Inputs'!$B$48/12</f>
        <v>20833.3333333333</v>
      </c>
      <c r="AM26" s="124" t="n">
        <f aca="false">AM25*'Uplifters Inputs'!$B$48/12</f>
        <v>20833.3333333333</v>
      </c>
      <c r="AN26" s="124" t="n">
        <f aca="false">AN25*'Uplifters Inputs'!$B$48/12</f>
        <v>20833.3333333333</v>
      </c>
      <c r="AO26" s="124" t="n">
        <f aca="false">AO25*'Uplifters Inputs'!$B$48/12</f>
        <v>10416.6666666667</v>
      </c>
      <c r="AP26" s="124" t="n">
        <f aca="false">AP25*'Uplifters Inputs'!$B$48/12</f>
        <v>10416.6666666667</v>
      </c>
      <c r="AQ26" s="124" t="n">
        <f aca="false">AQ25*'Uplifters Inputs'!$B$48/12</f>
        <v>10416.6666666667</v>
      </c>
      <c r="AR26" s="124" t="n">
        <f aca="false">AR25*'Uplifters Inputs'!$B$48/12</f>
        <v>10416.6666666667</v>
      </c>
      <c r="AS26" s="124" t="n">
        <f aca="false">AS25*'Uplifters Inputs'!$B$48/12</f>
        <v>10416.6666666667</v>
      </c>
      <c r="AT26" s="124" t="n">
        <f aca="false">AT25*'Uplifters Inputs'!$B$48/12</f>
        <v>0</v>
      </c>
      <c r="AU26" s="124" t="n">
        <f aca="false">AU25*'Uplifters Inputs'!$B$48/12</f>
        <v>0</v>
      </c>
      <c r="AV26" s="124" t="n">
        <f aca="false">AV25*'Uplifters Inputs'!$B$48/12</f>
        <v>0</v>
      </c>
      <c r="AW26" s="124" t="n">
        <f aca="false">AW25*'Uplifters Inputs'!$B$48/12</f>
        <v>0</v>
      </c>
      <c r="AX26" s="124" t="n">
        <f aca="false">AX25*'Uplifters Inputs'!$B$48/12</f>
        <v>0</v>
      </c>
      <c r="AY26" s="124" t="n">
        <f aca="false">AY25*'Uplifters Inputs'!$B$48/12</f>
        <v>0</v>
      </c>
      <c r="AZ26" s="124" t="n">
        <f aca="false">AZ25*'Uplifters Inputs'!$B$48/12</f>
        <v>0</v>
      </c>
      <c r="BA26" s="124" t="n">
        <f aca="false">BA25*'Uplifters Inputs'!$B$48/12</f>
        <v>0</v>
      </c>
      <c r="BB26" s="124" t="n">
        <f aca="false">BB25*'Uplifters Inputs'!$B$48/12</f>
        <v>0</v>
      </c>
      <c r="BC26" s="124" t="n">
        <f aca="false">BC25*'Uplifters Inputs'!$B$48/12</f>
        <v>0</v>
      </c>
      <c r="BD26" s="124" t="n">
        <f aca="false">BD25*'Uplifters Inputs'!$B$48/12</f>
        <v>0</v>
      </c>
      <c r="BE26" s="124" t="n">
        <f aca="false">BE25*'Uplifters Inputs'!$B$48/12</f>
        <v>0</v>
      </c>
      <c r="BF26" s="124" t="n">
        <f aca="false">BF25*'Uplifters Inputs'!$B$48/12</f>
        <v>0</v>
      </c>
      <c r="BG26" s="124" t="n">
        <f aca="false">BG25*'Uplifters Inputs'!$B$48/12</f>
        <v>0</v>
      </c>
      <c r="BH26" s="124" t="n">
        <f aca="false">BH25*'Uplifters Inputs'!$B$48/12</f>
        <v>0</v>
      </c>
      <c r="BI26" s="124" t="n">
        <f aca="false">BI25*'Uplifters Inputs'!$B$48/12</f>
        <v>0</v>
      </c>
      <c r="BJ26" s="124" t="n">
        <f aca="false">BJ25*'Uplifters Inputs'!$B$48/12</f>
        <v>0</v>
      </c>
      <c r="BK26" s="124" t="n">
        <f aca="false">BK25*'Uplifters Inputs'!$B$48/12</f>
        <v>0</v>
      </c>
      <c r="BL26" s="124" t="n">
        <f aca="false">BL25*'Uplifters Inputs'!$B$48/12</f>
        <v>0</v>
      </c>
      <c r="BM26" s="124" t="n">
        <f aca="false">BM25*'Uplifters Inputs'!$B$48/12</f>
        <v>0</v>
      </c>
      <c r="BN26" s="124" t="n">
        <f aca="false">BN25*'Uplifters Inputs'!$B$48/12</f>
        <v>0</v>
      </c>
      <c r="BO26" s="124" t="n">
        <f aca="false">BO25*'Uplifters Inputs'!$B$48/12</f>
        <v>0</v>
      </c>
      <c r="BP26" s="124" t="n">
        <f aca="false">BP25*'Uplifters Inputs'!$B$48/12</f>
        <v>0</v>
      </c>
      <c r="BQ26" s="124" t="n">
        <f aca="false">BQ25*'Uplifters Inputs'!$B$48/12</f>
        <v>0</v>
      </c>
      <c r="BR26" s="124" t="n">
        <f aca="false">BR25*'Uplifters Inputs'!$B$48/12</f>
        <v>0</v>
      </c>
      <c r="BS26" s="124" t="n">
        <f aca="false">BS25*'Uplifters Inputs'!$B$48/12</f>
        <v>0</v>
      </c>
      <c r="BT26" s="124" t="n">
        <f aca="false">BT25*'Uplifters Inputs'!$B$48/12</f>
        <v>0</v>
      </c>
      <c r="BU26" s="124" t="n">
        <f aca="false">BU25*'Uplifters Inputs'!$B$48/12</f>
        <v>0</v>
      </c>
      <c r="BV26" s="124" t="n">
        <f aca="false">BV25*'Uplifters Inputs'!$B$48/12</f>
        <v>0</v>
      </c>
      <c r="BW26" s="124" t="n">
        <f aca="false">BW25*'Uplifters Inputs'!$B$48/12</f>
        <v>0</v>
      </c>
      <c r="BX26" s="124" t="n">
        <f aca="false">BX25*'Uplifters Inputs'!$B$48/12</f>
        <v>0</v>
      </c>
      <c r="BY26" s="124" t="n">
        <f aca="false">BY25*'Uplifters Inputs'!$B$48/12</f>
        <v>0</v>
      </c>
      <c r="BZ26" s="124" t="n">
        <f aca="false">BZ25*'Uplifters Inputs'!$B$48/12</f>
        <v>0</v>
      </c>
      <c r="CA26" s="124" t="n">
        <f aca="false">CA25*'Uplifters Inputs'!$B$48/12</f>
        <v>0</v>
      </c>
      <c r="CB26" s="124" t="n">
        <f aca="false">CB25*'Uplifters Inputs'!$B$48/12</f>
        <v>0</v>
      </c>
      <c r="CC26" s="124" t="n">
        <f aca="false">CC25*'Uplifters Inputs'!$B$48/12</f>
        <v>0</v>
      </c>
      <c r="CD26" s="124" t="n">
        <f aca="false">CD25*'Uplifters Inputs'!$B$48/12</f>
        <v>0</v>
      </c>
      <c r="CE26" s="124" t="n">
        <f aca="false">CE25*'Uplifters Inputs'!$B$48/12</f>
        <v>0</v>
      </c>
      <c r="CF26" s="124" t="n">
        <f aca="false">CF25*'Uplifters Inputs'!$B$48/12</f>
        <v>0</v>
      </c>
      <c r="CG26" s="124" t="n">
        <f aca="false">CG25*'Uplifters Inputs'!$B$48/12</f>
        <v>0</v>
      </c>
      <c r="CH26" s="124" t="n">
        <f aca="false">CH25*'Uplifters Inputs'!$B$48/12</f>
        <v>0</v>
      </c>
      <c r="CI26" s="124" t="n">
        <f aca="false">CI25*'Uplifters Inputs'!$B$48/12</f>
        <v>0</v>
      </c>
      <c r="CJ26" s="124" t="n">
        <f aca="false">CJ25*'Uplifters Inputs'!$B$48/12</f>
        <v>0</v>
      </c>
      <c r="CK26" s="124" t="n">
        <f aca="false">CK25*'Uplifters Inputs'!$B$48/12</f>
        <v>0</v>
      </c>
      <c r="CL26" s="124" t="n">
        <f aca="false">CL25*'Uplifters Inputs'!$B$48/12</f>
        <v>0</v>
      </c>
      <c r="CM26" s="124" t="n">
        <f aca="false">CM25*'Uplifters Inputs'!$B$48/12</f>
        <v>0</v>
      </c>
      <c r="CN26" s="124" t="n">
        <f aca="false">CN25*'Uplifters Inputs'!$B$48/12</f>
        <v>0</v>
      </c>
      <c r="CO26" s="124" t="n">
        <f aca="false">CO25*'Uplifters Inputs'!$B$48/12</f>
        <v>0</v>
      </c>
      <c r="CP26" s="124" t="n">
        <f aca="false">CP25*'Uplifters Inputs'!$B$48/12</f>
        <v>0</v>
      </c>
      <c r="CQ26" s="124" t="n">
        <f aca="false">CQ25*'Uplifters Inputs'!$B$48/12</f>
        <v>0</v>
      </c>
      <c r="CR26" s="124" t="n">
        <f aca="false">CR25*'Uplifters Inputs'!$B$48/12</f>
        <v>0</v>
      </c>
      <c r="CS26" s="124" t="n">
        <f aca="false">CS25*'Uplifters Inputs'!$B$48/12</f>
        <v>0</v>
      </c>
    </row>
    <row r="27" customFormat="false" ht="15" hidden="false" customHeight="true" outlineLevel="0" collapsed="false">
      <c r="A27" s="123" t="s">
        <v>1425</v>
      </c>
      <c r="B27" s="124" t="n">
        <f aca="false">IF(B12&gt;='Uplifters Inputs'!$B$50,'Uplifters Inputs'!$B$49/12,0)</f>
        <v>0</v>
      </c>
      <c r="C27" s="124" t="n">
        <f aca="false">IF(C12&gt;='Uplifters Inputs'!$B$50,'Uplifters Inputs'!$B$49/12,0)</f>
        <v>0</v>
      </c>
      <c r="D27" s="124" t="n">
        <f aca="false">IF(D12&gt;='Uplifters Inputs'!$B$50,'Uplifters Inputs'!$B$49/12,0)</f>
        <v>0</v>
      </c>
      <c r="E27" s="124" t="n">
        <f aca="false">IF(E12&gt;='Uplifters Inputs'!$B$50,'Uplifters Inputs'!$B$49/12,0)</f>
        <v>0</v>
      </c>
      <c r="F27" s="124" t="n">
        <f aca="false">IF(F12&gt;='Uplifters Inputs'!$B$50,'Uplifters Inputs'!$B$49/12,0)</f>
        <v>0</v>
      </c>
      <c r="G27" s="124" t="n">
        <f aca="false">IF(G12&gt;='Uplifters Inputs'!$B$50,'Uplifters Inputs'!$B$49/12,0)</f>
        <v>0</v>
      </c>
      <c r="H27" s="124" t="n">
        <f aca="false">IF(H12&gt;='Uplifters Inputs'!$B$50,'Uplifters Inputs'!$B$49/12,0)</f>
        <v>0</v>
      </c>
      <c r="I27" s="124" t="n">
        <f aca="false">IF(I12&gt;='Uplifters Inputs'!$B$50,'Uplifters Inputs'!$B$49/12,0)</f>
        <v>0</v>
      </c>
      <c r="J27" s="124" t="n">
        <f aca="false">IF(J12&gt;='Uplifters Inputs'!$B$50,'Uplifters Inputs'!$B$49/12,0)</f>
        <v>0</v>
      </c>
      <c r="K27" s="124" t="n">
        <f aca="false">IF(K12&gt;='Uplifters Inputs'!$B$50,'Uplifters Inputs'!$B$49/12,0)</f>
        <v>0</v>
      </c>
      <c r="L27" s="124" t="n">
        <f aca="false">IF(L12&gt;='Uplifters Inputs'!$B$50,'Uplifters Inputs'!$B$49/12,0)</f>
        <v>0</v>
      </c>
      <c r="M27" s="124" t="n">
        <f aca="false">IF(M12&gt;='Uplifters Inputs'!$B$50,'Uplifters Inputs'!$B$49/12,0)</f>
        <v>0</v>
      </c>
      <c r="N27" s="124" t="n">
        <f aca="false">IF(N12&gt;='Uplifters Inputs'!$B$50,'Uplifters Inputs'!$B$49/12,0)</f>
        <v>0</v>
      </c>
      <c r="O27" s="124" t="n">
        <f aca="false">IF(O12&gt;='Uplifters Inputs'!$B$50,'Uplifters Inputs'!$B$49/12,0)</f>
        <v>0</v>
      </c>
      <c r="P27" s="124" t="n">
        <f aca="false">IF(P12&gt;='Uplifters Inputs'!$B$50,'Uplifters Inputs'!$B$49/12,0)</f>
        <v>0</v>
      </c>
      <c r="Q27" s="124" t="n">
        <f aca="false">IF(Q12&gt;='Uplifters Inputs'!$B$50,'Uplifters Inputs'!$B$49/12,0)</f>
        <v>0</v>
      </c>
      <c r="R27" s="124" t="n">
        <f aca="false">IF(R12&gt;='Uplifters Inputs'!$B$50,'Uplifters Inputs'!$B$49/12,0)</f>
        <v>0</v>
      </c>
      <c r="S27" s="124" t="n">
        <f aca="false">IF(S12&gt;='Uplifters Inputs'!$B$50,'Uplifters Inputs'!$B$49/12,0)</f>
        <v>0</v>
      </c>
      <c r="T27" s="124" t="n">
        <f aca="false">IF(T12&gt;='Uplifters Inputs'!$B$50,'Uplifters Inputs'!$B$49/12,0)</f>
        <v>0</v>
      </c>
      <c r="U27" s="124" t="n">
        <f aca="false">IF(U12&gt;='Uplifters Inputs'!$B$50,'Uplifters Inputs'!$B$49/12,0)</f>
        <v>0</v>
      </c>
      <c r="V27" s="124" t="n">
        <f aca="false">IF(V12&gt;='Uplifters Inputs'!$B$50,'Uplifters Inputs'!$B$49/12,0)</f>
        <v>0</v>
      </c>
      <c r="W27" s="124" t="n">
        <f aca="false">IF(W12&gt;='Uplifters Inputs'!$B$50,'Uplifters Inputs'!$B$49/12,0)</f>
        <v>0</v>
      </c>
      <c r="X27" s="124" t="n">
        <f aca="false">IF(X12&gt;='Uplifters Inputs'!$B$50,'Uplifters Inputs'!$B$49/12,0)</f>
        <v>0</v>
      </c>
      <c r="Y27" s="124" t="n">
        <f aca="false">IF(Y12&gt;='Uplifters Inputs'!$B$50,'Uplifters Inputs'!$B$49/12,0)</f>
        <v>0</v>
      </c>
      <c r="Z27" s="124" t="n">
        <f aca="false">IF(Z12&gt;='Uplifters Inputs'!$B$50,'Uplifters Inputs'!$B$49/12,0)</f>
        <v>0</v>
      </c>
      <c r="AA27" s="124" t="n">
        <f aca="false">IF(AA12&gt;='Uplifters Inputs'!$B$50,'Uplifters Inputs'!$B$49/12,0)</f>
        <v>9166.66666666667</v>
      </c>
      <c r="AB27" s="124" t="n">
        <f aca="false">IF(AB12&gt;='Uplifters Inputs'!$B$50,'Uplifters Inputs'!$B$49/12,0)</f>
        <v>9166.66666666667</v>
      </c>
      <c r="AC27" s="124" t="n">
        <f aca="false">IF(AC12&gt;='Uplifters Inputs'!$B$50,'Uplifters Inputs'!$B$49/12,0)</f>
        <v>9166.66666666667</v>
      </c>
      <c r="AD27" s="124" t="n">
        <f aca="false">IF(AD12&gt;='Uplifters Inputs'!$B$50,'Uplifters Inputs'!$B$49/12,0)</f>
        <v>9166.66666666667</v>
      </c>
      <c r="AE27" s="124" t="n">
        <f aca="false">IF(AE12&gt;='Uplifters Inputs'!$B$50,'Uplifters Inputs'!$B$49/12,0)</f>
        <v>9166.66666666667</v>
      </c>
      <c r="AF27" s="124" t="n">
        <f aca="false">IF(AF12&gt;='Uplifters Inputs'!$B$50,'Uplifters Inputs'!$B$49/12,0)</f>
        <v>9166.66666666667</v>
      </c>
      <c r="AG27" s="124" t="n">
        <f aca="false">IF(AG12&gt;='Uplifters Inputs'!$B$50,'Uplifters Inputs'!$B$49/12,0)</f>
        <v>9166.66666666667</v>
      </c>
      <c r="AH27" s="124" t="n">
        <f aca="false">IF(AH12&gt;='Uplifters Inputs'!$B$50,'Uplifters Inputs'!$B$49/12,0)</f>
        <v>9166.66666666667</v>
      </c>
      <c r="AI27" s="124" t="n">
        <f aca="false">IF(AI12&gt;='Uplifters Inputs'!$B$50,'Uplifters Inputs'!$B$49/12,0)</f>
        <v>9166.66666666667</v>
      </c>
      <c r="AJ27" s="124" t="n">
        <f aca="false">IF(AJ12&gt;='Uplifters Inputs'!$B$50,'Uplifters Inputs'!$B$49/12,0)</f>
        <v>9166.66666666667</v>
      </c>
      <c r="AK27" s="124" t="n">
        <f aca="false">IF(AK12&gt;='Uplifters Inputs'!$B$50,'Uplifters Inputs'!$B$49/12,0)</f>
        <v>9166.66666666667</v>
      </c>
      <c r="AL27" s="124" t="n">
        <f aca="false">IF(AL12&gt;='Uplifters Inputs'!$B$50,'Uplifters Inputs'!$B$49/12,0)</f>
        <v>9166.66666666667</v>
      </c>
      <c r="AM27" s="124" t="n">
        <f aca="false">IF(AM12&gt;='Uplifters Inputs'!$B$50,'Uplifters Inputs'!$B$49/12,0)</f>
        <v>9166.66666666667</v>
      </c>
      <c r="AN27" s="124" t="n">
        <f aca="false">IF(AN12&gt;='Uplifters Inputs'!$B$50,'Uplifters Inputs'!$B$49/12,0)</f>
        <v>9166.66666666667</v>
      </c>
      <c r="AO27" s="124" t="n">
        <f aca="false">IF(AO12&gt;='Uplifters Inputs'!$B$50,'Uplifters Inputs'!$B$49/12,0)</f>
        <v>0</v>
      </c>
      <c r="AP27" s="124" t="n">
        <f aca="false">IF(AP12&gt;='Uplifters Inputs'!$B$50,'Uplifters Inputs'!$B$49/12,0)</f>
        <v>0</v>
      </c>
      <c r="AQ27" s="124" t="n">
        <f aca="false">IF(AQ12&gt;='Uplifters Inputs'!$B$50,'Uplifters Inputs'!$B$49/12,0)</f>
        <v>0</v>
      </c>
      <c r="AR27" s="124" t="n">
        <f aca="false">IF(AR12&gt;='Uplifters Inputs'!$B$50,'Uplifters Inputs'!$B$49/12,0)</f>
        <v>0</v>
      </c>
      <c r="AS27" s="124" t="n">
        <f aca="false">IF(AS12&gt;='Uplifters Inputs'!$B$50,'Uplifters Inputs'!$B$49/12,0)</f>
        <v>0</v>
      </c>
      <c r="AT27" s="124" t="n">
        <f aca="false">IF(AT12&gt;='Uplifters Inputs'!$B$50,'Uplifters Inputs'!$B$49/12,0)</f>
        <v>0</v>
      </c>
      <c r="AU27" s="124" t="n">
        <f aca="false">IF(AU12&gt;='Uplifters Inputs'!$B$50,'Uplifters Inputs'!$B$49/12,0)</f>
        <v>0</v>
      </c>
      <c r="AV27" s="124" t="n">
        <f aca="false">IF(AV12&gt;='Uplifters Inputs'!$B$50,'Uplifters Inputs'!$B$49/12,0)</f>
        <v>0</v>
      </c>
      <c r="AW27" s="124" t="n">
        <f aca="false">IF(AW12&gt;='Uplifters Inputs'!$B$50,'Uplifters Inputs'!$B$49/12,0)</f>
        <v>0</v>
      </c>
      <c r="AX27" s="124" t="n">
        <f aca="false">IF(AX12&gt;='Uplifters Inputs'!$B$50,'Uplifters Inputs'!$B$49/12,0)</f>
        <v>0</v>
      </c>
      <c r="AY27" s="124" t="n">
        <f aca="false">IF(AY12&gt;='Uplifters Inputs'!$B$50,'Uplifters Inputs'!$B$49/12,0)</f>
        <v>0</v>
      </c>
      <c r="AZ27" s="124" t="n">
        <f aca="false">IF(AZ12&gt;='Uplifters Inputs'!$B$50,'Uplifters Inputs'!$B$49/12,0)</f>
        <v>0</v>
      </c>
      <c r="BA27" s="124" t="n">
        <f aca="false">IF(BA12&gt;='Uplifters Inputs'!$B$50,'Uplifters Inputs'!$B$49/12,0)</f>
        <v>0</v>
      </c>
      <c r="BB27" s="124" t="n">
        <f aca="false">IF(BB12&gt;='Uplifters Inputs'!$B$50,'Uplifters Inputs'!$B$49/12,0)</f>
        <v>0</v>
      </c>
      <c r="BC27" s="124" t="n">
        <f aca="false">IF(BC12&gt;='Uplifters Inputs'!$B$50,'Uplifters Inputs'!$B$49/12,0)</f>
        <v>0</v>
      </c>
      <c r="BD27" s="124" t="n">
        <f aca="false">IF(BD12&gt;='Uplifters Inputs'!$B$50,'Uplifters Inputs'!$B$49/12,0)</f>
        <v>0</v>
      </c>
      <c r="BE27" s="124" t="n">
        <f aca="false">IF(BE12&gt;='Uplifters Inputs'!$B$50,'Uplifters Inputs'!$B$49/12,0)</f>
        <v>0</v>
      </c>
      <c r="BF27" s="124" t="n">
        <f aca="false">IF(BF12&gt;='Uplifters Inputs'!$B$50,'Uplifters Inputs'!$B$49/12,0)</f>
        <v>0</v>
      </c>
      <c r="BG27" s="124" t="n">
        <f aca="false">IF(BG12&gt;='Uplifters Inputs'!$B$50,'Uplifters Inputs'!$B$49/12,0)</f>
        <v>0</v>
      </c>
      <c r="BH27" s="124" t="n">
        <f aca="false">IF(BH12&gt;='Uplifters Inputs'!$B$50,'Uplifters Inputs'!$B$49/12,0)</f>
        <v>0</v>
      </c>
      <c r="BI27" s="124" t="n">
        <f aca="false">IF(BI12&gt;='Uplifters Inputs'!$B$50,'Uplifters Inputs'!$B$49/12,0)</f>
        <v>0</v>
      </c>
      <c r="BJ27" s="124" t="n">
        <f aca="false">IF(BJ12&gt;='Uplifters Inputs'!$B$50,'Uplifters Inputs'!$B$49/12,0)</f>
        <v>0</v>
      </c>
      <c r="BK27" s="124" t="n">
        <f aca="false">IF(BK12&gt;='Uplifters Inputs'!$B$50,'Uplifters Inputs'!$B$49/12,0)</f>
        <v>0</v>
      </c>
      <c r="BL27" s="124" t="n">
        <f aca="false">IF(BL12&gt;='Uplifters Inputs'!$B$50,'Uplifters Inputs'!$B$49/12,0)</f>
        <v>0</v>
      </c>
      <c r="BM27" s="124" t="n">
        <f aca="false">IF(BM12&gt;='Uplifters Inputs'!$B$50,'Uplifters Inputs'!$B$49/12,0)</f>
        <v>0</v>
      </c>
      <c r="BN27" s="124" t="n">
        <f aca="false">IF(BN12&gt;='Uplifters Inputs'!$B$50,'Uplifters Inputs'!$B$49/12,0)</f>
        <v>0</v>
      </c>
      <c r="BO27" s="124" t="n">
        <f aca="false">IF(BO12&gt;='Uplifters Inputs'!$B$50,'Uplifters Inputs'!$B$49/12,0)</f>
        <v>0</v>
      </c>
      <c r="BP27" s="124" t="n">
        <f aca="false">IF(BP12&gt;='Uplifters Inputs'!$B$50,'Uplifters Inputs'!$B$49/12,0)</f>
        <v>0</v>
      </c>
      <c r="BQ27" s="124" t="n">
        <f aca="false">IF(BQ12&gt;='Uplifters Inputs'!$B$50,'Uplifters Inputs'!$B$49/12,0)</f>
        <v>0</v>
      </c>
      <c r="BR27" s="124" t="n">
        <f aca="false">IF(BR12&gt;='Uplifters Inputs'!$B$50,'Uplifters Inputs'!$B$49/12,0)</f>
        <v>0</v>
      </c>
      <c r="BS27" s="124" t="n">
        <f aca="false">IF(BS12&gt;='Uplifters Inputs'!$B$50,'Uplifters Inputs'!$B$49/12,0)</f>
        <v>0</v>
      </c>
      <c r="BT27" s="124" t="n">
        <f aca="false">IF(BT12&gt;='Uplifters Inputs'!$B$50,'Uplifters Inputs'!$B$49/12,0)</f>
        <v>0</v>
      </c>
      <c r="BU27" s="124" t="n">
        <f aca="false">IF(BU12&gt;='Uplifters Inputs'!$B$50,'Uplifters Inputs'!$B$49/12,0)</f>
        <v>0</v>
      </c>
      <c r="BV27" s="124" t="n">
        <f aca="false">IF(BV12&gt;='Uplifters Inputs'!$B$50,'Uplifters Inputs'!$B$49/12,0)</f>
        <v>0</v>
      </c>
      <c r="BW27" s="124" t="n">
        <f aca="false">IF(BW12&gt;='Uplifters Inputs'!$B$50,'Uplifters Inputs'!$B$49/12,0)</f>
        <v>0</v>
      </c>
      <c r="BX27" s="124" t="n">
        <f aca="false">IF(BX12&gt;='Uplifters Inputs'!$B$50,'Uplifters Inputs'!$B$49/12,0)</f>
        <v>0</v>
      </c>
      <c r="BY27" s="124" t="n">
        <f aca="false">IF(BY12&gt;='Uplifters Inputs'!$B$50,'Uplifters Inputs'!$B$49/12,0)</f>
        <v>0</v>
      </c>
      <c r="BZ27" s="124" t="n">
        <f aca="false">IF(BZ12&gt;='Uplifters Inputs'!$B$50,'Uplifters Inputs'!$B$49/12,0)</f>
        <v>0</v>
      </c>
      <c r="CA27" s="124" t="n">
        <f aca="false">IF(CA12&gt;='Uplifters Inputs'!$B$50,'Uplifters Inputs'!$B$49/12,0)</f>
        <v>0</v>
      </c>
      <c r="CB27" s="124" t="n">
        <f aca="false">IF(CB12&gt;='Uplifters Inputs'!$B$50,'Uplifters Inputs'!$B$49/12,0)</f>
        <v>0</v>
      </c>
      <c r="CC27" s="124" t="n">
        <f aca="false">IF(CC12&gt;='Uplifters Inputs'!$B$50,'Uplifters Inputs'!$B$49/12,0)</f>
        <v>0</v>
      </c>
      <c r="CD27" s="124" t="n">
        <f aca="false">IF(CD12&gt;='Uplifters Inputs'!$B$50,'Uplifters Inputs'!$B$49/12,0)</f>
        <v>0</v>
      </c>
      <c r="CE27" s="124" t="n">
        <f aca="false">IF(CE12&gt;='Uplifters Inputs'!$B$50,'Uplifters Inputs'!$B$49/12,0)</f>
        <v>0</v>
      </c>
      <c r="CF27" s="124" t="n">
        <f aca="false">IF(CF12&gt;='Uplifters Inputs'!$B$50,'Uplifters Inputs'!$B$49/12,0)</f>
        <v>0</v>
      </c>
      <c r="CG27" s="124" t="n">
        <f aca="false">IF(CG12&gt;='Uplifters Inputs'!$B$50,'Uplifters Inputs'!$B$49/12,0)</f>
        <v>0</v>
      </c>
      <c r="CH27" s="124" t="n">
        <f aca="false">IF(CH12&gt;='Uplifters Inputs'!$B$50,'Uplifters Inputs'!$B$49/12,0)</f>
        <v>0</v>
      </c>
      <c r="CI27" s="124" t="n">
        <f aca="false">IF(CI12&gt;='Uplifters Inputs'!$B$50,'Uplifters Inputs'!$B$49/12,0)</f>
        <v>0</v>
      </c>
      <c r="CJ27" s="124" t="n">
        <f aca="false">IF(CJ12&gt;='Uplifters Inputs'!$B$50,'Uplifters Inputs'!$B$49/12,0)</f>
        <v>0</v>
      </c>
      <c r="CK27" s="124" t="n">
        <f aca="false">IF(CK12&gt;='Uplifters Inputs'!$B$50,'Uplifters Inputs'!$B$49/12,0)</f>
        <v>0</v>
      </c>
      <c r="CL27" s="124" t="n">
        <f aca="false">IF(CL12&gt;='Uplifters Inputs'!$B$50,'Uplifters Inputs'!$B$49/12,0)</f>
        <v>0</v>
      </c>
      <c r="CM27" s="124" t="n">
        <f aca="false">IF(CM12&gt;='Uplifters Inputs'!$B$50,'Uplifters Inputs'!$B$49/12,0)</f>
        <v>0</v>
      </c>
      <c r="CN27" s="124" t="n">
        <f aca="false">IF(CN12&gt;='Uplifters Inputs'!$B$50,'Uplifters Inputs'!$B$49/12,0)</f>
        <v>0</v>
      </c>
      <c r="CO27" s="124" t="n">
        <f aca="false">IF(CO12&gt;='Uplifters Inputs'!$B$50,'Uplifters Inputs'!$B$49/12,0)</f>
        <v>0</v>
      </c>
      <c r="CP27" s="124" t="n">
        <f aca="false">IF(CP12&gt;='Uplifters Inputs'!$B$50,'Uplifters Inputs'!$B$49/12,0)</f>
        <v>0</v>
      </c>
      <c r="CQ27" s="124" t="n">
        <f aca="false">IF(CQ12&gt;='Uplifters Inputs'!$B$50,'Uplifters Inputs'!$B$49/12,0)</f>
        <v>0</v>
      </c>
      <c r="CR27" s="124" t="n">
        <f aca="false">IF(CR12&gt;='Uplifters Inputs'!$B$50,'Uplifters Inputs'!$B$49/12,0)</f>
        <v>0</v>
      </c>
      <c r="CS27" s="124" t="n">
        <f aca="false">IF(CS12&gt;='Uplifters Inputs'!$B$50,'Uplifters Inputs'!$B$49/12,0)</f>
        <v>0</v>
      </c>
    </row>
    <row r="28" customFormat="false" ht="15" hidden="false" customHeight="true" outlineLevel="0" collapsed="false">
      <c r="A28" s="123" t="s">
        <v>1426</v>
      </c>
      <c r="B28" s="124" t="n">
        <f aca="false">(B26+B27)*'Uplifters Inputs'!$B$39+(MAX(0,B25-0)*'Uplifters Inputs'!$B$48+IF(AND(B27&gt;0,0=0),'Uplifters Inputs'!$B$49,0))*'Uplifters Inputs'!$B$40</f>
        <v>0</v>
      </c>
      <c r="C28" s="124" t="n">
        <f aca="false">(C26+C27)*'Uplifters Inputs'!$B$39+(MAX(0,C25-B25)*'Uplifters Inputs'!$B$48+IF(AND(C27&gt;0,B27=0),'Uplifters Inputs'!$B$49,0))*'Uplifters Inputs'!$B$40</f>
        <v>0</v>
      </c>
      <c r="D28" s="124" t="n">
        <f aca="false">(D26+D27)*'Uplifters Inputs'!$B$39+(MAX(0,D25-C25)*'Uplifters Inputs'!$B$48+IF(AND(D27&gt;0,C27=0),'Uplifters Inputs'!$B$49,0))*'Uplifters Inputs'!$B$40</f>
        <v>0</v>
      </c>
      <c r="E28" s="124" t="n">
        <f aca="false">(E26+E27)*'Uplifters Inputs'!$B$39+(MAX(0,E25-D25)*'Uplifters Inputs'!$B$48+IF(AND(E27&gt;0,D27=0),'Uplifters Inputs'!$B$49,0))*'Uplifters Inputs'!$B$40</f>
        <v>0</v>
      </c>
      <c r="F28" s="124" t="n">
        <f aca="false">(F26+F27)*'Uplifters Inputs'!$B$39+(MAX(0,F25-E25)*'Uplifters Inputs'!$B$48+IF(AND(F27&gt;0,E27=0),'Uplifters Inputs'!$B$49,0))*'Uplifters Inputs'!$B$40</f>
        <v>0</v>
      </c>
      <c r="G28" s="124" t="n">
        <f aca="false">(G26+G27)*'Uplifters Inputs'!$B$39+(MAX(0,G25-F25)*'Uplifters Inputs'!$B$48+IF(AND(G27&gt;0,F27=0),'Uplifters Inputs'!$B$49,0))*'Uplifters Inputs'!$B$40</f>
        <v>0</v>
      </c>
      <c r="H28" s="124" t="n">
        <f aca="false">(H26+H27)*'Uplifters Inputs'!$B$39+(MAX(0,H25-G25)*'Uplifters Inputs'!$B$48+IF(AND(H27&gt;0,G27=0),'Uplifters Inputs'!$B$49,0))*'Uplifters Inputs'!$B$40</f>
        <v>0</v>
      </c>
      <c r="I28" s="124" t="n">
        <f aca="false">(I26+I27)*'Uplifters Inputs'!$B$39+(MAX(0,I25-H25)*'Uplifters Inputs'!$B$48+IF(AND(I27&gt;0,H27=0),'Uplifters Inputs'!$B$49,0))*'Uplifters Inputs'!$B$40</f>
        <v>0</v>
      </c>
      <c r="J28" s="124" t="n">
        <f aca="false">(J26+J27)*'Uplifters Inputs'!$B$39+(MAX(0,J25-I25)*'Uplifters Inputs'!$B$48+IF(AND(J27&gt;0,I27=0),'Uplifters Inputs'!$B$49,0))*'Uplifters Inputs'!$B$40</f>
        <v>0</v>
      </c>
      <c r="K28" s="124" t="n">
        <f aca="false">(K26+K27)*'Uplifters Inputs'!$B$39+(MAX(0,K25-J25)*'Uplifters Inputs'!$B$48+IF(AND(K27&gt;0,J27=0),'Uplifters Inputs'!$B$49,0))*'Uplifters Inputs'!$B$40</f>
        <v>0</v>
      </c>
      <c r="L28" s="124" t="n">
        <f aca="false">(L26+L27)*'Uplifters Inputs'!$B$39+(MAX(0,L25-K25)*'Uplifters Inputs'!$B$48+IF(AND(L27&gt;0,K27=0),'Uplifters Inputs'!$B$49,0))*'Uplifters Inputs'!$B$40</f>
        <v>0</v>
      </c>
      <c r="M28" s="124" t="n">
        <f aca="false">(M26+M27)*'Uplifters Inputs'!$B$39+(MAX(0,M25-L25)*'Uplifters Inputs'!$B$48+IF(AND(M27&gt;0,L27=0),'Uplifters Inputs'!$B$49,0))*'Uplifters Inputs'!$B$40</f>
        <v>0</v>
      </c>
      <c r="N28" s="124" t="n">
        <f aca="false">(N26+N27)*'Uplifters Inputs'!$B$39+(MAX(0,N25-M25)*'Uplifters Inputs'!$B$48+IF(AND(N27&gt;0,M27=0),'Uplifters Inputs'!$B$49,0))*'Uplifters Inputs'!$B$40</f>
        <v>0</v>
      </c>
      <c r="O28" s="124" t="n">
        <f aca="false">(O26+O27)*'Uplifters Inputs'!$B$39+(MAX(0,O25-N25)*'Uplifters Inputs'!$B$48+IF(AND(O27&gt;0,N27=0),'Uplifters Inputs'!$B$49,0))*'Uplifters Inputs'!$B$40</f>
        <v>0</v>
      </c>
      <c r="P28" s="124" t="n">
        <f aca="false">(P26+P27)*'Uplifters Inputs'!$B$39+(MAX(0,P25-O25)*'Uplifters Inputs'!$B$48+IF(AND(P27&gt;0,O27=0),'Uplifters Inputs'!$B$49,0))*'Uplifters Inputs'!$B$40</f>
        <v>0</v>
      </c>
      <c r="Q28" s="124" t="n">
        <f aca="false">(Q26+Q27)*'Uplifters Inputs'!$B$39+(MAX(0,Q25-P25)*'Uplifters Inputs'!$B$48+IF(AND(Q27&gt;0,P27=0),'Uplifters Inputs'!$B$49,0))*'Uplifters Inputs'!$B$40</f>
        <v>0</v>
      </c>
      <c r="R28" s="124" t="n">
        <f aca="false">(R26+R27)*'Uplifters Inputs'!$B$39+(MAX(0,R25-Q25)*'Uplifters Inputs'!$B$48+IF(AND(R27&gt;0,Q27=0),'Uplifters Inputs'!$B$49,0))*'Uplifters Inputs'!$B$40</f>
        <v>0</v>
      </c>
      <c r="S28" s="124" t="n">
        <f aca="false">(S26+S27)*'Uplifters Inputs'!$B$39+(MAX(0,S25-R25)*'Uplifters Inputs'!$B$48+IF(AND(S27&gt;0,R27=0),'Uplifters Inputs'!$B$49,0))*'Uplifters Inputs'!$B$40</f>
        <v>0</v>
      </c>
      <c r="T28" s="124" t="n">
        <f aca="false">(T26+T27)*'Uplifters Inputs'!$B$39+(MAX(0,T25-S25)*'Uplifters Inputs'!$B$48+IF(AND(T27&gt;0,S27=0),'Uplifters Inputs'!$B$49,0))*'Uplifters Inputs'!$B$40</f>
        <v>0</v>
      </c>
      <c r="U28" s="124" t="n">
        <f aca="false">(U26+U27)*'Uplifters Inputs'!$B$39+(MAX(0,U25-T25)*'Uplifters Inputs'!$B$48+IF(AND(U27&gt;0,T27=0),'Uplifters Inputs'!$B$49,0))*'Uplifters Inputs'!$B$40</f>
        <v>0</v>
      </c>
      <c r="V28" s="124" t="n">
        <f aca="false">(V26+V27)*'Uplifters Inputs'!$B$39+(MAX(0,V25-U25)*'Uplifters Inputs'!$B$48+IF(AND(V27&gt;0,U27=0),'Uplifters Inputs'!$B$49,0))*'Uplifters Inputs'!$B$40</f>
        <v>0</v>
      </c>
      <c r="W28" s="124" t="n">
        <f aca="false">(W26+W27)*'Uplifters Inputs'!$B$39+(MAX(0,W25-V25)*'Uplifters Inputs'!$B$48+IF(AND(W27&gt;0,V27=0),'Uplifters Inputs'!$B$49,0))*'Uplifters Inputs'!$B$40</f>
        <v>0</v>
      </c>
      <c r="X28" s="124" t="n">
        <f aca="false">(X26+X27)*'Uplifters Inputs'!$B$39+(MAX(0,X25-W25)*'Uplifters Inputs'!$B$48+IF(AND(X27&gt;0,W27=0),'Uplifters Inputs'!$B$49,0))*'Uplifters Inputs'!$B$40</f>
        <v>0</v>
      </c>
      <c r="Y28" s="124" t="n">
        <f aca="false">(Y26+Y27)*'Uplifters Inputs'!$B$39+(MAX(0,Y25-X25)*'Uplifters Inputs'!$B$48+IF(AND(Y27&gt;0,X27=0),'Uplifters Inputs'!$B$49,0))*'Uplifters Inputs'!$B$40</f>
        <v>20000</v>
      </c>
      <c r="Z28" s="124" t="n">
        <f aca="false">(Z26+Z27)*'Uplifters Inputs'!$B$39+(MAX(0,Z25-Y25)*'Uplifters Inputs'!$B$48+IF(AND(Z27&gt;0,Y27=0),'Uplifters Inputs'!$B$49,0))*'Uplifters Inputs'!$B$40</f>
        <v>1250</v>
      </c>
      <c r="AA28" s="124" t="n">
        <f aca="false">(AA26+AA27)*'Uplifters Inputs'!$B$39+(MAX(0,AA25-Z25)*'Uplifters Inputs'!$B$48+IF(AND(AA27&gt;0,Z27=0),'Uplifters Inputs'!$B$49,0))*'Uplifters Inputs'!$B$40</f>
        <v>38850</v>
      </c>
      <c r="AB28" s="124" t="n">
        <f aca="false">(AB26+AB27)*'Uplifters Inputs'!$B$39+(MAX(0,AB25-AA25)*'Uplifters Inputs'!$B$48+IF(AND(AB27&gt;0,AA27=0),'Uplifters Inputs'!$B$49,0))*'Uplifters Inputs'!$B$40</f>
        <v>3600</v>
      </c>
      <c r="AC28" s="124" t="n">
        <f aca="false">(AC26+AC27)*'Uplifters Inputs'!$B$39+(MAX(0,AC25-AB25)*'Uplifters Inputs'!$B$48+IF(AND(AC27&gt;0,AB27=0),'Uplifters Inputs'!$B$49,0))*'Uplifters Inputs'!$B$40</f>
        <v>3600</v>
      </c>
      <c r="AD28" s="124" t="n">
        <f aca="false">(AD26+AD27)*'Uplifters Inputs'!$B$39+(MAX(0,AD25-AC25)*'Uplifters Inputs'!$B$48+IF(AND(AD27&gt;0,AC27=0),'Uplifters Inputs'!$B$49,0))*'Uplifters Inputs'!$B$40</f>
        <v>23600</v>
      </c>
      <c r="AE28" s="124" t="n">
        <f aca="false">(AE26+AE27)*'Uplifters Inputs'!$B$39+(MAX(0,AE25-AD25)*'Uplifters Inputs'!$B$48+IF(AND(AE27&gt;0,AD27=0),'Uplifters Inputs'!$B$49,0))*'Uplifters Inputs'!$B$40</f>
        <v>4850</v>
      </c>
      <c r="AF28" s="124" t="n">
        <f aca="false">(AF26+AF27)*'Uplifters Inputs'!$B$39+(MAX(0,AF25-AE25)*'Uplifters Inputs'!$B$48+IF(AND(AF27&gt;0,AE27=0),'Uplifters Inputs'!$B$49,0))*'Uplifters Inputs'!$B$40</f>
        <v>4850</v>
      </c>
      <c r="AG28" s="124" t="n">
        <f aca="false">(AG26+AG27)*'Uplifters Inputs'!$B$39+(MAX(0,AG25-AF25)*'Uplifters Inputs'!$B$48+IF(AND(AG27&gt;0,AF27=0),'Uplifters Inputs'!$B$49,0))*'Uplifters Inputs'!$B$40</f>
        <v>4850</v>
      </c>
      <c r="AH28" s="124" t="n">
        <f aca="false">(AH26+AH27)*'Uplifters Inputs'!$B$39+(MAX(0,AH25-AG25)*'Uplifters Inputs'!$B$48+IF(AND(AH27&gt;0,AG27=0),'Uplifters Inputs'!$B$49,0))*'Uplifters Inputs'!$B$40</f>
        <v>4850</v>
      </c>
      <c r="AI28" s="124" t="n">
        <f aca="false">(AI26+AI27)*'Uplifters Inputs'!$B$39+(MAX(0,AI25-AH25)*'Uplifters Inputs'!$B$48+IF(AND(AI27&gt;0,AH27=0),'Uplifters Inputs'!$B$49,0))*'Uplifters Inputs'!$B$40</f>
        <v>4850</v>
      </c>
      <c r="AJ28" s="124" t="n">
        <f aca="false">(AJ26+AJ27)*'Uplifters Inputs'!$B$39+(MAX(0,AJ25-AI25)*'Uplifters Inputs'!$B$48+IF(AND(AJ27&gt;0,AI27=0),'Uplifters Inputs'!$B$49,0))*'Uplifters Inputs'!$B$40</f>
        <v>4850</v>
      </c>
      <c r="AK28" s="124" t="n">
        <f aca="false">(AK26+AK27)*'Uplifters Inputs'!$B$39+(MAX(0,AK25-AJ25)*'Uplifters Inputs'!$B$48+IF(AND(AK27&gt;0,AJ27=0),'Uplifters Inputs'!$B$49,0))*'Uplifters Inputs'!$B$40</f>
        <v>4850</v>
      </c>
      <c r="AL28" s="124" t="n">
        <f aca="false">(AL26+AL27)*'Uplifters Inputs'!$B$39+(MAX(0,AL25-AK25)*'Uplifters Inputs'!$B$48+IF(AND(AL27&gt;0,AK27=0),'Uplifters Inputs'!$B$49,0))*'Uplifters Inputs'!$B$40</f>
        <v>3600</v>
      </c>
      <c r="AM28" s="124" t="n">
        <f aca="false">(AM26+AM27)*'Uplifters Inputs'!$B$39+(MAX(0,AM25-AL25)*'Uplifters Inputs'!$B$48+IF(AND(AM27&gt;0,AL27=0),'Uplifters Inputs'!$B$49,0))*'Uplifters Inputs'!$B$40</f>
        <v>3600</v>
      </c>
      <c r="AN28" s="124" t="n">
        <f aca="false">(AN26+AN27)*'Uplifters Inputs'!$B$39+(MAX(0,AN25-AM25)*'Uplifters Inputs'!$B$48+IF(AND(AN27&gt;0,AM27=0),'Uplifters Inputs'!$B$49,0))*'Uplifters Inputs'!$B$40</f>
        <v>3600</v>
      </c>
      <c r="AO28" s="124" t="n">
        <f aca="false">(AO26+AO27)*'Uplifters Inputs'!$B$39+(MAX(0,AO25-AN25)*'Uplifters Inputs'!$B$48+IF(AND(AO27&gt;0,AN27=0),'Uplifters Inputs'!$B$49,0))*'Uplifters Inputs'!$B$40</f>
        <v>1250</v>
      </c>
      <c r="AP28" s="124" t="n">
        <f aca="false">(AP26+AP27)*'Uplifters Inputs'!$B$39+(MAX(0,AP25-AO25)*'Uplifters Inputs'!$B$48+IF(AND(AP27&gt;0,AO27=0),'Uplifters Inputs'!$B$49,0))*'Uplifters Inputs'!$B$40</f>
        <v>1250</v>
      </c>
      <c r="AQ28" s="124" t="n">
        <f aca="false">(AQ26+AQ27)*'Uplifters Inputs'!$B$39+(MAX(0,AQ25-AP25)*'Uplifters Inputs'!$B$48+IF(AND(AQ27&gt;0,AP27=0),'Uplifters Inputs'!$B$49,0))*'Uplifters Inputs'!$B$40</f>
        <v>1250</v>
      </c>
      <c r="AR28" s="124" t="n">
        <f aca="false">(AR26+AR27)*'Uplifters Inputs'!$B$39+(MAX(0,AR25-AQ25)*'Uplifters Inputs'!$B$48+IF(AND(AR27&gt;0,AQ27=0),'Uplifters Inputs'!$B$49,0))*'Uplifters Inputs'!$B$40</f>
        <v>1250</v>
      </c>
      <c r="AS28" s="124" t="n">
        <f aca="false">(AS26+AS27)*'Uplifters Inputs'!$B$39+(MAX(0,AS25-AR25)*'Uplifters Inputs'!$B$48+IF(AND(AS27&gt;0,AR27=0),'Uplifters Inputs'!$B$49,0))*'Uplifters Inputs'!$B$40</f>
        <v>1250</v>
      </c>
      <c r="AT28" s="124" t="n">
        <f aca="false">(AT26+AT27)*'Uplifters Inputs'!$B$39+(MAX(0,AT25-AS25)*'Uplifters Inputs'!$B$48+IF(AND(AT27&gt;0,AS27=0),'Uplifters Inputs'!$B$49,0))*'Uplifters Inputs'!$B$40</f>
        <v>0</v>
      </c>
      <c r="AU28" s="124" t="n">
        <f aca="false">(AU26+AU27)*'Uplifters Inputs'!$B$39+(MAX(0,AU25-AT25)*'Uplifters Inputs'!$B$48+IF(AND(AU27&gt;0,AT27=0),'Uplifters Inputs'!$B$49,0))*'Uplifters Inputs'!$B$40</f>
        <v>0</v>
      </c>
      <c r="AV28" s="124" t="n">
        <f aca="false">(AV26+AV27)*'Uplifters Inputs'!$B$39+(MAX(0,AV25-AU25)*'Uplifters Inputs'!$B$48+IF(AND(AV27&gt;0,AU27=0),'Uplifters Inputs'!$B$49,0))*'Uplifters Inputs'!$B$40</f>
        <v>0</v>
      </c>
      <c r="AW28" s="124" t="n">
        <f aca="false">(AW26+AW27)*'Uplifters Inputs'!$B$39+(MAX(0,AW25-AV25)*'Uplifters Inputs'!$B$48+IF(AND(AW27&gt;0,AV27=0),'Uplifters Inputs'!$B$49,0))*'Uplifters Inputs'!$B$40</f>
        <v>0</v>
      </c>
      <c r="AX28" s="124" t="n">
        <f aca="false">(AX26+AX27)*'Uplifters Inputs'!$B$39+(MAX(0,AX25-AW25)*'Uplifters Inputs'!$B$48+IF(AND(AX27&gt;0,AW27=0),'Uplifters Inputs'!$B$49,0))*'Uplifters Inputs'!$B$40</f>
        <v>0</v>
      </c>
      <c r="AY28" s="124" t="n">
        <f aca="false">(AY26+AY27)*'Uplifters Inputs'!$B$39+(MAX(0,AY25-AX25)*'Uplifters Inputs'!$B$48+IF(AND(AY27&gt;0,AX27=0),'Uplifters Inputs'!$B$49,0))*'Uplifters Inputs'!$B$40</f>
        <v>0</v>
      </c>
      <c r="AZ28" s="124" t="n">
        <f aca="false">(AZ26+AZ27)*'Uplifters Inputs'!$B$39+(MAX(0,AZ25-AY25)*'Uplifters Inputs'!$B$48+IF(AND(AZ27&gt;0,AY27=0),'Uplifters Inputs'!$B$49,0))*'Uplifters Inputs'!$B$40</f>
        <v>0</v>
      </c>
      <c r="BA28" s="124" t="n">
        <f aca="false">(BA26+BA27)*'Uplifters Inputs'!$B$39+(MAX(0,BA25-AZ25)*'Uplifters Inputs'!$B$48+IF(AND(BA27&gt;0,AZ27=0),'Uplifters Inputs'!$B$49,0))*'Uplifters Inputs'!$B$40</f>
        <v>0</v>
      </c>
      <c r="BB28" s="124" t="n">
        <f aca="false">(BB26+BB27)*'Uplifters Inputs'!$B$39+(MAX(0,BB25-BA25)*'Uplifters Inputs'!$B$48+IF(AND(BB27&gt;0,BA27=0),'Uplifters Inputs'!$B$49,0))*'Uplifters Inputs'!$B$40</f>
        <v>0</v>
      </c>
      <c r="BC28" s="124" t="n">
        <f aca="false">(BC26+BC27)*'Uplifters Inputs'!$B$39+(MAX(0,BC25-BB25)*'Uplifters Inputs'!$B$48+IF(AND(BC27&gt;0,BB27=0),'Uplifters Inputs'!$B$49,0))*'Uplifters Inputs'!$B$40</f>
        <v>0</v>
      </c>
      <c r="BD28" s="124" t="n">
        <f aca="false">(BD26+BD27)*'Uplifters Inputs'!$B$39+(MAX(0,BD25-BC25)*'Uplifters Inputs'!$B$48+IF(AND(BD27&gt;0,BC27=0),'Uplifters Inputs'!$B$49,0))*'Uplifters Inputs'!$B$40</f>
        <v>0</v>
      </c>
      <c r="BE28" s="124" t="n">
        <f aca="false">(BE26+BE27)*'Uplifters Inputs'!$B$39+(MAX(0,BE25-BD25)*'Uplifters Inputs'!$B$48+IF(AND(BE27&gt;0,BD27=0),'Uplifters Inputs'!$B$49,0))*'Uplifters Inputs'!$B$40</f>
        <v>0</v>
      </c>
      <c r="BF28" s="124" t="n">
        <f aca="false">(BF26+BF27)*'Uplifters Inputs'!$B$39+(MAX(0,BF25-BE25)*'Uplifters Inputs'!$B$48+IF(AND(BF27&gt;0,BE27=0),'Uplifters Inputs'!$B$49,0))*'Uplifters Inputs'!$B$40</f>
        <v>0</v>
      </c>
      <c r="BG28" s="124" t="n">
        <f aca="false">(BG26+BG27)*'Uplifters Inputs'!$B$39+(MAX(0,BG25-BF25)*'Uplifters Inputs'!$B$48+IF(AND(BG27&gt;0,BF27=0),'Uplifters Inputs'!$B$49,0))*'Uplifters Inputs'!$B$40</f>
        <v>0</v>
      </c>
      <c r="BH28" s="124" t="n">
        <f aca="false">(BH26+BH27)*'Uplifters Inputs'!$B$39+(MAX(0,BH25-BG25)*'Uplifters Inputs'!$B$48+IF(AND(BH27&gt;0,BG27=0),'Uplifters Inputs'!$B$49,0))*'Uplifters Inputs'!$B$40</f>
        <v>0</v>
      </c>
      <c r="BI28" s="124" t="n">
        <f aca="false">(BI26+BI27)*'Uplifters Inputs'!$B$39+(MAX(0,BI25-BH25)*'Uplifters Inputs'!$B$48+IF(AND(BI27&gt;0,BH27=0),'Uplifters Inputs'!$B$49,0))*'Uplifters Inputs'!$B$40</f>
        <v>0</v>
      </c>
      <c r="BJ28" s="124" t="n">
        <f aca="false">(BJ26+BJ27)*'Uplifters Inputs'!$B$39+(MAX(0,BJ25-BI25)*'Uplifters Inputs'!$B$48+IF(AND(BJ27&gt;0,BI27=0),'Uplifters Inputs'!$B$49,0))*'Uplifters Inputs'!$B$40</f>
        <v>0</v>
      </c>
      <c r="BK28" s="124" t="n">
        <f aca="false">(BK26+BK27)*'Uplifters Inputs'!$B$39+(MAX(0,BK25-BJ25)*'Uplifters Inputs'!$B$48+IF(AND(BK27&gt;0,BJ27=0),'Uplifters Inputs'!$B$49,0))*'Uplifters Inputs'!$B$40</f>
        <v>0</v>
      </c>
      <c r="BL28" s="124" t="n">
        <f aca="false">(BL26+BL27)*'Uplifters Inputs'!$B$39+(MAX(0,BL25-BK25)*'Uplifters Inputs'!$B$48+IF(AND(BL27&gt;0,BK27=0),'Uplifters Inputs'!$B$49,0))*'Uplifters Inputs'!$B$40</f>
        <v>0</v>
      </c>
      <c r="BM28" s="124" t="n">
        <f aca="false">(BM26+BM27)*'Uplifters Inputs'!$B$39+(MAX(0,BM25-BL25)*'Uplifters Inputs'!$B$48+IF(AND(BM27&gt;0,BL27=0),'Uplifters Inputs'!$B$49,0))*'Uplifters Inputs'!$B$40</f>
        <v>0</v>
      </c>
      <c r="BN28" s="124" t="n">
        <f aca="false">(BN26+BN27)*'Uplifters Inputs'!$B$39+(MAX(0,BN25-BM25)*'Uplifters Inputs'!$B$48+IF(AND(BN27&gt;0,BM27=0),'Uplifters Inputs'!$B$49,0))*'Uplifters Inputs'!$B$40</f>
        <v>0</v>
      </c>
      <c r="BO28" s="124" t="n">
        <f aca="false">(BO26+BO27)*'Uplifters Inputs'!$B$39+(MAX(0,BO25-BN25)*'Uplifters Inputs'!$B$48+IF(AND(BO27&gt;0,BN27=0),'Uplifters Inputs'!$B$49,0))*'Uplifters Inputs'!$B$40</f>
        <v>0</v>
      </c>
      <c r="BP28" s="124" t="n">
        <f aca="false">(BP26+BP27)*'Uplifters Inputs'!$B$39+(MAX(0,BP25-BO25)*'Uplifters Inputs'!$B$48+IF(AND(BP27&gt;0,BO27=0),'Uplifters Inputs'!$B$49,0))*'Uplifters Inputs'!$B$40</f>
        <v>0</v>
      </c>
      <c r="BQ28" s="124" t="n">
        <f aca="false">(BQ26+BQ27)*'Uplifters Inputs'!$B$39+(MAX(0,BQ25-BP25)*'Uplifters Inputs'!$B$48+IF(AND(BQ27&gt;0,BP27=0),'Uplifters Inputs'!$B$49,0))*'Uplifters Inputs'!$B$40</f>
        <v>0</v>
      </c>
      <c r="BR28" s="124" t="n">
        <f aca="false">(BR26+BR27)*'Uplifters Inputs'!$B$39+(MAX(0,BR25-BQ25)*'Uplifters Inputs'!$B$48+IF(AND(BR27&gt;0,BQ27=0),'Uplifters Inputs'!$B$49,0))*'Uplifters Inputs'!$B$40</f>
        <v>0</v>
      </c>
      <c r="BS28" s="124" t="n">
        <f aca="false">(BS26+BS27)*'Uplifters Inputs'!$B$39+(MAX(0,BS25-BR25)*'Uplifters Inputs'!$B$48+IF(AND(BS27&gt;0,BR27=0),'Uplifters Inputs'!$B$49,0))*'Uplifters Inputs'!$B$40</f>
        <v>0</v>
      </c>
      <c r="BT28" s="124" t="n">
        <f aca="false">(BT26+BT27)*'Uplifters Inputs'!$B$39+(MAX(0,BT25-BS25)*'Uplifters Inputs'!$B$48+IF(AND(BT27&gt;0,BS27=0),'Uplifters Inputs'!$B$49,0))*'Uplifters Inputs'!$B$40</f>
        <v>0</v>
      </c>
      <c r="BU28" s="124" t="n">
        <f aca="false">(BU26+BU27)*'Uplifters Inputs'!$B$39+(MAX(0,BU25-BT25)*'Uplifters Inputs'!$B$48+IF(AND(BU27&gt;0,BT27=0),'Uplifters Inputs'!$B$49,0))*'Uplifters Inputs'!$B$40</f>
        <v>0</v>
      </c>
      <c r="BV28" s="124" t="n">
        <f aca="false">(BV26+BV27)*'Uplifters Inputs'!$B$39+(MAX(0,BV25-BU25)*'Uplifters Inputs'!$B$48+IF(AND(BV27&gt;0,BU27=0),'Uplifters Inputs'!$B$49,0))*'Uplifters Inputs'!$B$40</f>
        <v>0</v>
      </c>
      <c r="BW28" s="124" t="n">
        <f aca="false">(BW26+BW27)*'Uplifters Inputs'!$B$39+(MAX(0,BW25-BV25)*'Uplifters Inputs'!$B$48+IF(AND(BW27&gt;0,BV27=0),'Uplifters Inputs'!$B$49,0))*'Uplifters Inputs'!$B$40</f>
        <v>0</v>
      </c>
      <c r="BX28" s="124" t="n">
        <f aca="false">(BX26+BX27)*'Uplifters Inputs'!$B$39+(MAX(0,BX25-BW25)*'Uplifters Inputs'!$B$48+IF(AND(BX27&gt;0,BW27=0),'Uplifters Inputs'!$B$49,0))*'Uplifters Inputs'!$B$40</f>
        <v>0</v>
      </c>
      <c r="BY28" s="124" t="n">
        <f aca="false">(BY26+BY27)*'Uplifters Inputs'!$B$39+(MAX(0,BY25-BX25)*'Uplifters Inputs'!$B$48+IF(AND(BY27&gt;0,BX27=0),'Uplifters Inputs'!$B$49,0))*'Uplifters Inputs'!$B$40</f>
        <v>0</v>
      </c>
      <c r="BZ28" s="124" t="n">
        <f aca="false">(BZ26+BZ27)*'Uplifters Inputs'!$B$39+(MAX(0,BZ25-BY25)*'Uplifters Inputs'!$B$48+IF(AND(BZ27&gt;0,BY27=0),'Uplifters Inputs'!$B$49,0))*'Uplifters Inputs'!$B$40</f>
        <v>0</v>
      </c>
      <c r="CA28" s="124" t="n">
        <f aca="false">(CA26+CA27)*'Uplifters Inputs'!$B$39+(MAX(0,CA25-BZ25)*'Uplifters Inputs'!$B$48+IF(AND(CA27&gt;0,BZ27=0),'Uplifters Inputs'!$B$49,0))*'Uplifters Inputs'!$B$40</f>
        <v>0</v>
      </c>
      <c r="CB28" s="124" t="n">
        <f aca="false">(CB26+CB27)*'Uplifters Inputs'!$B$39+(MAX(0,CB25-CA25)*'Uplifters Inputs'!$B$48+IF(AND(CB27&gt;0,CA27=0),'Uplifters Inputs'!$B$49,0))*'Uplifters Inputs'!$B$40</f>
        <v>0</v>
      </c>
      <c r="CC28" s="124" t="n">
        <f aca="false">(CC26+CC27)*'Uplifters Inputs'!$B$39+(MAX(0,CC25-CB25)*'Uplifters Inputs'!$B$48+IF(AND(CC27&gt;0,CB27=0),'Uplifters Inputs'!$B$49,0))*'Uplifters Inputs'!$B$40</f>
        <v>0</v>
      </c>
      <c r="CD28" s="124" t="n">
        <f aca="false">(CD26+CD27)*'Uplifters Inputs'!$B$39+(MAX(0,CD25-CC25)*'Uplifters Inputs'!$B$48+IF(AND(CD27&gt;0,CC27=0),'Uplifters Inputs'!$B$49,0))*'Uplifters Inputs'!$B$40</f>
        <v>0</v>
      </c>
      <c r="CE28" s="124" t="n">
        <f aca="false">(CE26+CE27)*'Uplifters Inputs'!$B$39+(MAX(0,CE25-CD25)*'Uplifters Inputs'!$B$48+IF(AND(CE27&gt;0,CD27=0),'Uplifters Inputs'!$B$49,0))*'Uplifters Inputs'!$B$40</f>
        <v>0</v>
      </c>
      <c r="CF28" s="124" t="n">
        <f aca="false">(CF26+CF27)*'Uplifters Inputs'!$B$39+(MAX(0,CF25-CE25)*'Uplifters Inputs'!$B$48+IF(AND(CF27&gt;0,CE27=0),'Uplifters Inputs'!$B$49,0))*'Uplifters Inputs'!$B$40</f>
        <v>0</v>
      </c>
      <c r="CG28" s="124" t="n">
        <f aca="false">(CG26+CG27)*'Uplifters Inputs'!$B$39+(MAX(0,CG25-CF25)*'Uplifters Inputs'!$B$48+IF(AND(CG27&gt;0,CF27=0),'Uplifters Inputs'!$B$49,0))*'Uplifters Inputs'!$B$40</f>
        <v>0</v>
      </c>
      <c r="CH28" s="124" t="n">
        <f aca="false">(CH26+CH27)*'Uplifters Inputs'!$B$39+(MAX(0,CH25-CG25)*'Uplifters Inputs'!$B$48+IF(AND(CH27&gt;0,CG27=0),'Uplifters Inputs'!$B$49,0))*'Uplifters Inputs'!$B$40</f>
        <v>0</v>
      </c>
      <c r="CI28" s="124" t="n">
        <f aca="false">(CI26+CI27)*'Uplifters Inputs'!$B$39+(MAX(0,CI25-CH25)*'Uplifters Inputs'!$B$48+IF(AND(CI27&gt;0,CH27=0),'Uplifters Inputs'!$B$49,0))*'Uplifters Inputs'!$B$40</f>
        <v>0</v>
      </c>
      <c r="CJ28" s="124" t="n">
        <f aca="false">(CJ26+CJ27)*'Uplifters Inputs'!$B$39+(MAX(0,CJ25-CI25)*'Uplifters Inputs'!$B$48+IF(AND(CJ27&gt;0,CI27=0),'Uplifters Inputs'!$B$49,0))*'Uplifters Inputs'!$B$40</f>
        <v>0</v>
      </c>
      <c r="CK28" s="124" t="n">
        <f aca="false">(CK26+CK27)*'Uplifters Inputs'!$B$39+(MAX(0,CK25-CJ25)*'Uplifters Inputs'!$B$48+IF(AND(CK27&gt;0,CJ27=0),'Uplifters Inputs'!$B$49,0))*'Uplifters Inputs'!$B$40</f>
        <v>0</v>
      </c>
      <c r="CL28" s="124" t="n">
        <f aca="false">(CL26+CL27)*'Uplifters Inputs'!$B$39+(MAX(0,CL25-CK25)*'Uplifters Inputs'!$B$48+IF(AND(CL27&gt;0,CK27=0),'Uplifters Inputs'!$B$49,0))*'Uplifters Inputs'!$B$40</f>
        <v>0</v>
      </c>
      <c r="CM28" s="124" t="n">
        <f aca="false">(CM26+CM27)*'Uplifters Inputs'!$B$39+(MAX(0,CM25-CL25)*'Uplifters Inputs'!$B$48+IF(AND(CM27&gt;0,CL27=0),'Uplifters Inputs'!$B$49,0))*'Uplifters Inputs'!$B$40</f>
        <v>0</v>
      </c>
      <c r="CN28" s="124" t="n">
        <f aca="false">(CN26+CN27)*'Uplifters Inputs'!$B$39+(MAX(0,CN25-CM25)*'Uplifters Inputs'!$B$48+IF(AND(CN27&gt;0,CM27=0),'Uplifters Inputs'!$B$49,0))*'Uplifters Inputs'!$B$40</f>
        <v>0</v>
      </c>
      <c r="CO28" s="124" t="n">
        <f aca="false">(CO26+CO27)*'Uplifters Inputs'!$B$39+(MAX(0,CO25-CN25)*'Uplifters Inputs'!$B$48+IF(AND(CO27&gt;0,CN27=0),'Uplifters Inputs'!$B$49,0))*'Uplifters Inputs'!$B$40</f>
        <v>0</v>
      </c>
      <c r="CP28" s="124" t="n">
        <f aca="false">(CP26+CP27)*'Uplifters Inputs'!$B$39+(MAX(0,CP25-CO25)*'Uplifters Inputs'!$B$48+IF(AND(CP27&gt;0,CO27=0),'Uplifters Inputs'!$B$49,0))*'Uplifters Inputs'!$B$40</f>
        <v>0</v>
      </c>
      <c r="CQ28" s="124" t="n">
        <f aca="false">(CQ26+CQ27)*'Uplifters Inputs'!$B$39+(MAX(0,CQ25-CP25)*'Uplifters Inputs'!$B$48+IF(AND(CQ27&gt;0,CP27=0),'Uplifters Inputs'!$B$49,0))*'Uplifters Inputs'!$B$40</f>
        <v>0</v>
      </c>
      <c r="CR28" s="124" t="n">
        <f aca="false">(CR26+CR27)*'Uplifters Inputs'!$B$39+(MAX(0,CR25-CQ25)*'Uplifters Inputs'!$B$48+IF(AND(CR27&gt;0,CQ27=0),'Uplifters Inputs'!$B$49,0))*'Uplifters Inputs'!$B$40</f>
        <v>0</v>
      </c>
      <c r="CS28" s="124" t="n">
        <f aca="false">(CS26+CS27)*'Uplifters Inputs'!$B$39+(MAX(0,CS25-CR25)*'Uplifters Inputs'!$B$48+IF(AND(CS27&gt;0,CR27=0),'Uplifters Inputs'!$B$49,0))*'Uplifters Inputs'!$B$40</f>
        <v>0</v>
      </c>
    </row>
    <row r="29" customFormat="false" ht="15" hidden="false" customHeight="true" outlineLevel="0" collapsed="false">
      <c r="A29" s="123" t="s">
        <v>1427</v>
      </c>
      <c r="B29" s="124" t="n">
        <f aca="false">IF(OR(B5&lt;'Uplifters Inputs'!$B$5,B5&gt;=$B$48),0,IF(B5&lt;=$B$49,'Uplifters Inputs'!$B$20,'Uplifters Inputs'!$B$21)/12)</f>
        <v>0</v>
      </c>
      <c r="C29" s="124" t="n">
        <f aca="false">IF(OR(C5&lt;'Uplifters Inputs'!$B$5,C5&gt;=$B$48),0,IF(C5&lt;=$B$49,'Uplifters Inputs'!$B$20,'Uplifters Inputs'!$B$21)/12)</f>
        <v>0</v>
      </c>
      <c r="D29" s="124" t="n">
        <f aca="false">IF(OR(D5&lt;'Uplifters Inputs'!$B$5,D5&gt;=$B$48),0,IF(D5&lt;=$B$49,'Uplifters Inputs'!$B$20,'Uplifters Inputs'!$B$21)/12)</f>
        <v>0</v>
      </c>
      <c r="E29" s="124" t="n">
        <f aca="false">IF(OR(E5&lt;'Uplifters Inputs'!$B$5,E5&gt;=$B$48),0,IF(E5&lt;=$B$49,'Uplifters Inputs'!$B$20,'Uplifters Inputs'!$B$21)/12)</f>
        <v>0</v>
      </c>
      <c r="F29" s="124" t="n">
        <f aca="false">IF(OR(F5&lt;'Uplifters Inputs'!$B$5,F5&gt;=$B$48),0,IF(F5&lt;=$B$49,'Uplifters Inputs'!$B$20,'Uplifters Inputs'!$B$21)/12)</f>
        <v>0</v>
      </c>
      <c r="G29" s="124" t="n">
        <f aca="false">IF(OR(G5&lt;'Uplifters Inputs'!$B$5,G5&gt;=$B$48),0,IF(G5&lt;=$B$49,'Uplifters Inputs'!$B$20,'Uplifters Inputs'!$B$21)/12)</f>
        <v>0</v>
      </c>
      <c r="H29" s="124" t="n">
        <f aca="false">IF(OR(H5&lt;'Uplifters Inputs'!$B$5,H5&gt;=$B$48),0,IF(H5&lt;=$B$49,'Uplifters Inputs'!$B$20,'Uplifters Inputs'!$B$21)/12)</f>
        <v>0</v>
      </c>
      <c r="I29" s="124" t="n">
        <f aca="false">IF(OR(I5&lt;'Uplifters Inputs'!$B$5,I5&gt;=$B$48),0,IF(I5&lt;=$B$49,'Uplifters Inputs'!$B$20,'Uplifters Inputs'!$B$21)/12)</f>
        <v>0</v>
      </c>
      <c r="J29" s="124" t="n">
        <f aca="false">IF(OR(J5&lt;'Uplifters Inputs'!$B$5,J5&gt;=$B$48),0,IF(J5&lt;=$B$49,'Uplifters Inputs'!$B$20,'Uplifters Inputs'!$B$21)/12)</f>
        <v>0</v>
      </c>
      <c r="K29" s="124" t="n">
        <f aca="false">IF(OR(K5&lt;'Uplifters Inputs'!$B$5,K5&gt;=$B$48),0,IF(K5&lt;=$B$49,'Uplifters Inputs'!$B$20,'Uplifters Inputs'!$B$21)/12)</f>
        <v>0</v>
      </c>
      <c r="L29" s="124" t="n">
        <f aca="false">IF(OR(L5&lt;'Uplifters Inputs'!$B$5,L5&gt;=$B$48),0,IF(L5&lt;=$B$49,'Uplifters Inputs'!$B$20,'Uplifters Inputs'!$B$21)/12)</f>
        <v>0</v>
      </c>
      <c r="M29" s="124" t="n">
        <f aca="false">IF(OR(M5&lt;'Uplifters Inputs'!$B$5,M5&gt;=$B$48),0,IF(M5&lt;=$B$49,'Uplifters Inputs'!$B$20,'Uplifters Inputs'!$B$21)/12)</f>
        <v>0</v>
      </c>
      <c r="N29" s="124" t="n">
        <f aca="false">IF(OR(N5&lt;'Uplifters Inputs'!$B$5,N5&gt;=$B$48),0,IF(N5&lt;=$B$49,'Uplifters Inputs'!$B$20,'Uplifters Inputs'!$B$21)/12)</f>
        <v>0</v>
      </c>
      <c r="O29" s="124" t="n">
        <f aca="false">IF(OR(O5&lt;'Uplifters Inputs'!$B$5,O5&gt;=$B$48),0,IF(O5&lt;=$B$49,'Uplifters Inputs'!$B$20,'Uplifters Inputs'!$B$21)/12)</f>
        <v>33333.3333333333</v>
      </c>
      <c r="P29" s="124" t="n">
        <f aca="false">IF(OR(P5&lt;'Uplifters Inputs'!$B$5,P5&gt;=$B$48),0,IF(P5&lt;=$B$49,'Uplifters Inputs'!$B$20,'Uplifters Inputs'!$B$21)/12)</f>
        <v>33333.3333333333</v>
      </c>
      <c r="Q29" s="124" t="n">
        <f aca="false">IF(OR(Q5&lt;'Uplifters Inputs'!$B$5,Q5&gt;=$B$48),0,IF(Q5&lt;=$B$49,'Uplifters Inputs'!$B$20,'Uplifters Inputs'!$B$21)/12)</f>
        <v>33333.3333333333</v>
      </c>
      <c r="R29" s="124" t="n">
        <f aca="false">IF(OR(R5&lt;'Uplifters Inputs'!$B$5,R5&gt;=$B$48),0,IF(R5&lt;=$B$49,'Uplifters Inputs'!$B$20,'Uplifters Inputs'!$B$21)/12)</f>
        <v>33333.3333333333</v>
      </c>
      <c r="S29" s="124" t="n">
        <f aca="false">IF(OR(S5&lt;'Uplifters Inputs'!$B$5,S5&gt;=$B$48),0,IF(S5&lt;=$B$49,'Uplifters Inputs'!$B$20,'Uplifters Inputs'!$B$21)/12)</f>
        <v>33333.3333333333</v>
      </c>
      <c r="T29" s="124" t="n">
        <f aca="false">IF(OR(T5&lt;'Uplifters Inputs'!$B$5,T5&gt;=$B$48),0,IF(T5&lt;=$B$49,'Uplifters Inputs'!$B$20,'Uplifters Inputs'!$B$21)/12)</f>
        <v>33333.3333333333</v>
      </c>
      <c r="U29" s="124" t="n">
        <f aca="false">IF(OR(U5&lt;'Uplifters Inputs'!$B$5,U5&gt;=$B$48),0,IF(U5&lt;=$B$49,'Uplifters Inputs'!$B$20,'Uplifters Inputs'!$B$21)/12)</f>
        <v>33333.3333333333</v>
      </c>
      <c r="V29" s="124" t="n">
        <f aca="false">IF(OR(V5&lt;'Uplifters Inputs'!$B$5,V5&gt;=$B$48),0,IF(V5&lt;=$B$49,'Uplifters Inputs'!$B$20,'Uplifters Inputs'!$B$21)/12)</f>
        <v>33333.3333333333</v>
      </c>
      <c r="W29" s="124" t="n">
        <f aca="false">IF(OR(W5&lt;'Uplifters Inputs'!$B$5,W5&gt;=$B$48),0,IF(W5&lt;=$B$49,'Uplifters Inputs'!$B$20,'Uplifters Inputs'!$B$21)/12)</f>
        <v>33333.3333333333</v>
      </c>
      <c r="X29" s="124" t="n">
        <f aca="false">IF(OR(X5&lt;'Uplifters Inputs'!$B$5,X5&gt;=$B$48),0,IF(X5&lt;=$B$49,'Uplifters Inputs'!$B$20,'Uplifters Inputs'!$B$21)/12)</f>
        <v>33333.3333333333</v>
      </c>
      <c r="Y29" s="124" t="n">
        <f aca="false">IF(OR(Y5&lt;'Uplifters Inputs'!$B$5,Y5&gt;=$B$48),0,IF(Y5&lt;=$B$49,'Uplifters Inputs'!$B$20,'Uplifters Inputs'!$B$21)/12)</f>
        <v>33333.3333333333</v>
      </c>
      <c r="Z29" s="124" t="n">
        <f aca="false">IF(OR(Z5&lt;'Uplifters Inputs'!$B$5,Z5&gt;=$B$48),0,IF(Z5&lt;=$B$49,'Uplifters Inputs'!$B$20,'Uplifters Inputs'!$B$21)/12)</f>
        <v>33333.3333333333</v>
      </c>
      <c r="AA29" s="124" t="n">
        <f aca="false">IF(OR(AA5&lt;'Uplifters Inputs'!$B$5,AA5&gt;=$B$48),0,IF(AA5&lt;=$B$49,'Uplifters Inputs'!$B$20,'Uplifters Inputs'!$B$21)/12)</f>
        <v>33333.3333333333</v>
      </c>
      <c r="AB29" s="124" t="n">
        <f aca="false">IF(OR(AB5&lt;'Uplifters Inputs'!$B$5,AB5&gt;=$B$48),0,IF(AB5&lt;=$B$49,'Uplifters Inputs'!$B$20,'Uplifters Inputs'!$B$21)/12)</f>
        <v>33333.3333333333</v>
      </c>
      <c r="AC29" s="124" t="n">
        <f aca="false">IF(OR(AC5&lt;'Uplifters Inputs'!$B$5,AC5&gt;=$B$48),0,IF(AC5&lt;=$B$49,'Uplifters Inputs'!$B$20,'Uplifters Inputs'!$B$21)/12)</f>
        <v>33333.3333333333</v>
      </c>
      <c r="AD29" s="124" t="n">
        <f aca="false">IF(OR(AD5&lt;'Uplifters Inputs'!$B$5,AD5&gt;=$B$48),0,IF(AD5&lt;=$B$49,'Uplifters Inputs'!$B$20,'Uplifters Inputs'!$B$21)/12)</f>
        <v>33333.3333333333</v>
      </c>
      <c r="AE29" s="124" t="n">
        <f aca="false">IF(OR(AE5&lt;'Uplifters Inputs'!$B$5,AE5&gt;=$B$48),0,IF(AE5&lt;=$B$49,'Uplifters Inputs'!$B$20,'Uplifters Inputs'!$B$21)/12)</f>
        <v>33333.3333333333</v>
      </c>
      <c r="AF29" s="124" t="n">
        <f aca="false">IF(OR(AF5&lt;'Uplifters Inputs'!$B$5,AF5&gt;=$B$48),0,IF(AF5&lt;=$B$49,'Uplifters Inputs'!$B$20,'Uplifters Inputs'!$B$21)/12)</f>
        <v>33333.3333333333</v>
      </c>
      <c r="AG29" s="124" t="n">
        <f aca="false">IF(OR(AG5&lt;'Uplifters Inputs'!$B$5,AG5&gt;=$B$48),0,IF(AG5&lt;=$B$49,'Uplifters Inputs'!$B$20,'Uplifters Inputs'!$B$21)/12)</f>
        <v>33333.3333333333</v>
      </c>
      <c r="AH29" s="124" t="n">
        <f aca="false">IF(OR(AH5&lt;'Uplifters Inputs'!$B$5,AH5&gt;=$B$48),0,IF(AH5&lt;=$B$49,'Uplifters Inputs'!$B$20,'Uplifters Inputs'!$B$21)/12)</f>
        <v>33333.3333333333</v>
      </c>
      <c r="AI29" s="124" t="n">
        <f aca="false">IF(OR(AI5&lt;'Uplifters Inputs'!$B$5,AI5&gt;=$B$48),0,IF(AI5&lt;=$B$49,'Uplifters Inputs'!$B$20,'Uplifters Inputs'!$B$21)/12)</f>
        <v>33333.3333333333</v>
      </c>
      <c r="AJ29" s="124" t="n">
        <f aca="false">IF(OR(AJ5&lt;'Uplifters Inputs'!$B$5,AJ5&gt;=$B$48),0,IF(AJ5&lt;=$B$49,'Uplifters Inputs'!$B$20,'Uplifters Inputs'!$B$21)/12)</f>
        <v>33333.3333333333</v>
      </c>
      <c r="AK29" s="124" t="n">
        <f aca="false">IF(OR(AK5&lt;'Uplifters Inputs'!$B$5,AK5&gt;=$B$48),0,IF(AK5&lt;=$B$49,'Uplifters Inputs'!$B$20,'Uplifters Inputs'!$B$21)/12)</f>
        <v>33333.3333333333</v>
      </c>
      <c r="AL29" s="124" t="n">
        <f aca="false">IF(OR(AL5&lt;'Uplifters Inputs'!$B$5,AL5&gt;=$B$48),0,IF(AL5&lt;=$B$49,'Uplifters Inputs'!$B$20,'Uplifters Inputs'!$B$21)/12)</f>
        <v>33333.3333333333</v>
      </c>
      <c r="AM29" s="124" t="n">
        <f aca="false">IF(OR(AM5&lt;'Uplifters Inputs'!$B$5,AM5&gt;=$B$48),0,IF(AM5&lt;=$B$49,'Uplifters Inputs'!$B$20,'Uplifters Inputs'!$B$21)/12)</f>
        <v>33333.3333333333</v>
      </c>
      <c r="AN29" s="124" t="n">
        <f aca="false">IF(OR(AN5&lt;'Uplifters Inputs'!$B$5,AN5&gt;=$B$48),0,IF(AN5&lt;=$B$49,'Uplifters Inputs'!$B$20,'Uplifters Inputs'!$B$21)/12)</f>
        <v>33333.3333333333</v>
      </c>
      <c r="AO29" s="124" t="n">
        <f aca="false">IF(OR(AO5&lt;'Uplifters Inputs'!$B$5,AO5&gt;=$B$48),0,IF(AO5&lt;=$B$49,'Uplifters Inputs'!$B$20,'Uplifters Inputs'!$B$21)/12)</f>
        <v>33333.3333333333</v>
      </c>
      <c r="AP29" s="124" t="n">
        <f aca="false">IF(OR(AP5&lt;'Uplifters Inputs'!$B$5,AP5&gt;=$B$48),0,IF(AP5&lt;=$B$49,'Uplifters Inputs'!$B$20,'Uplifters Inputs'!$B$21)/12)</f>
        <v>33333.3333333333</v>
      </c>
      <c r="AQ29" s="124" t="n">
        <f aca="false">IF(OR(AQ5&lt;'Uplifters Inputs'!$B$5,AQ5&gt;=$B$48),0,IF(AQ5&lt;=$B$49,'Uplifters Inputs'!$B$20,'Uplifters Inputs'!$B$21)/12)</f>
        <v>33333.3333333333</v>
      </c>
      <c r="AR29" s="124" t="n">
        <f aca="false">IF(OR(AR5&lt;'Uplifters Inputs'!$B$5,AR5&gt;=$B$48),0,IF(AR5&lt;=$B$49,'Uplifters Inputs'!$B$20,'Uplifters Inputs'!$B$21)/12)</f>
        <v>33333.3333333333</v>
      </c>
      <c r="AS29" s="124" t="n">
        <f aca="false">IF(OR(AS5&lt;'Uplifters Inputs'!$B$5,AS5&gt;=$B$48),0,IF(AS5&lt;=$B$49,'Uplifters Inputs'!$B$20,'Uplifters Inputs'!$B$21)/12)</f>
        <v>33333.3333333333</v>
      </c>
      <c r="AT29" s="124" t="n">
        <f aca="false">IF(OR(AT5&lt;'Uplifters Inputs'!$B$5,AT5&gt;=$B$48),0,IF(AT5&lt;=$B$49,'Uplifters Inputs'!$B$20,'Uplifters Inputs'!$B$21)/12)</f>
        <v>33333.3333333333</v>
      </c>
      <c r="AU29" s="124" t="n">
        <f aca="false">IF(OR(AU5&lt;'Uplifters Inputs'!$B$5,AU5&gt;=$B$48),0,IF(AU5&lt;=$B$49,'Uplifters Inputs'!$B$20,'Uplifters Inputs'!$B$21)/12)</f>
        <v>33333.3333333333</v>
      </c>
      <c r="AV29" s="124" t="n">
        <f aca="false">IF(OR(AV5&lt;'Uplifters Inputs'!$B$5,AV5&gt;=$B$48),0,IF(AV5&lt;=$B$49,'Uplifters Inputs'!$B$20,'Uplifters Inputs'!$B$21)/12)</f>
        <v>33333.3333333333</v>
      </c>
      <c r="AW29" s="124" t="n">
        <f aca="false">IF(OR(AW5&lt;'Uplifters Inputs'!$B$5,AW5&gt;=$B$48),0,IF(AW5&lt;=$B$49,'Uplifters Inputs'!$B$20,'Uplifters Inputs'!$B$21)/12)</f>
        <v>33333.3333333333</v>
      </c>
      <c r="AX29" s="124" t="n">
        <f aca="false">IF(OR(AX5&lt;'Uplifters Inputs'!$B$5,AX5&gt;=$B$48),0,IF(AX5&lt;=$B$49,'Uplifters Inputs'!$B$20,'Uplifters Inputs'!$B$21)/12)</f>
        <v>33333.3333333333</v>
      </c>
      <c r="AY29" s="124" t="n">
        <f aca="false">IF(OR(AY5&lt;'Uplifters Inputs'!$B$5,AY5&gt;=$B$48),0,IF(AY5&lt;=$B$49,'Uplifters Inputs'!$B$20,'Uplifters Inputs'!$B$21)/12)</f>
        <v>33333.3333333333</v>
      </c>
      <c r="AZ29" s="124" t="n">
        <f aca="false">IF(OR(AZ5&lt;'Uplifters Inputs'!$B$5,AZ5&gt;=$B$48),0,IF(AZ5&lt;=$B$49,'Uplifters Inputs'!$B$20,'Uplifters Inputs'!$B$21)/12)</f>
        <v>33333.3333333333</v>
      </c>
      <c r="BA29" s="124" t="n">
        <f aca="false">IF(OR(BA5&lt;'Uplifters Inputs'!$B$5,BA5&gt;=$B$48),0,IF(BA5&lt;=$B$49,'Uplifters Inputs'!$B$20,'Uplifters Inputs'!$B$21)/12)</f>
        <v>33333.3333333333</v>
      </c>
      <c r="BB29" s="124" t="n">
        <f aca="false">IF(OR(BB5&lt;'Uplifters Inputs'!$B$5,BB5&gt;=$B$48),0,IF(BB5&lt;=$B$49,'Uplifters Inputs'!$B$20,'Uplifters Inputs'!$B$21)/12)</f>
        <v>33333.3333333333</v>
      </c>
      <c r="BC29" s="124" t="n">
        <f aca="false">IF(OR(BC5&lt;'Uplifters Inputs'!$B$5,BC5&gt;=$B$48),0,IF(BC5&lt;=$B$49,'Uplifters Inputs'!$B$20,'Uplifters Inputs'!$B$21)/12)</f>
        <v>33333.3333333333</v>
      </c>
      <c r="BD29" s="124" t="n">
        <f aca="false">IF(OR(BD5&lt;'Uplifters Inputs'!$B$5,BD5&gt;=$B$48),0,IF(BD5&lt;=$B$49,'Uplifters Inputs'!$B$20,'Uplifters Inputs'!$B$21)/12)</f>
        <v>33333.3333333333</v>
      </c>
      <c r="BE29" s="124" t="n">
        <f aca="false">IF(OR(BE5&lt;'Uplifters Inputs'!$B$5,BE5&gt;=$B$48),0,IF(BE5&lt;=$B$49,'Uplifters Inputs'!$B$20,'Uplifters Inputs'!$B$21)/12)</f>
        <v>33333.3333333333</v>
      </c>
      <c r="BF29" s="124" t="n">
        <f aca="false">IF(OR(BF5&lt;'Uplifters Inputs'!$B$5,BF5&gt;=$B$48),0,IF(BF5&lt;=$B$49,'Uplifters Inputs'!$B$20,'Uplifters Inputs'!$B$21)/12)</f>
        <v>33333.3333333333</v>
      </c>
      <c r="BG29" s="124" t="n">
        <f aca="false">IF(OR(BG5&lt;'Uplifters Inputs'!$B$5,BG5&gt;=$B$48),0,IF(BG5&lt;=$B$49,'Uplifters Inputs'!$B$20,'Uplifters Inputs'!$B$21)/12)</f>
        <v>33333.3333333333</v>
      </c>
      <c r="BH29" s="124" t="n">
        <f aca="false">IF(OR(BH5&lt;'Uplifters Inputs'!$B$5,BH5&gt;=$B$48),0,IF(BH5&lt;=$B$49,'Uplifters Inputs'!$B$20,'Uplifters Inputs'!$B$21)/12)</f>
        <v>33333.3333333333</v>
      </c>
      <c r="BI29" s="124" t="n">
        <f aca="false">IF(OR(BI5&lt;'Uplifters Inputs'!$B$5,BI5&gt;=$B$48),0,IF(BI5&lt;=$B$49,'Uplifters Inputs'!$B$20,'Uplifters Inputs'!$B$21)/12)</f>
        <v>33333.3333333333</v>
      </c>
      <c r="BJ29" s="124" t="n">
        <f aca="false">IF(OR(BJ5&lt;'Uplifters Inputs'!$B$5,BJ5&gt;=$B$48),0,IF(BJ5&lt;=$B$49,'Uplifters Inputs'!$B$20,'Uplifters Inputs'!$B$21)/12)</f>
        <v>33333.3333333333</v>
      </c>
      <c r="BK29" s="124" t="n">
        <f aca="false">IF(OR(BK5&lt;'Uplifters Inputs'!$B$5,BK5&gt;=$B$48),0,IF(BK5&lt;=$B$49,'Uplifters Inputs'!$B$20,'Uplifters Inputs'!$B$21)/12)</f>
        <v>33333.3333333333</v>
      </c>
      <c r="BL29" s="124" t="n">
        <f aca="false">IF(OR(BL5&lt;'Uplifters Inputs'!$B$5,BL5&gt;=$B$48),0,IF(BL5&lt;=$B$49,'Uplifters Inputs'!$B$20,'Uplifters Inputs'!$B$21)/12)</f>
        <v>33333.3333333333</v>
      </c>
      <c r="BM29" s="124" t="n">
        <f aca="false">IF(OR(BM5&lt;'Uplifters Inputs'!$B$5,BM5&gt;=$B$48),0,IF(BM5&lt;=$B$49,'Uplifters Inputs'!$B$20,'Uplifters Inputs'!$B$21)/12)</f>
        <v>33333.3333333333</v>
      </c>
      <c r="BN29" s="124" t="n">
        <f aca="false">IF(OR(BN5&lt;'Uplifters Inputs'!$B$5,BN5&gt;=$B$48),0,IF(BN5&lt;=$B$49,'Uplifters Inputs'!$B$20,'Uplifters Inputs'!$B$21)/12)</f>
        <v>33333.3333333333</v>
      </c>
      <c r="BO29" s="124" t="n">
        <f aca="false">IF(OR(BO5&lt;'Uplifters Inputs'!$B$5,BO5&gt;=$B$48),0,IF(BO5&lt;=$B$49,'Uplifters Inputs'!$B$20,'Uplifters Inputs'!$B$21)/12)</f>
        <v>33333.3333333333</v>
      </c>
      <c r="BP29" s="124" t="n">
        <f aca="false">IF(OR(BP5&lt;'Uplifters Inputs'!$B$5,BP5&gt;=$B$48),0,IF(BP5&lt;=$B$49,'Uplifters Inputs'!$B$20,'Uplifters Inputs'!$B$21)/12)</f>
        <v>33333.3333333333</v>
      </c>
      <c r="BQ29" s="124" t="n">
        <f aca="false">IF(OR(BQ5&lt;'Uplifters Inputs'!$B$5,BQ5&gt;=$B$48),0,IF(BQ5&lt;=$B$49,'Uplifters Inputs'!$B$20,'Uplifters Inputs'!$B$21)/12)</f>
        <v>33333.3333333333</v>
      </c>
      <c r="BR29" s="124" t="n">
        <f aca="false">IF(OR(BR5&lt;'Uplifters Inputs'!$B$5,BR5&gt;=$B$48),0,IF(BR5&lt;=$B$49,'Uplifters Inputs'!$B$20,'Uplifters Inputs'!$B$21)/12)</f>
        <v>33333.3333333333</v>
      </c>
      <c r="BS29" s="124" t="n">
        <f aca="false">IF(OR(BS5&lt;'Uplifters Inputs'!$B$5,BS5&gt;=$B$48),0,IF(BS5&lt;=$B$49,'Uplifters Inputs'!$B$20,'Uplifters Inputs'!$B$21)/12)</f>
        <v>0</v>
      </c>
      <c r="BT29" s="124" t="n">
        <f aca="false">IF(OR(BT5&lt;'Uplifters Inputs'!$B$5,BT5&gt;=$B$48),0,IF(BT5&lt;=$B$49,'Uplifters Inputs'!$B$20,'Uplifters Inputs'!$B$21)/12)</f>
        <v>0</v>
      </c>
      <c r="BU29" s="124" t="n">
        <f aca="false">IF(OR(BU5&lt;'Uplifters Inputs'!$B$5,BU5&gt;=$B$48),0,IF(BU5&lt;=$B$49,'Uplifters Inputs'!$B$20,'Uplifters Inputs'!$B$21)/12)</f>
        <v>0</v>
      </c>
      <c r="BV29" s="124" t="n">
        <f aca="false">IF(OR(BV5&lt;'Uplifters Inputs'!$B$5,BV5&gt;=$B$48),0,IF(BV5&lt;=$B$49,'Uplifters Inputs'!$B$20,'Uplifters Inputs'!$B$21)/12)</f>
        <v>0</v>
      </c>
      <c r="BW29" s="124" t="n">
        <f aca="false">IF(OR(BW5&lt;'Uplifters Inputs'!$B$5,BW5&gt;=$B$48),0,IF(BW5&lt;=$B$49,'Uplifters Inputs'!$B$20,'Uplifters Inputs'!$B$21)/12)</f>
        <v>0</v>
      </c>
      <c r="BX29" s="124" t="n">
        <f aca="false">IF(OR(BX5&lt;'Uplifters Inputs'!$B$5,BX5&gt;=$B$48),0,IF(BX5&lt;=$B$49,'Uplifters Inputs'!$B$20,'Uplifters Inputs'!$B$21)/12)</f>
        <v>0</v>
      </c>
      <c r="BY29" s="124" t="n">
        <f aca="false">IF(OR(BY5&lt;'Uplifters Inputs'!$B$5,BY5&gt;=$B$48),0,IF(BY5&lt;=$B$49,'Uplifters Inputs'!$B$20,'Uplifters Inputs'!$B$21)/12)</f>
        <v>0</v>
      </c>
      <c r="BZ29" s="124" t="n">
        <f aca="false">IF(OR(BZ5&lt;'Uplifters Inputs'!$B$5,BZ5&gt;=$B$48),0,IF(BZ5&lt;=$B$49,'Uplifters Inputs'!$B$20,'Uplifters Inputs'!$B$21)/12)</f>
        <v>0</v>
      </c>
      <c r="CA29" s="124" t="n">
        <f aca="false">IF(OR(CA5&lt;'Uplifters Inputs'!$B$5,CA5&gt;=$B$48),0,IF(CA5&lt;=$B$49,'Uplifters Inputs'!$B$20,'Uplifters Inputs'!$B$21)/12)</f>
        <v>0</v>
      </c>
      <c r="CB29" s="124" t="n">
        <f aca="false">IF(OR(CB5&lt;'Uplifters Inputs'!$B$5,CB5&gt;=$B$48),0,IF(CB5&lt;=$B$49,'Uplifters Inputs'!$B$20,'Uplifters Inputs'!$B$21)/12)</f>
        <v>0</v>
      </c>
      <c r="CC29" s="124" t="n">
        <f aca="false">IF(OR(CC5&lt;'Uplifters Inputs'!$B$5,CC5&gt;=$B$48),0,IF(CC5&lt;=$B$49,'Uplifters Inputs'!$B$20,'Uplifters Inputs'!$B$21)/12)</f>
        <v>0</v>
      </c>
      <c r="CD29" s="124" t="n">
        <f aca="false">IF(OR(CD5&lt;'Uplifters Inputs'!$B$5,CD5&gt;=$B$48),0,IF(CD5&lt;=$B$49,'Uplifters Inputs'!$B$20,'Uplifters Inputs'!$B$21)/12)</f>
        <v>0</v>
      </c>
      <c r="CE29" s="124" t="n">
        <f aca="false">IF(OR(CE5&lt;'Uplifters Inputs'!$B$5,CE5&gt;=$B$48),0,IF(CE5&lt;=$B$49,'Uplifters Inputs'!$B$20,'Uplifters Inputs'!$B$21)/12)</f>
        <v>0</v>
      </c>
      <c r="CF29" s="124" t="n">
        <f aca="false">IF(OR(CF5&lt;'Uplifters Inputs'!$B$5,CF5&gt;=$B$48),0,IF(CF5&lt;=$B$49,'Uplifters Inputs'!$B$20,'Uplifters Inputs'!$B$21)/12)</f>
        <v>0</v>
      </c>
      <c r="CG29" s="124" t="n">
        <f aca="false">IF(OR(CG5&lt;'Uplifters Inputs'!$B$5,CG5&gt;=$B$48),0,IF(CG5&lt;=$B$49,'Uplifters Inputs'!$B$20,'Uplifters Inputs'!$B$21)/12)</f>
        <v>0</v>
      </c>
      <c r="CH29" s="124" t="n">
        <f aca="false">IF(OR(CH5&lt;'Uplifters Inputs'!$B$5,CH5&gt;=$B$48),0,IF(CH5&lt;=$B$49,'Uplifters Inputs'!$B$20,'Uplifters Inputs'!$B$21)/12)</f>
        <v>0</v>
      </c>
      <c r="CI29" s="124" t="n">
        <f aca="false">IF(OR(CI5&lt;'Uplifters Inputs'!$B$5,CI5&gt;=$B$48),0,IF(CI5&lt;=$B$49,'Uplifters Inputs'!$B$20,'Uplifters Inputs'!$B$21)/12)</f>
        <v>0</v>
      </c>
      <c r="CJ29" s="124" t="n">
        <f aca="false">IF(OR(CJ5&lt;'Uplifters Inputs'!$B$5,CJ5&gt;=$B$48),0,IF(CJ5&lt;=$B$49,'Uplifters Inputs'!$B$20,'Uplifters Inputs'!$B$21)/12)</f>
        <v>0</v>
      </c>
      <c r="CK29" s="124" t="n">
        <f aca="false">IF(OR(CK5&lt;'Uplifters Inputs'!$B$5,CK5&gt;=$B$48),0,IF(CK5&lt;=$B$49,'Uplifters Inputs'!$B$20,'Uplifters Inputs'!$B$21)/12)</f>
        <v>0</v>
      </c>
      <c r="CL29" s="124" t="n">
        <f aca="false">IF(OR(CL5&lt;'Uplifters Inputs'!$B$5,CL5&gt;=$B$48),0,IF(CL5&lt;=$B$49,'Uplifters Inputs'!$B$20,'Uplifters Inputs'!$B$21)/12)</f>
        <v>0</v>
      </c>
      <c r="CM29" s="124" t="n">
        <f aca="false">IF(OR(CM5&lt;'Uplifters Inputs'!$B$5,CM5&gt;=$B$48),0,IF(CM5&lt;=$B$49,'Uplifters Inputs'!$B$20,'Uplifters Inputs'!$B$21)/12)</f>
        <v>0</v>
      </c>
      <c r="CN29" s="124" t="n">
        <f aca="false">IF(OR(CN5&lt;'Uplifters Inputs'!$B$5,CN5&gt;=$B$48),0,IF(CN5&lt;=$B$49,'Uplifters Inputs'!$B$20,'Uplifters Inputs'!$B$21)/12)</f>
        <v>0</v>
      </c>
      <c r="CO29" s="124" t="n">
        <f aca="false">IF(OR(CO5&lt;'Uplifters Inputs'!$B$5,CO5&gt;=$B$48),0,IF(CO5&lt;=$B$49,'Uplifters Inputs'!$B$20,'Uplifters Inputs'!$B$21)/12)</f>
        <v>0</v>
      </c>
      <c r="CP29" s="124" t="n">
        <f aca="false">IF(OR(CP5&lt;'Uplifters Inputs'!$B$5,CP5&gt;=$B$48),0,IF(CP5&lt;=$B$49,'Uplifters Inputs'!$B$20,'Uplifters Inputs'!$B$21)/12)</f>
        <v>0</v>
      </c>
      <c r="CQ29" s="124" t="n">
        <f aca="false">IF(OR(CQ5&lt;'Uplifters Inputs'!$B$5,CQ5&gt;=$B$48),0,IF(CQ5&lt;=$B$49,'Uplifters Inputs'!$B$20,'Uplifters Inputs'!$B$21)/12)</f>
        <v>0</v>
      </c>
      <c r="CR29" s="124" t="n">
        <f aca="false">IF(OR(CR5&lt;'Uplifters Inputs'!$B$5,CR5&gt;=$B$48),0,IF(CR5&lt;=$B$49,'Uplifters Inputs'!$B$20,'Uplifters Inputs'!$B$21)/12)</f>
        <v>0</v>
      </c>
      <c r="CS29" s="124" t="n">
        <f aca="false">IF(OR(CS5&lt;'Uplifters Inputs'!$B$5,CS5&gt;=$B$48),0,IF(CS5&lt;=$B$49,'Uplifters Inputs'!$B$20,'Uplifters Inputs'!$B$21)/12)</f>
        <v>0</v>
      </c>
    </row>
    <row r="30" customFormat="false" ht="15" hidden="false" customHeight="true" outlineLevel="0" collapsed="false">
      <c r="A30" s="123" t="s">
        <v>1428</v>
      </c>
      <c r="B30" s="124" t="n">
        <f aca="false">IF(AND($B$47=1,B5&gt;=$B$48),0,IF(AND(MOD(B5+2,12)+1='Uplifters Inputs'!$B$33,B5&gt;'Uplifters Inputs'!$B$5),SUMIFS($B$35:$CS$35,$B$5:$CS$5,"&gt;="&amp;(B5-12),$B$5:$CS$5,"&lt;"&amp;B5),0)+IF(B5=$B$44,SUMIFS($B$35:$CS$35,$B$5:$CS$5,"&gt;="&amp;$B$51,$B$5:$CS$5,"&lt;="&amp;$B$44),0))</f>
        <v>0</v>
      </c>
      <c r="C30" s="124" t="n">
        <f aca="false">IF(AND($B$47=1,C5&gt;=$B$48),0,IF(AND(MOD(C5+2,12)+1='Uplifters Inputs'!$B$33,C5&gt;'Uplifters Inputs'!$B$5),SUMIFS($B$35:$CS$35,$B$5:$CS$5,"&gt;="&amp;(C5-12),$B$5:$CS$5,"&lt;"&amp;C5),0)+IF(C5=$B$44,SUMIFS($B$35:$CS$35,$B$5:$CS$5,"&gt;="&amp;$B$51,$B$5:$CS$5,"&lt;="&amp;$B$44),0))</f>
        <v>0</v>
      </c>
      <c r="D30" s="124" t="n">
        <f aca="false">IF(AND($B$47=1,D5&gt;=$B$48),0,IF(AND(MOD(D5+2,12)+1='Uplifters Inputs'!$B$33,D5&gt;'Uplifters Inputs'!$B$5),SUMIFS($B$35:$CS$35,$B$5:$CS$5,"&gt;="&amp;(D5-12),$B$5:$CS$5,"&lt;"&amp;D5),0)+IF(D5=$B$44,SUMIFS($B$35:$CS$35,$B$5:$CS$5,"&gt;="&amp;$B$51,$B$5:$CS$5,"&lt;="&amp;$B$44),0))</f>
        <v>0</v>
      </c>
      <c r="E30" s="124" t="n">
        <f aca="false">IF(AND($B$47=1,E5&gt;=$B$48),0,IF(AND(MOD(E5+2,12)+1='Uplifters Inputs'!$B$33,E5&gt;'Uplifters Inputs'!$B$5),SUMIFS($B$35:$CS$35,$B$5:$CS$5,"&gt;="&amp;(E5-12),$B$5:$CS$5,"&lt;"&amp;E5),0)+IF(E5=$B$44,SUMIFS($B$35:$CS$35,$B$5:$CS$5,"&gt;="&amp;$B$51,$B$5:$CS$5,"&lt;="&amp;$B$44),0))</f>
        <v>0</v>
      </c>
      <c r="F30" s="124" t="n">
        <f aca="false">IF(AND($B$47=1,F5&gt;=$B$48),0,IF(AND(MOD(F5+2,12)+1='Uplifters Inputs'!$B$33,F5&gt;'Uplifters Inputs'!$B$5),SUMIFS($B$35:$CS$35,$B$5:$CS$5,"&gt;="&amp;(F5-12),$B$5:$CS$5,"&lt;"&amp;F5),0)+IF(F5=$B$44,SUMIFS($B$35:$CS$35,$B$5:$CS$5,"&gt;="&amp;$B$51,$B$5:$CS$5,"&lt;="&amp;$B$44),0))</f>
        <v>0</v>
      </c>
      <c r="G30" s="124" t="n">
        <f aca="false">IF(AND($B$47=1,G5&gt;=$B$48),0,IF(AND(MOD(G5+2,12)+1='Uplifters Inputs'!$B$33,G5&gt;'Uplifters Inputs'!$B$5),SUMIFS($B$35:$CS$35,$B$5:$CS$5,"&gt;="&amp;(G5-12),$B$5:$CS$5,"&lt;"&amp;G5),0)+IF(G5=$B$44,SUMIFS($B$35:$CS$35,$B$5:$CS$5,"&gt;="&amp;$B$51,$B$5:$CS$5,"&lt;="&amp;$B$44),0))</f>
        <v>0</v>
      </c>
      <c r="H30" s="124" t="n">
        <f aca="false">IF(AND($B$47=1,H5&gt;=$B$48),0,IF(AND(MOD(H5+2,12)+1='Uplifters Inputs'!$B$33,H5&gt;'Uplifters Inputs'!$B$5),SUMIFS($B$35:$CS$35,$B$5:$CS$5,"&gt;="&amp;(H5-12),$B$5:$CS$5,"&lt;"&amp;H5),0)+IF(H5=$B$44,SUMIFS($B$35:$CS$35,$B$5:$CS$5,"&gt;="&amp;$B$51,$B$5:$CS$5,"&lt;="&amp;$B$44),0))</f>
        <v>0</v>
      </c>
      <c r="I30" s="124" t="n">
        <f aca="false">IF(AND($B$47=1,I5&gt;=$B$48),0,IF(AND(MOD(I5+2,12)+1='Uplifters Inputs'!$B$33,I5&gt;'Uplifters Inputs'!$B$5),SUMIFS($B$35:$CS$35,$B$5:$CS$5,"&gt;="&amp;(I5-12),$B$5:$CS$5,"&lt;"&amp;I5),0)+IF(I5=$B$44,SUMIFS($B$35:$CS$35,$B$5:$CS$5,"&gt;="&amp;$B$51,$B$5:$CS$5,"&lt;="&amp;$B$44),0))</f>
        <v>0</v>
      </c>
      <c r="J30" s="124" t="n">
        <f aca="false">IF(AND($B$47=1,J5&gt;=$B$48),0,IF(AND(MOD(J5+2,12)+1='Uplifters Inputs'!$B$33,J5&gt;'Uplifters Inputs'!$B$5),SUMIFS($B$35:$CS$35,$B$5:$CS$5,"&gt;="&amp;(J5-12),$B$5:$CS$5,"&lt;"&amp;J5),0)+IF(J5=$B$44,SUMIFS($B$35:$CS$35,$B$5:$CS$5,"&gt;="&amp;$B$51,$B$5:$CS$5,"&lt;="&amp;$B$44),0))</f>
        <v>0</v>
      </c>
      <c r="K30" s="124" t="n">
        <f aca="false">IF(AND($B$47=1,K5&gt;=$B$48),0,IF(AND(MOD(K5+2,12)+1='Uplifters Inputs'!$B$33,K5&gt;'Uplifters Inputs'!$B$5),SUMIFS($B$35:$CS$35,$B$5:$CS$5,"&gt;="&amp;(K5-12),$B$5:$CS$5,"&lt;"&amp;K5),0)+IF(K5=$B$44,SUMIFS($B$35:$CS$35,$B$5:$CS$5,"&gt;="&amp;$B$51,$B$5:$CS$5,"&lt;="&amp;$B$44),0))</f>
        <v>0</v>
      </c>
      <c r="L30" s="124" t="n">
        <f aca="false">IF(AND($B$47=1,L5&gt;=$B$48),0,IF(AND(MOD(L5+2,12)+1='Uplifters Inputs'!$B$33,L5&gt;'Uplifters Inputs'!$B$5),SUMIFS($B$35:$CS$35,$B$5:$CS$5,"&gt;="&amp;(L5-12),$B$5:$CS$5,"&lt;"&amp;L5),0)+IF(L5=$B$44,SUMIFS($B$35:$CS$35,$B$5:$CS$5,"&gt;="&amp;$B$51,$B$5:$CS$5,"&lt;="&amp;$B$44),0))</f>
        <v>0</v>
      </c>
      <c r="M30" s="124" t="n">
        <f aca="false">IF(AND($B$47=1,M5&gt;=$B$48),0,IF(AND(MOD(M5+2,12)+1='Uplifters Inputs'!$B$33,M5&gt;'Uplifters Inputs'!$B$5),SUMIFS($B$35:$CS$35,$B$5:$CS$5,"&gt;="&amp;(M5-12),$B$5:$CS$5,"&lt;"&amp;M5),0)+IF(M5=$B$44,SUMIFS($B$35:$CS$35,$B$5:$CS$5,"&gt;="&amp;$B$51,$B$5:$CS$5,"&lt;="&amp;$B$44),0))</f>
        <v>0</v>
      </c>
      <c r="N30" s="124" t="n">
        <f aca="false">IF(AND($B$47=1,N5&gt;=$B$48),0,IF(AND(MOD(N5+2,12)+1='Uplifters Inputs'!$B$33,N5&gt;'Uplifters Inputs'!$B$5),SUMIFS($B$35:$CS$35,$B$5:$CS$5,"&gt;="&amp;(N5-12),$B$5:$CS$5,"&lt;"&amp;N5),0)+IF(N5=$B$44,SUMIFS($B$35:$CS$35,$B$5:$CS$5,"&gt;="&amp;$B$51,$B$5:$CS$5,"&lt;="&amp;$B$44),0))</f>
        <v>0</v>
      </c>
      <c r="O30" s="124" t="n">
        <f aca="false">IF(AND($B$47=1,O5&gt;=$B$48),0,IF(AND(MOD(O5+2,12)+1='Uplifters Inputs'!$B$33,O5&gt;'Uplifters Inputs'!$B$5),SUMIFS($B$35:$CS$35,$B$5:$CS$5,"&gt;="&amp;(O5-12),$B$5:$CS$5,"&lt;"&amp;O5),0)+IF(O5=$B$44,SUMIFS($B$35:$CS$35,$B$5:$CS$5,"&gt;="&amp;$B$51,$B$5:$CS$5,"&lt;="&amp;$B$44),0))</f>
        <v>0</v>
      </c>
      <c r="P30" s="124" t="n">
        <f aca="false">IF(AND($B$47=1,P5&gt;=$B$48),0,IF(AND(MOD(P5+2,12)+1='Uplifters Inputs'!$B$33,P5&gt;'Uplifters Inputs'!$B$5),SUMIFS($B$35:$CS$35,$B$5:$CS$5,"&gt;="&amp;(P5-12),$B$5:$CS$5,"&lt;"&amp;P5),0)+IF(P5=$B$44,SUMIFS($B$35:$CS$35,$B$5:$CS$5,"&gt;="&amp;$B$51,$B$5:$CS$5,"&lt;="&amp;$B$44),0))</f>
        <v>0</v>
      </c>
      <c r="Q30" s="124" t="n">
        <f aca="false">IF(AND($B$47=1,Q5&gt;=$B$48),0,IF(AND(MOD(Q5+2,12)+1='Uplifters Inputs'!$B$33,Q5&gt;'Uplifters Inputs'!$B$5),SUMIFS($B$35:$CS$35,$B$5:$CS$5,"&gt;="&amp;(Q5-12),$B$5:$CS$5,"&lt;"&amp;Q5),0)+IF(Q5=$B$44,SUMIFS($B$35:$CS$35,$B$5:$CS$5,"&gt;="&amp;$B$51,$B$5:$CS$5,"&lt;="&amp;$B$44),0))</f>
        <v>0</v>
      </c>
      <c r="R30" s="124" t="n">
        <f aca="false">IF(AND($B$47=1,R5&gt;=$B$48),0,IF(AND(MOD(R5+2,12)+1='Uplifters Inputs'!$B$33,R5&gt;'Uplifters Inputs'!$B$5),SUMIFS($B$35:$CS$35,$B$5:$CS$5,"&gt;="&amp;(R5-12),$B$5:$CS$5,"&lt;"&amp;R5),0)+IF(R5=$B$44,SUMIFS($B$35:$CS$35,$B$5:$CS$5,"&gt;="&amp;$B$51,$B$5:$CS$5,"&lt;="&amp;$B$44),0))</f>
        <v>0</v>
      </c>
      <c r="S30" s="124" t="n">
        <f aca="false">IF(AND($B$47=1,S5&gt;=$B$48),0,IF(AND(MOD(S5+2,12)+1='Uplifters Inputs'!$B$33,S5&gt;'Uplifters Inputs'!$B$5),SUMIFS($B$35:$CS$35,$B$5:$CS$5,"&gt;="&amp;(S5-12),$B$5:$CS$5,"&lt;"&amp;S5),0)+IF(S5=$B$44,SUMIFS($B$35:$CS$35,$B$5:$CS$5,"&gt;="&amp;$B$51,$B$5:$CS$5,"&lt;="&amp;$B$44),0))</f>
        <v>0</v>
      </c>
      <c r="T30" s="124" t="n">
        <f aca="false">IF(AND($B$47=1,T5&gt;=$B$48),0,IF(AND(MOD(T5+2,12)+1='Uplifters Inputs'!$B$33,T5&gt;'Uplifters Inputs'!$B$5),SUMIFS($B$35:$CS$35,$B$5:$CS$5,"&gt;="&amp;(T5-12),$B$5:$CS$5,"&lt;"&amp;T5),0)+IF(T5=$B$44,SUMIFS($B$35:$CS$35,$B$5:$CS$5,"&gt;="&amp;$B$51,$B$5:$CS$5,"&lt;="&amp;$B$44),0))</f>
        <v>0</v>
      </c>
      <c r="U30" s="124" t="n">
        <f aca="false">IF(AND($B$47=1,U5&gt;=$B$48),0,IF(AND(MOD(U5+2,12)+1='Uplifters Inputs'!$B$33,U5&gt;'Uplifters Inputs'!$B$5),SUMIFS($B$35:$CS$35,$B$5:$CS$5,"&gt;="&amp;(U5-12),$B$5:$CS$5,"&lt;"&amp;U5),0)+IF(U5=$B$44,SUMIFS($B$35:$CS$35,$B$5:$CS$5,"&gt;="&amp;$B$51,$B$5:$CS$5,"&lt;="&amp;$B$44),0))</f>
        <v>0</v>
      </c>
      <c r="V30" s="124" t="n">
        <f aca="false">IF(AND($B$47=1,V5&gt;=$B$48),0,IF(AND(MOD(V5+2,12)+1='Uplifters Inputs'!$B$33,V5&gt;'Uplifters Inputs'!$B$5),SUMIFS($B$35:$CS$35,$B$5:$CS$5,"&gt;="&amp;(V5-12),$B$5:$CS$5,"&lt;"&amp;V5),0)+IF(V5=$B$44,SUMIFS($B$35:$CS$35,$B$5:$CS$5,"&gt;="&amp;$B$51,$B$5:$CS$5,"&lt;="&amp;$B$44),0))</f>
        <v>0</v>
      </c>
      <c r="W30" s="124" t="n">
        <f aca="false">IF(AND($B$47=1,W5&gt;=$B$48),0,IF(AND(MOD(W5+2,12)+1='Uplifters Inputs'!$B$33,W5&gt;'Uplifters Inputs'!$B$5),SUMIFS($B$35:$CS$35,$B$5:$CS$5,"&gt;="&amp;(W5-12),$B$5:$CS$5,"&lt;"&amp;W5),0)+IF(W5=$B$44,SUMIFS($B$35:$CS$35,$B$5:$CS$5,"&gt;="&amp;$B$51,$B$5:$CS$5,"&lt;="&amp;$B$44),0))</f>
        <v>0</v>
      </c>
      <c r="X30" s="124" t="n">
        <f aca="false">IF(AND($B$47=1,X5&gt;=$B$48),0,IF(AND(MOD(X5+2,12)+1='Uplifters Inputs'!$B$33,X5&gt;'Uplifters Inputs'!$B$5),SUMIFS($B$35:$CS$35,$B$5:$CS$5,"&gt;="&amp;(X5-12),$B$5:$CS$5,"&lt;"&amp;X5),0)+IF(X5=$B$44,SUMIFS($B$35:$CS$35,$B$5:$CS$5,"&gt;="&amp;$B$51,$B$5:$CS$5,"&lt;="&amp;$B$44),0))</f>
        <v>0</v>
      </c>
      <c r="Y30" s="124" t="n">
        <f aca="false">IF(AND($B$47=1,Y5&gt;=$B$48),0,IF(AND(MOD(Y5+2,12)+1='Uplifters Inputs'!$B$33,Y5&gt;'Uplifters Inputs'!$B$5),SUMIFS($B$35:$CS$35,$B$5:$CS$5,"&gt;="&amp;(Y5-12),$B$5:$CS$5,"&lt;"&amp;Y5),0)+IF(Y5=$B$44,SUMIFS($B$35:$CS$35,$B$5:$CS$5,"&gt;="&amp;$B$51,$B$5:$CS$5,"&lt;="&amp;$B$44),0))</f>
        <v>0</v>
      </c>
      <c r="Z30" s="124" t="n">
        <f aca="false">IF(AND($B$47=1,Z5&gt;=$B$48),0,IF(AND(MOD(Z5+2,12)+1='Uplifters Inputs'!$B$33,Z5&gt;'Uplifters Inputs'!$B$5),SUMIFS($B$35:$CS$35,$B$5:$CS$5,"&gt;="&amp;(Z5-12),$B$5:$CS$5,"&lt;"&amp;Z5),0)+IF(Z5=$B$44,SUMIFS($B$35:$CS$35,$B$5:$CS$5,"&gt;="&amp;$B$51,$B$5:$CS$5,"&lt;="&amp;$B$44),0))</f>
        <v>0</v>
      </c>
      <c r="AA30" s="124" t="n">
        <f aca="false">IF(AND($B$47=1,AA5&gt;=$B$48),0,IF(AND(MOD(AA5+2,12)+1='Uplifters Inputs'!$B$33,AA5&gt;'Uplifters Inputs'!$B$5),SUMIFS($B$35:$CS$35,$B$5:$CS$5,"&gt;="&amp;(AA5-12),$B$5:$CS$5,"&lt;"&amp;AA5),0)+IF(AA5=$B$44,SUMIFS($B$35:$CS$35,$B$5:$CS$5,"&gt;="&amp;$B$51,$B$5:$CS$5,"&lt;="&amp;$B$44),0))</f>
        <v>0</v>
      </c>
      <c r="AB30" s="124" t="n">
        <f aca="false">IF(AND($B$47=1,AB5&gt;=$B$48),0,IF(AND(MOD(AB5+2,12)+1='Uplifters Inputs'!$B$33,AB5&gt;'Uplifters Inputs'!$B$5),SUMIFS($B$35:$CS$35,$B$5:$CS$5,"&gt;="&amp;(AB5-12),$B$5:$CS$5,"&lt;"&amp;AB5),0)+IF(AB5=$B$44,SUMIFS($B$35:$CS$35,$B$5:$CS$5,"&gt;="&amp;$B$51,$B$5:$CS$5,"&lt;="&amp;$B$44),0))</f>
        <v>387222.222222222</v>
      </c>
      <c r="AC30" s="124" t="n">
        <f aca="false">IF(AND($B$47=1,AC5&gt;=$B$48),0,IF(AND(MOD(AC5+2,12)+1='Uplifters Inputs'!$B$33,AC5&gt;'Uplifters Inputs'!$B$5),SUMIFS($B$35:$CS$35,$B$5:$CS$5,"&gt;="&amp;(AC5-12),$B$5:$CS$5,"&lt;"&amp;AC5),0)+IF(AC5=$B$44,SUMIFS($B$35:$CS$35,$B$5:$CS$5,"&gt;="&amp;$B$51,$B$5:$CS$5,"&lt;="&amp;$B$44),0))</f>
        <v>0</v>
      </c>
      <c r="AD30" s="124" t="n">
        <f aca="false">IF(AND($B$47=1,AD5&gt;=$B$48),0,IF(AND(MOD(AD5+2,12)+1='Uplifters Inputs'!$B$33,AD5&gt;'Uplifters Inputs'!$B$5),SUMIFS($B$35:$CS$35,$B$5:$CS$5,"&gt;="&amp;(AD5-12),$B$5:$CS$5,"&lt;"&amp;AD5),0)+IF(AD5=$B$44,SUMIFS($B$35:$CS$35,$B$5:$CS$5,"&gt;="&amp;$B$51,$B$5:$CS$5,"&lt;="&amp;$B$44),0))</f>
        <v>0</v>
      </c>
      <c r="AE30" s="124" t="n">
        <f aca="false">IF(AND($B$47=1,AE5&gt;=$B$48),0,IF(AND(MOD(AE5+2,12)+1='Uplifters Inputs'!$B$33,AE5&gt;'Uplifters Inputs'!$B$5),SUMIFS($B$35:$CS$35,$B$5:$CS$5,"&gt;="&amp;(AE5-12),$B$5:$CS$5,"&lt;"&amp;AE5),0)+IF(AE5=$B$44,SUMIFS($B$35:$CS$35,$B$5:$CS$5,"&gt;="&amp;$B$51,$B$5:$CS$5,"&lt;="&amp;$B$44),0))</f>
        <v>0</v>
      </c>
      <c r="AF30" s="124" t="n">
        <f aca="false">IF(AND($B$47=1,AF5&gt;=$B$48),0,IF(AND(MOD(AF5+2,12)+1='Uplifters Inputs'!$B$33,AF5&gt;'Uplifters Inputs'!$B$5),SUMIFS($B$35:$CS$35,$B$5:$CS$5,"&gt;="&amp;(AF5-12),$B$5:$CS$5,"&lt;"&amp;AF5),0)+IF(AF5=$B$44,SUMIFS($B$35:$CS$35,$B$5:$CS$5,"&gt;="&amp;$B$51,$B$5:$CS$5,"&lt;="&amp;$B$44),0))</f>
        <v>0</v>
      </c>
      <c r="AG30" s="124" t="n">
        <f aca="false">IF(AND($B$47=1,AG5&gt;=$B$48),0,IF(AND(MOD(AG5+2,12)+1='Uplifters Inputs'!$B$33,AG5&gt;'Uplifters Inputs'!$B$5),SUMIFS($B$35:$CS$35,$B$5:$CS$5,"&gt;="&amp;(AG5-12),$B$5:$CS$5,"&lt;"&amp;AG5),0)+IF(AG5=$B$44,SUMIFS($B$35:$CS$35,$B$5:$CS$5,"&gt;="&amp;$B$51,$B$5:$CS$5,"&lt;="&amp;$B$44),0))</f>
        <v>0</v>
      </c>
      <c r="AH30" s="124" t="n">
        <f aca="false">IF(AND($B$47=1,AH5&gt;=$B$48),0,IF(AND(MOD(AH5+2,12)+1='Uplifters Inputs'!$B$33,AH5&gt;'Uplifters Inputs'!$B$5),SUMIFS($B$35:$CS$35,$B$5:$CS$5,"&gt;="&amp;(AH5-12),$B$5:$CS$5,"&lt;"&amp;AH5),0)+IF(AH5=$B$44,SUMIFS($B$35:$CS$35,$B$5:$CS$5,"&gt;="&amp;$B$51,$B$5:$CS$5,"&lt;="&amp;$B$44),0))</f>
        <v>0</v>
      </c>
      <c r="AI30" s="124" t="n">
        <f aca="false">IF(AND($B$47=1,AI5&gt;=$B$48),0,IF(AND(MOD(AI5+2,12)+1='Uplifters Inputs'!$B$33,AI5&gt;'Uplifters Inputs'!$B$5),SUMIFS($B$35:$CS$35,$B$5:$CS$5,"&gt;="&amp;(AI5-12),$B$5:$CS$5,"&lt;"&amp;AI5),0)+IF(AI5=$B$44,SUMIFS($B$35:$CS$35,$B$5:$CS$5,"&gt;="&amp;$B$51,$B$5:$CS$5,"&lt;="&amp;$B$44),0))</f>
        <v>0</v>
      </c>
      <c r="AJ30" s="124" t="n">
        <f aca="false">IF(AND($B$47=1,AJ5&gt;=$B$48),0,IF(AND(MOD(AJ5+2,12)+1='Uplifters Inputs'!$B$33,AJ5&gt;'Uplifters Inputs'!$B$5),SUMIFS($B$35:$CS$35,$B$5:$CS$5,"&gt;="&amp;(AJ5-12),$B$5:$CS$5,"&lt;"&amp;AJ5),0)+IF(AJ5=$B$44,SUMIFS($B$35:$CS$35,$B$5:$CS$5,"&gt;="&amp;$B$51,$B$5:$CS$5,"&lt;="&amp;$B$44),0))</f>
        <v>0</v>
      </c>
      <c r="AK30" s="124" t="n">
        <f aca="false">IF(AND($B$47=1,AK5&gt;=$B$48),0,IF(AND(MOD(AK5+2,12)+1='Uplifters Inputs'!$B$33,AK5&gt;'Uplifters Inputs'!$B$5),SUMIFS($B$35:$CS$35,$B$5:$CS$5,"&gt;="&amp;(AK5-12),$B$5:$CS$5,"&lt;"&amp;AK5),0)+IF(AK5=$B$44,SUMIFS($B$35:$CS$35,$B$5:$CS$5,"&gt;="&amp;$B$51,$B$5:$CS$5,"&lt;="&amp;$B$44),0))</f>
        <v>0</v>
      </c>
      <c r="AL30" s="124" t="n">
        <f aca="false">IF(AND($B$47=1,AL5&gt;=$B$48),0,IF(AND(MOD(AL5+2,12)+1='Uplifters Inputs'!$B$33,AL5&gt;'Uplifters Inputs'!$B$5),SUMIFS($B$35:$CS$35,$B$5:$CS$5,"&gt;="&amp;(AL5-12),$B$5:$CS$5,"&lt;"&amp;AL5),0)+IF(AL5=$B$44,SUMIFS($B$35:$CS$35,$B$5:$CS$5,"&gt;="&amp;$B$51,$B$5:$CS$5,"&lt;="&amp;$B$44),0))</f>
        <v>0</v>
      </c>
      <c r="AM30" s="124" t="n">
        <f aca="false">IF(AND($B$47=1,AM5&gt;=$B$48),0,IF(AND(MOD(AM5+2,12)+1='Uplifters Inputs'!$B$33,AM5&gt;'Uplifters Inputs'!$B$5),SUMIFS($B$35:$CS$35,$B$5:$CS$5,"&gt;="&amp;(AM5-12),$B$5:$CS$5,"&lt;"&amp;AM5),0)+IF(AM5=$B$44,SUMIFS($B$35:$CS$35,$B$5:$CS$5,"&gt;="&amp;$B$51,$B$5:$CS$5,"&lt;="&amp;$B$44),0))</f>
        <v>0</v>
      </c>
      <c r="AN30" s="124" t="n">
        <f aca="false">IF(AND($B$47=1,AN5&gt;=$B$48),0,IF(AND(MOD(AN5+2,12)+1='Uplifters Inputs'!$B$33,AN5&gt;'Uplifters Inputs'!$B$5),SUMIFS($B$35:$CS$35,$B$5:$CS$5,"&gt;="&amp;(AN5-12),$B$5:$CS$5,"&lt;"&amp;AN5),0)+IF(AN5=$B$44,SUMIFS($B$35:$CS$35,$B$5:$CS$5,"&gt;="&amp;$B$51,$B$5:$CS$5,"&lt;="&amp;$B$44),0))</f>
        <v>406111.111111111</v>
      </c>
      <c r="AO30" s="124" t="n">
        <f aca="false">IF(AND($B$47=1,AO5&gt;=$B$48),0,IF(AND(MOD(AO5+2,12)+1='Uplifters Inputs'!$B$33,AO5&gt;'Uplifters Inputs'!$B$5),SUMIFS($B$35:$CS$35,$B$5:$CS$5,"&gt;="&amp;(AO5-12),$B$5:$CS$5,"&lt;"&amp;AO5),0)+IF(AO5=$B$44,SUMIFS($B$35:$CS$35,$B$5:$CS$5,"&gt;="&amp;$B$51,$B$5:$CS$5,"&lt;="&amp;$B$44),0))</f>
        <v>0</v>
      </c>
      <c r="AP30" s="124" t="n">
        <f aca="false">IF(AND($B$47=1,AP5&gt;=$B$48),0,IF(AND(MOD(AP5+2,12)+1='Uplifters Inputs'!$B$33,AP5&gt;'Uplifters Inputs'!$B$5),SUMIFS($B$35:$CS$35,$B$5:$CS$5,"&gt;="&amp;(AP5-12),$B$5:$CS$5,"&lt;"&amp;AP5),0)+IF(AP5=$B$44,SUMIFS($B$35:$CS$35,$B$5:$CS$5,"&gt;="&amp;$B$51,$B$5:$CS$5,"&lt;="&amp;$B$44),0))</f>
        <v>0</v>
      </c>
      <c r="AQ30" s="124" t="n">
        <f aca="false">IF(AND($B$47=1,AQ5&gt;=$B$48),0,IF(AND(MOD(AQ5+2,12)+1='Uplifters Inputs'!$B$33,AQ5&gt;'Uplifters Inputs'!$B$5),SUMIFS($B$35:$CS$35,$B$5:$CS$5,"&gt;="&amp;(AQ5-12),$B$5:$CS$5,"&lt;"&amp;AQ5),0)+IF(AQ5=$B$44,SUMIFS($B$35:$CS$35,$B$5:$CS$5,"&gt;="&amp;$B$51,$B$5:$CS$5,"&lt;="&amp;$B$44),0))</f>
        <v>0</v>
      </c>
      <c r="AR30" s="124" t="n">
        <f aca="false">IF(AND($B$47=1,AR5&gt;=$B$48),0,IF(AND(MOD(AR5+2,12)+1='Uplifters Inputs'!$B$33,AR5&gt;'Uplifters Inputs'!$B$5),SUMIFS($B$35:$CS$35,$B$5:$CS$5,"&gt;="&amp;(AR5-12),$B$5:$CS$5,"&lt;"&amp;AR5),0)+IF(AR5=$B$44,SUMIFS($B$35:$CS$35,$B$5:$CS$5,"&gt;="&amp;$B$51,$B$5:$CS$5,"&lt;="&amp;$B$44),0))</f>
        <v>0</v>
      </c>
      <c r="AS30" s="124" t="n">
        <f aca="false">IF(AND($B$47=1,AS5&gt;=$B$48),0,IF(AND(MOD(AS5+2,12)+1='Uplifters Inputs'!$B$33,AS5&gt;'Uplifters Inputs'!$B$5),SUMIFS($B$35:$CS$35,$B$5:$CS$5,"&gt;="&amp;(AS5-12),$B$5:$CS$5,"&lt;"&amp;AS5),0)+IF(AS5=$B$44,SUMIFS($B$35:$CS$35,$B$5:$CS$5,"&gt;="&amp;$B$51,$B$5:$CS$5,"&lt;="&amp;$B$44),0))</f>
        <v>0</v>
      </c>
      <c r="AT30" s="124" t="n">
        <f aca="false">IF(AND($B$47=1,AT5&gt;=$B$48),0,IF(AND(MOD(AT5+2,12)+1='Uplifters Inputs'!$B$33,AT5&gt;'Uplifters Inputs'!$B$5),SUMIFS($B$35:$CS$35,$B$5:$CS$5,"&gt;="&amp;(AT5-12),$B$5:$CS$5,"&lt;"&amp;AT5),0)+IF(AT5=$B$44,SUMIFS($B$35:$CS$35,$B$5:$CS$5,"&gt;="&amp;$B$51,$B$5:$CS$5,"&lt;="&amp;$B$44),0))</f>
        <v>0</v>
      </c>
      <c r="AU30" s="124" t="n">
        <f aca="false">IF(AND($B$47=1,AU5&gt;=$B$48),0,IF(AND(MOD(AU5+2,12)+1='Uplifters Inputs'!$B$33,AU5&gt;'Uplifters Inputs'!$B$5),SUMIFS($B$35:$CS$35,$B$5:$CS$5,"&gt;="&amp;(AU5-12),$B$5:$CS$5,"&lt;"&amp;AU5),0)+IF(AU5=$B$44,SUMIFS($B$35:$CS$35,$B$5:$CS$5,"&gt;="&amp;$B$51,$B$5:$CS$5,"&lt;="&amp;$B$44),0))</f>
        <v>0</v>
      </c>
      <c r="AV30" s="124" t="n">
        <f aca="false">IF(AND($B$47=1,AV5&gt;=$B$48),0,IF(AND(MOD(AV5+2,12)+1='Uplifters Inputs'!$B$33,AV5&gt;'Uplifters Inputs'!$B$5),SUMIFS($B$35:$CS$35,$B$5:$CS$5,"&gt;="&amp;(AV5-12),$B$5:$CS$5,"&lt;"&amp;AV5),0)+IF(AV5=$B$44,SUMIFS($B$35:$CS$35,$B$5:$CS$5,"&gt;="&amp;$B$51,$B$5:$CS$5,"&lt;="&amp;$B$44),0))</f>
        <v>0</v>
      </c>
      <c r="AW30" s="124" t="n">
        <f aca="false">IF(AND($B$47=1,AW5&gt;=$B$48),0,IF(AND(MOD(AW5+2,12)+1='Uplifters Inputs'!$B$33,AW5&gt;'Uplifters Inputs'!$B$5),SUMIFS($B$35:$CS$35,$B$5:$CS$5,"&gt;="&amp;(AW5-12),$B$5:$CS$5,"&lt;"&amp;AW5),0)+IF(AW5=$B$44,SUMIFS($B$35:$CS$35,$B$5:$CS$5,"&gt;="&amp;$B$51,$B$5:$CS$5,"&lt;="&amp;$B$44),0))</f>
        <v>0</v>
      </c>
      <c r="AX30" s="124" t="n">
        <f aca="false">IF(AND($B$47=1,AX5&gt;=$B$48),0,IF(AND(MOD(AX5+2,12)+1='Uplifters Inputs'!$B$33,AX5&gt;'Uplifters Inputs'!$B$5),SUMIFS($B$35:$CS$35,$B$5:$CS$5,"&gt;="&amp;(AX5-12),$B$5:$CS$5,"&lt;"&amp;AX5),0)+IF(AX5=$B$44,SUMIFS($B$35:$CS$35,$B$5:$CS$5,"&gt;="&amp;$B$51,$B$5:$CS$5,"&lt;="&amp;$B$44),0))</f>
        <v>0</v>
      </c>
      <c r="AY30" s="124" t="n">
        <f aca="false">IF(AND($B$47=1,AY5&gt;=$B$48),0,IF(AND(MOD(AY5+2,12)+1='Uplifters Inputs'!$B$33,AY5&gt;'Uplifters Inputs'!$B$5),SUMIFS($B$35:$CS$35,$B$5:$CS$5,"&gt;="&amp;(AY5-12),$B$5:$CS$5,"&lt;"&amp;AY5),0)+IF(AY5=$B$44,SUMIFS($B$35:$CS$35,$B$5:$CS$5,"&gt;="&amp;$B$51,$B$5:$CS$5,"&lt;="&amp;$B$44),0))</f>
        <v>0</v>
      </c>
      <c r="AZ30" s="124" t="n">
        <f aca="false">IF(AND($B$47=1,AZ5&gt;=$B$48),0,IF(AND(MOD(AZ5+2,12)+1='Uplifters Inputs'!$B$33,AZ5&gt;'Uplifters Inputs'!$B$5),SUMIFS($B$35:$CS$35,$B$5:$CS$5,"&gt;="&amp;(AZ5-12),$B$5:$CS$5,"&lt;"&amp;AZ5),0)+IF(AZ5=$B$44,SUMIFS($B$35:$CS$35,$B$5:$CS$5,"&gt;="&amp;$B$51,$B$5:$CS$5,"&lt;="&amp;$B$44),0))</f>
        <v>292777.777777778</v>
      </c>
      <c r="BA30" s="124" t="n">
        <f aca="false">IF(AND($B$47=1,BA5&gt;=$B$48),0,IF(AND(MOD(BA5+2,12)+1='Uplifters Inputs'!$B$33,BA5&gt;'Uplifters Inputs'!$B$5),SUMIFS($B$35:$CS$35,$B$5:$CS$5,"&gt;="&amp;(BA5-12),$B$5:$CS$5,"&lt;"&amp;BA5),0)+IF(BA5=$B$44,SUMIFS($B$35:$CS$35,$B$5:$CS$5,"&gt;="&amp;$B$51,$B$5:$CS$5,"&lt;="&amp;$B$44),0))</f>
        <v>0</v>
      </c>
      <c r="BB30" s="124" t="n">
        <f aca="false">IF(AND($B$47=1,BB5&gt;=$B$48),0,IF(AND(MOD(BB5+2,12)+1='Uplifters Inputs'!$B$33,BB5&gt;'Uplifters Inputs'!$B$5),SUMIFS($B$35:$CS$35,$B$5:$CS$5,"&gt;="&amp;(BB5-12),$B$5:$CS$5,"&lt;"&amp;BB5),0)+IF(BB5=$B$44,SUMIFS($B$35:$CS$35,$B$5:$CS$5,"&gt;="&amp;$B$51,$B$5:$CS$5,"&lt;="&amp;$B$44),0))</f>
        <v>0</v>
      </c>
      <c r="BC30" s="124" t="n">
        <f aca="false">IF(AND($B$47=1,BC5&gt;=$B$48),0,IF(AND(MOD(BC5+2,12)+1='Uplifters Inputs'!$B$33,BC5&gt;'Uplifters Inputs'!$B$5),SUMIFS($B$35:$CS$35,$B$5:$CS$5,"&gt;="&amp;(BC5-12),$B$5:$CS$5,"&lt;"&amp;BC5),0)+IF(BC5=$B$44,SUMIFS($B$35:$CS$35,$B$5:$CS$5,"&gt;="&amp;$B$51,$B$5:$CS$5,"&lt;="&amp;$B$44),0))</f>
        <v>0</v>
      </c>
      <c r="BD30" s="124" t="n">
        <f aca="false">IF(AND($B$47=1,BD5&gt;=$B$48),0,IF(AND(MOD(BD5+2,12)+1='Uplifters Inputs'!$B$33,BD5&gt;'Uplifters Inputs'!$B$5),SUMIFS($B$35:$CS$35,$B$5:$CS$5,"&gt;="&amp;(BD5-12),$B$5:$CS$5,"&lt;"&amp;BD5),0)+IF(BD5=$B$44,SUMIFS($B$35:$CS$35,$B$5:$CS$5,"&gt;="&amp;$B$51,$B$5:$CS$5,"&lt;="&amp;$B$44),0))</f>
        <v>0</v>
      </c>
      <c r="BE30" s="124" t="n">
        <f aca="false">IF(AND($B$47=1,BE5&gt;=$B$48),0,IF(AND(MOD(BE5+2,12)+1='Uplifters Inputs'!$B$33,BE5&gt;'Uplifters Inputs'!$B$5),SUMIFS($B$35:$CS$35,$B$5:$CS$5,"&gt;="&amp;(BE5-12),$B$5:$CS$5,"&lt;"&amp;BE5),0)+IF(BE5=$B$44,SUMIFS($B$35:$CS$35,$B$5:$CS$5,"&gt;="&amp;$B$51,$B$5:$CS$5,"&lt;="&amp;$B$44),0))</f>
        <v>0</v>
      </c>
      <c r="BF30" s="124" t="n">
        <f aca="false">IF(AND($B$47=1,BF5&gt;=$B$48),0,IF(AND(MOD(BF5+2,12)+1='Uplifters Inputs'!$B$33,BF5&gt;'Uplifters Inputs'!$B$5),SUMIFS($B$35:$CS$35,$B$5:$CS$5,"&gt;="&amp;(BF5-12),$B$5:$CS$5,"&lt;"&amp;BF5),0)+IF(BF5=$B$44,SUMIFS($B$35:$CS$35,$B$5:$CS$5,"&gt;="&amp;$B$51,$B$5:$CS$5,"&lt;="&amp;$B$44),0))</f>
        <v>0</v>
      </c>
      <c r="BG30" s="124" t="n">
        <f aca="false">IF(AND($B$47=1,BG5&gt;=$B$48),0,IF(AND(MOD(BG5+2,12)+1='Uplifters Inputs'!$B$33,BG5&gt;'Uplifters Inputs'!$B$5),SUMIFS($B$35:$CS$35,$B$5:$CS$5,"&gt;="&amp;(BG5-12),$B$5:$CS$5,"&lt;"&amp;BG5),0)+IF(BG5=$B$44,SUMIFS($B$35:$CS$35,$B$5:$CS$5,"&gt;="&amp;$B$51,$B$5:$CS$5,"&lt;="&amp;$B$44),0))</f>
        <v>0</v>
      </c>
      <c r="BH30" s="124" t="n">
        <f aca="false">IF(AND($B$47=1,BH5&gt;=$B$48),0,IF(AND(MOD(BH5+2,12)+1='Uplifters Inputs'!$B$33,BH5&gt;'Uplifters Inputs'!$B$5),SUMIFS($B$35:$CS$35,$B$5:$CS$5,"&gt;="&amp;(BH5-12),$B$5:$CS$5,"&lt;"&amp;BH5),0)+IF(BH5=$B$44,SUMIFS($B$35:$CS$35,$B$5:$CS$5,"&gt;="&amp;$B$51,$B$5:$CS$5,"&lt;="&amp;$B$44),0))</f>
        <v>0</v>
      </c>
      <c r="BI30" s="124" t="n">
        <f aca="false">IF(AND($B$47=1,BI5&gt;=$B$48),0,IF(AND(MOD(BI5+2,12)+1='Uplifters Inputs'!$B$33,BI5&gt;'Uplifters Inputs'!$B$5),SUMIFS($B$35:$CS$35,$B$5:$CS$5,"&gt;="&amp;(BI5-12),$B$5:$CS$5,"&lt;"&amp;BI5),0)+IF(BI5=$B$44,SUMIFS($B$35:$CS$35,$B$5:$CS$5,"&gt;="&amp;$B$51,$B$5:$CS$5,"&lt;="&amp;$B$44),0))</f>
        <v>0</v>
      </c>
      <c r="BJ30" s="124" t="n">
        <f aca="false">IF(AND($B$47=1,BJ5&gt;=$B$48),0,IF(AND(MOD(BJ5+2,12)+1='Uplifters Inputs'!$B$33,BJ5&gt;'Uplifters Inputs'!$B$5),SUMIFS($B$35:$CS$35,$B$5:$CS$5,"&gt;="&amp;(BJ5-12),$B$5:$CS$5,"&lt;"&amp;BJ5),0)+IF(BJ5=$B$44,SUMIFS($B$35:$CS$35,$B$5:$CS$5,"&gt;="&amp;$B$51,$B$5:$CS$5,"&lt;="&amp;$B$44),0))</f>
        <v>0</v>
      </c>
      <c r="BK30" s="124" t="n">
        <f aca="false">IF(AND($B$47=1,BK5&gt;=$B$48),0,IF(AND(MOD(BK5+2,12)+1='Uplifters Inputs'!$B$33,BK5&gt;'Uplifters Inputs'!$B$5),SUMIFS($B$35:$CS$35,$B$5:$CS$5,"&gt;="&amp;(BK5-12),$B$5:$CS$5,"&lt;"&amp;BK5),0)+IF(BK5=$B$44,SUMIFS($B$35:$CS$35,$B$5:$CS$5,"&gt;="&amp;$B$51,$B$5:$CS$5,"&lt;="&amp;$B$44),0))</f>
        <v>0</v>
      </c>
      <c r="BL30" s="124" t="n">
        <f aca="false">IF(AND($B$47=1,BL5&gt;=$B$48),0,IF(AND(MOD(BL5+2,12)+1='Uplifters Inputs'!$B$33,BL5&gt;'Uplifters Inputs'!$B$5),SUMIFS($B$35:$CS$35,$B$5:$CS$5,"&gt;="&amp;(BL5-12),$B$5:$CS$5,"&lt;"&amp;BL5),0)+IF(BL5=$B$44,SUMIFS($B$35:$CS$35,$B$5:$CS$5,"&gt;="&amp;$B$51,$B$5:$CS$5,"&lt;="&amp;$B$44),0))</f>
        <v>47222.2222222222</v>
      </c>
      <c r="BM30" s="124" t="n">
        <f aca="false">IF(AND($B$47=1,BM5&gt;=$B$48),0,IF(AND(MOD(BM5+2,12)+1='Uplifters Inputs'!$B$33,BM5&gt;'Uplifters Inputs'!$B$5),SUMIFS($B$35:$CS$35,$B$5:$CS$5,"&gt;="&amp;(BM5-12),$B$5:$CS$5,"&lt;"&amp;BM5),0)+IF(BM5=$B$44,SUMIFS($B$35:$CS$35,$B$5:$CS$5,"&gt;="&amp;$B$51,$B$5:$CS$5,"&lt;="&amp;$B$44),0))</f>
        <v>0</v>
      </c>
      <c r="BN30" s="124" t="n">
        <f aca="false">IF(AND($B$47=1,BN5&gt;=$B$48),0,IF(AND(MOD(BN5+2,12)+1='Uplifters Inputs'!$B$33,BN5&gt;'Uplifters Inputs'!$B$5),SUMIFS($B$35:$CS$35,$B$5:$CS$5,"&gt;="&amp;(BN5-12),$B$5:$CS$5,"&lt;"&amp;BN5),0)+IF(BN5=$B$44,SUMIFS($B$35:$CS$35,$B$5:$CS$5,"&gt;="&amp;$B$51,$B$5:$CS$5,"&lt;="&amp;$B$44),0))</f>
        <v>0</v>
      </c>
      <c r="BO30" s="124" t="n">
        <f aca="false">IF(AND($B$47=1,BO5&gt;=$B$48),0,IF(AND(MOD(BO5+2,12)+1='Uplifters Inputs'!$B$33,BO5&gt;'Uplifters Inputs'!$B$5),SUMIFS($B$35:$CS$35,$B$5:$CS$5,"&gt;="&amp;(BO5-12),$B$5:$CS$5,"&lt;"&amp;BO5),0)+IF(BO5=$B$44,SUMIFS($B$35:$CS$35,$B$5:$CS$5,"&gt;="&amp;$B$51,$B$5:$CS$5,"&lt;="&amp;$B$44),0))</f>
        <v>0</v>
      </c>
      <c r="BP30" s="124" t="n">
        <f aca="false">IF(AND($B$47=1,BP5&gt;=$B$48),0,IF(AND(MOD(BP5+2,12)+1='Uplifters Inputs'!$B$33,BP5&gt;'Uplifters Inputs'!$B$5),SUMIFS($B$35:$CS$35,$B$5:$CS$5,"&gt;="&amp;(BP5-12),$B$5:$CS$5,"&lt;"&amp;BP5),0)+IF(BP5=$B$44,SUMIFS($B$35:$CS$35,$B$5:$CS$5,"&gt;="&amp;$B$51,$B$5:$CS$5,"&lt;="&amp;$B$44),0))</f>
        <v>0</v>
      </c>
      <c r="BQ30" s="124" t="n">
        <f aca="false">IF(AND($B$47=1,BQ5&gt;=$B$48),0,IF(AND(MOD(BQ5+2,12)+1='Uplifters Inputs'!$B$33,BQ5&gt;'Uplifters Inputs'!$B$5),SUMIFS($B$35:$CS$35,$B$5:$CS$5,"&gt;="&amp;(BQ5-12),$B$5:$CS$5,"&lt;"&amp;BQ5),0)+IF(BQ5=$B$44,SUMIFS($B$35:$CS$35,$B$5:$CS$5,"&gt;="&amp;$B$51,$B$5:$CS$5,"&lt;="&amp;$B$44),0))</f>
        <v>0</v>
      </c>
      <c r="BR30" s="124" t="n">
        <f aca="false">IF(AND($B$47=1,BR5&gt;=$B$48),0,IF(AND(MOD(BR5+2,12)+1='Uplifters Inputs'!$B$33,BR5&gt;'Uplifters Inputs'!$B$5),SUMIFS($B$35:$CS$35,$B$5:$CS$5,"&gt;="&amp;(BR5-12),$B$5:$CS$5,"&lt;"&amp;BR5),0)+IF(BR5=$B$44,SUMIFS($B$35:$CS$35,$B$5:$CS$5,"&gt;="&amp;$B$51,$B$5:$CS$5,"&lt;="&amp;$B$44),0))</f>
        <v>0</v>
      </c>
      <c r="BS30" s="124" t="n">
        <f aca="false">IF(AND($B$47=1,BS5&gt;=$B$48),0,IF(AND(MOD(BS5+2,12)+1='Uplifters Inputs'!$B$33,BS5&gt;'Uplifters Inputs'!$B$5),SUMIFS($B$35:$CS$35,$B$5:$CS$5,"&gt;="&amp;(BS5-12),$B$5:$CS$5,"&lt;"&amp;BS5),0)+IF(BS5=$B$44,SUMIFS($B$35:$CS$35,$B$5:$CS$5,"&gt;="&amp;$B$51,$B$5:$CS$5,"&lt;="&amp;$B$44),0))</f>
        <v>0</v>
      </c>
      <c r="BT30" s="124" t="n">
        <f aca="false">IF(AND($B$47=1,BT5&gt;=$B$48),0,IF(AND(MOD(BT5+2,12)+1='Uplifters Inputs'!$B$33,BT5&gt;'Uplifters Inputs'!$B$5),SUMIFS($B$35:$CS$35,$B$5:$CS$5,"&gt;="&amp;(BT5-12),$B$5:$CS$5,"&lt;"&amp;BT5),0)+IF(BT5=$B$44,SUMIFS($B$35:$CS$35,$B$5:$CS$5,"&gt;="&amp;$B$51,$B$5:$CS$5,"&lt;="&amp;$B$44),0))</f>
        <v>0</v>
      </c>
      <c r="BU30" s="124" t="n">
        <f aca="false">IF(AND($B$47=1,BU5&gt;=$B$48),0,IF(AND(MOD(BU5+2,12)+1='Uplifters Inputs'!$B$33,BU5&gt;'Uplifters Inputs'!$B$5),SUMIFS($B$35:$CS$35,$B$5:$CS$5,"&gt;="&amp;(BU5-12),$B$5:$CS$5,"&lt;"&amp;BU5),0)+IF(BU5=$B$44,SUMIFS($B$35:$CS$35,$B$5:$CS$5,"&gt;="&amp;$B$51,$B$5:$CS$5,"&lt;="&amp;$B$44),0))</f>
        <v>0</v>
      </c>
      <c r="BV30" s="124" t="n">
        <f aca="false">IF(AND($B$47=1,BV5&gt;=$B$48),0,IF(AND(MOD(BV5+2,12)+1='Uplifters Inputs'!$B$33,BV5&gt;'Uplifters Inputs'!$B$5),SUMIFS($B$35:$CS$35,$B$5:$CS$5,"&gt;="&amp;(BV5-12),$B$5:$CS$5,"&lt;"&amp;BV5),0)+IF(BV5=$B$44,SUMIFS($B$35:$CS$35,$B$5:$CS$5,"&gt;="&amp;$B$51,$B$5:$CS$5,"&lt;="&amp;$B$44),0))</f>
        <v>0</v>
      </c>
      <c r="BW30" s="124" t="n">
        <f aca="false">IF(AND($B$47=1,BW5&gt;=$B$48),0,IF(AND(MOD(BW5+2,12)+1='Uplifters Inputs'!$B$33,BW5&gt;'Uplifters Inputs'!$B$5),SUMIFS($B$35:$CS$35,$B$5:$CS$5,"&gt;="&amp;(BW5-12),$B$5:$CS$5,"&lt;"&amp;BW5),0)+IF(BW5=$B$44,SUMIFS($B$35:$CS$35,$B$5:$CS$5,"&gt;="&amp;$B$51,$B$5:$CS$5,"&lt;="&amp;$B$44),0))</f>
        <v>0</v>
      </c>
      <c r="BX30" s="124" t="n">
        <f aca="false">IF(AND($B$47=1,BX5&gt;=$B$48),0,IF(AND(MOD(BX5+2,12)+1='Uplifters Inputs'!$B$33,BX5&gt;'Uplifters Inputs'!$B$5),SUMIFS($B$35:$CS$35,$B$5:$CS$5,"&gt;="&amp;(BX5-12),$B$5:$CS$5,"&lt;"&amp;BX5),0)+IF(BX5=$B$44,SUMIFS($B$35:$CS$35,$B$5:$CS$5,"&gt;="&amp;$B$51,$B$5:$CS$5,"&lt;="&amp;$B$44),0))</f>
        <v>0</v>
      </c>
      <c r="BY30" s="124" t="n">
        <f aca="false">IF(AND($B$47=1,BY5&gt;=$B$48),0,IF(AND(MOD(BY5+2,12)+1='Uplifters Inputs'!$B$33,BY5&gt;'Uplifters Inputs'!$B$5),SUMIFS($B$35:$CS$35,$B$5:$CS$5,"&gt;="&amp;(BY5-12),$B$5:$CS$5,"&lt;"&amp;BY5),0)+IF(BY5=$B$44,SUMIFS($B$35:$CS$35,$B$5:$CS$5,"&gt;="&amp;$B$51,$B$5:$CS$5,"&lt;="&amp;$B$44),0))</f>
        <v>0</v>
      </c>
      <c r="BZ30" s="124" t="n">
        <f aca="false">IF(AND($B$47=1,BZ5&gt;=$B$48),0,IF(AND(MOD(BZ5+2,12)+1='Uplifters Inputs'!$B$33,BZ5&gt;'Uplifters Inputs'!$B$5),SUMIFS($B$35:$CS$35,$B$5:$CS$5,"&gt;="&amp;(BZ5-12),$B$5:$CS$5,"&lt;"&amp;BZ5),0)+IF(BZ5=$B$44,SUMIFS($B$35:$CS$35,$B$5:$CS$5,"&gt;="&amp;$B$51,$B$5:$CS$5,"&lt;="&amp;$B$44),0))</f>
        <v>0</v>
      </c>
      <c r="CA30" s="124" t="n">
        <f aca="false">IF(AND($B$47=1,CA5&gt;=$B$48),0,IF(AND(MOD(CA5+2,12)+1='Uplifters Inputs'!$B$33,CA5&gt;'Uplifters Inputs'!$B$5),SUMIFS($B$35:$CS$35,$B$5:$CS$5,"&gt;="&amp;(CA5-12),$B$5:$CS$5,"&lt;"&amp;CA5),0)+IF(CA5=$B$44,SUMIFS($B$35:$CS$35,$B$5:$CS$5,"&gt;="&amp;$B$51,$B$5:$CS$5,"&lt;="&amp;$B$44),0))</f>
        <v>0</v>
      </c>
      <c r="CB30" s="124" t="n">
        <f aca="false">IF(AND($B$47=1,CB5&gt;=$B$48),0,IF(AND(MOD(CB5+2,12)+1='Uplifters Inputs'!$B$33,CB5&gt;'Uplifters Inputs'!$B$5),SUMIFS($B$35:$CS$35,$B$5:$CS$5,"&gt;="&amp;(CB5-12),$B$5:$CS$5,"&lt;"&amp;CB5),0)+IF(CB5=$B$44,SUMIFS($B$35:$CS$35,$B$5:$CS$5,"&gt;="&amp;$B$51,$B$5:$CS$5,"&lt;="&amp;$B$44),0))</f>
        <v>0</v>
      </c>
      <c r="CC30" s="124" t="n">
        <f aca="false">IF(AND($B$47=1,CC5&gt;=$B$48),0,IF(AND(MOD(CC5+2,12)+1='Uplifters Inputs'!$B$33,CC5&gt;'Uplifters Inputs'!$B$5),SUMIFS($B$35:$CS$35,$B$5:$CS$5,"&gt;="&amp;(CC5-12),$B$5:$CS$5,"&lt;"&amp;CC5),0)+IF(CC5=$B$44,SUMIFS($B$35:$CS$35,$B$5:$CS$5,"&gt;="&amp;$B$51,$B$5:$CS$5,"&lt;="&amp;$B$44),0))</f>
        <v>0</v>
      </c>
      <c r="CD30" s="124" t="n">
        <f aca="false">IF(AND($B$47=1,CD5&gt;=$B$48),0,IF(AND(MOD(CD5+2,12)+1='Uplifters Inputs'!$B$33,CD5&gt;'Uplifters Inputs'!$B$5),SUMIFS($B$35:$CS$35,$B$5:$CS$5,"&gt;="&amp;(CD5-12),$B$5:$CS$5,"&lt;"&amp;CD5),0)+IF(CD5=$B$44,SUMIFS($B$35:$CS$35,$B$5:$CS$5,"&gt;="&amp;$B$51,$B$5:$CS$5,"&lt;="&amp;$B$44),0))</f>
        <v>0</v>
      </c>
      <c r="CE30" s="124" t="n">
        <f aca="false">IF(AND($B$47=1,CE5&gt;=$B$48),0,IF(AND(MOD(CE5+2,12)+1='Uplifters Inputs'!$B$33,CE5&gt;'Uplifters Inputs'!$B$5),SUMIFS($B$35:$CS$35,$B$5:$CS$5,"&gt;="&amp;(CE5-12),$B$5:$CS$5,"&lt;"&amp;CE5),0)+IF(CE5=$B$44,SUMIFS($B$35:$CS$35,$B$5:$CS$5,"&gt;="&amp;$B$51,$B$5:$CS$5,"&lt;="&amp;$B$44),0))</f>
        <v>0</v>
      </c>
      <c r="CF30" s="124" t="n">
        <f aca="false">IF(AND($B$47=1,CF5&gt;=$B$48),0,IF(AND(MOD(CF5+2,12)+1='Uplifters Inputs'!$B$33,CF5&gt;'Uplifters Inputs'!$B$5),SUMIFS($B$35:$CS$35,$B$5:$CS$5,"&gt;="&amp;(CF5-12),$B$5:$CS$5,"&lt;"&amp;CF5),0)+IF(CF5=$B$44,SUMIFS($B$35:$CS$35,$B$5:$CS$5,"&gt;="&amp;$B$51,$B$5:$CS$5,"&lt;="&amp;$B$44),0))</f>
        <v>0</v>
      </c>
      <c r="CG30" s="124" t="n">
        <f aca="false">IF(AND($B$47=1,CG5&gt;=$B$48),0,IF(AND(MOD(CG5+2,12)+1='Uplifters Inputs'!$B$33,CG5&gt;'Uplifters Inputs'!$B$5),SUMIFS($B$35:$CS$35,$B$5:$CS$5,"&gt;="&amp;(CG5-12),$B$5:$CS$5,"&lt;"&amp;CG5),0)+IF(CG5=$B$44,SUMIFS($B$35:$CS$35,$B$5:$CS$5,"&gt;="&amp;$B$51,$B$5:$CS$5,"&lt;="&amp;$B$44),0))</f>
        <v>0</v>
      </c>
      <c r="CH30" s="124" t="n">
        <f aca="false">IF(AND($B$47=1,CH5&gt;=$B$48),0,IF(AND(MOD(CH5+2,12)+1='Uplifters Inputs'!$B$33,CH5&gt;'Uplifters Inputs'!$B$5),SUMIFS($B$35:$CS$35,$B$5:$CS$5,"&gt;="&amp;(CH5-12),$B$5:$CS$5,"&lt;"&amp;CH5),0)+IF(CH5=$B$44,SUMIFS($B$35:$CS$35,$B$5:$CS$5,"&gt;="&amp;$B$51,$B$5:$CS$5,"&lt;="&amp;$B$44),0))</f>
        <v>0</v>
      </c>
      <c r="CI30" s="124" t="n">
        <f aca="false">IF(AND($B$47=1,CI5&gt;=$B$48),0,IF(AND(MOD(CI5+2,12)+1='Uplifters Inputs'!$B$33,CI5&gt;'Uplifters Inputs'!$B$5),SUMIFS($B$35:$CS$35,$B$5:$CS$5,"&gt;="&amp;(CI5-12),$B$5:$CS$5,"&lt;"&amp;CI5),0)+IF(CI5=$B$44,SUMIFS($B$35:$CS$35,$B$5:$CS$5,"&gt;="&amp;$B$51,$B$5:$CS$5,"&lt;="&amp;$B$44),0))</f>
        <v>0</v>
      </c>
      <c r="CJ30" s="124" t="n">
        <f aca="false">IF(AND($B$47=1,CJ5&gt;=$B$48),0,IF(AND(MOD(CJ5+2,12)+1='Uplifters Inputs'!$B$33,CJ5&gt;'Uplifters Inputs'!$B$5),SUMIFS($B$35:$CS$35,$B$5:$CS$5,"&gt;="&amp;(CJ5-12),$B$5:$CS$5,"&lt;"&amp;CJ5),0)+IF(CJ5=$B$44,SUMIFS($B$35:$CS$35,$B$5:$CS$5,"&gt;="&amp;$B$51,$B$5:$CS$5,"&lt;="&amp;$B$44),0))</f>
        <v>0</v>
      </c>
      <c r="CK30" s="124" t="n">
        <f aca="false">IF(AND($B$47=1,CK5&gt;=$B$48),0,IF(AND(MOD(CK5+2,12)+1='Uplifters Inputs'!$B$33,CK5&gt;'Uplifters Inputs'!$B$5),SUMIFS($B$35:$CS$35,$B$5:$CS$5,"&gt;="&amp;(CK5-12),$B$5:$CS$5,"&lt;"&amp;CK5),0)+IF(CK5=$B$44,SUMIFS($B$35:$CS$35,$B$5:$CS$5,"&gt;="&amp;$B$51,$B$5:$CS$5,"&lt;="&amp;$B$44),0))</f>
        <v>0</v>
      </c>
      <c r="CL30" s="124" t="n">
        <f aca="false">IF(AND($B$47=1,CL5&gt;=$B$48),0,IF(AND(MOD(CL5+2,12)+1='Uplifters Inputs'!$B$33,CL5&gt;'Uplifters Inputs'!$B$5),SUMIFS($B$35:$CS$35,$B$5:$CS$5,"&gt;="&amp;(CL5-12),$B$5:$CS$5,"&lt;"&amp;CL5),0)+IF(CL5=$B$44,SUMIFS($B$35:$CS$35,$B$5:$CS$5,"&gt;="&amp;$B$51,$B$5:$CS$5,"&lt;="&amp;$B$44),0))</f>
        <v>0</v>
      </c>
      <c r="CM30" s="124" t="n">
        <f aca="false">IF(AND($B$47=1,CM5&gt;=$B$48),0,IF(AND(MOD(CM5+2,12)+1='Uplifters Inputs'!$B$33,CM5&gt;'Uplifters Inputs'!$B$5),SUMIFS($B$35:$CS$35,$B$5:$CS$5,"&gt;="&amp;(CM5-12),$B$5:$CS$5,"&lt;"&amp;CM5),0)+IF(CM5=$B$44,SUMIFS($B$35:$CS$35,$B$5:$CS$5,"&gt;="&amp;$B$51,$B$5:$CS$5,"&lt;="&amp;$B$44),0))</f>
        <v>0</v>
      </c>
      <c r="CN30" s="124" t="n">
        <f aca="false">IF(AND($B$47=1,CN5&gt;=$B$48),0,IF(AND(MOD(CN5+2,12)+1='Uplifters Inputs'!$B$33,CN5&gt;'Uplifters Inputs'!$B$5),SUMIFS($B$35:$CS$35,$B$5:$CS$5,"&gt;="&amp;(CN5-12),$B$5:$CS$5,"&lt;"&amp;CN5),0)+IF(CN5=$B$44,SUMIFS($B$35:$CS$35,$B$5:$CS$5,"&gt;="&amp;$B$51,$B$5:$CS$5,"&lt;="&amp;$B$44),0))</f>
        <v>0</v>
      </c>
      <c r="CO30" s="124" t="n">
        <f aca="false">IF(AND($B$47=1,CO5&gt;=$B$48),0,IF(AND(MOD(CO5+2,12)+1='Uplifters Inputs'!$B$33,CO5&gt;'Uplifters Inputs'!$B$5),SUMIFS($B$35:$CS$35,$B$5:$CS$5,"&gt;="&amp;(CO5-12),$B$5:$CS$5,"&lt;"&amp;CO5),0)+IF(CO5=$B$44,SUMIFS($B$35:$CS$35,$B$5:$CS$5,"&gt;="&amp;$B$51,$B$5:$CS$5,"&lt;="&amp;$B$44),0))</f>
        <v>0</v>
      </c>
      <c r="CP30" s="124" t="n">
        <f aca="false">IF(AND($B$47=1,CP5&gt;=$B$48),0,IF(AND(MOD(CP5+2,12)+1='Uplifters Inputs'!$B$33,CP5&gt;'Uplifters Inputs'!$B$5),SUMIFS($B$35:$CS$35,$B$5:$CS$5,"&gt;="&amp;(CP5-12),$B$5:$CS$5,"&lt;"&amp;CP5),0)+IF(CP5=$B$44,SUMIFS($B$35:$CS$35,$B$5:$CS$5,"&gt;="&amp;$B$51,$B$5:$CS$5,"&lt;="&amp;$B$44),0))</f>
        <v>0</v>
      </c>
      <c r="CQ30" s="124" t="n">
        <f aca="false">IF(AND($B$47=1,CQ5&gt;=$B$48),0,IF(AND(MOD(CQ5+2,12)+1='Uplifters Inputs'!$B$33,CQ5&gt;'Uplifters Inputs'!$B$5),SUMIFS($B$35:$CS$35,$B$5:$CS$5,"&gt;="&amp;(CQ5-12),$B$5:$CS$5,"&lt;"&amp;CQ5),0)+IF(CQ5=$B$44,SUMIFS($B$35:$CS$35,$B$5:$CS$5,"&gt;="&amp;$B$51,$B$5:$CS$5,"&lt;="&amp;$B$44),0))</f>
        <v>0</v>
      </c>
      <c r="CR30" s="124" t="n">
        <f aca="false">IF(AND($B$47=1,CR5&gt;=$B$48),0,IF(AND(MOD(CR5+2,12)+1='Uplifters Inputs'!$B$33,CR5&gt;'Uplifters Inputs'!$B$5),SUMIFS($B$35:$CS$35,$B$5:$CS$5,"&gt;="&amp;(CR5-12),$B$5:$CS$5,"&lt;"&amp;CR5),0)+IF(CR5=$B$44,SUMIFS($B$35:$CS$35,$B$5:$CS$5,"&gt;="&amp;$B$51,$B$5:$CS$5,"&lt;="&amp;$B$44),0))</f>
        <v>0</v>
      </c>
      <c r="CS30" s="124"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3" t="s">
        <v>1429</v>
      </c>
      <c r="B31" s="124" t="n">
        <f aca="false">MIN(B29+B30,MAX(0,'Uplifters Inputs'!$B$35-(SUMIFS($B$29:$CS$29,$B$6:$CS$6,B6,$B$5:$CS$5,"&lt;"&amp;B5)+SUMIFS($B$30:$CS$30,$B$6:$CS$6,B6,$B$5:$CS$5,"&lt;"&amp;B5))))*'Uplifters Inputs'!$B$36+(B29+B30)*'Uplifters Inputs'!$B$37+B29*'Uplifters Inputs'!$B$38</f>
        <v>0</v>
      </c>
      <c r="C31" s="124" t="n">
        <f aca="false">MIN(C29+C30,MAX(0,'Uplifters Inputs'!$B$35-(SUMIFS($B$29:$CS$29,$B$6:$CS$6,C6,$B$5:$CS$5,"&lt;"&amp;C5)+SUMIFS($B$30:$CS$30,$B$6:$CS$6,C6,$B$5:$CS$5,"&lt;"&amp;C5))))*'Uplifters Inputs'!$B$36+(C29+C30)*'Uplifters Inputs'!$B$37+C29*'Uplifters Inputs'!$B$38</f>
        <v>0</v>
      </c>
      <c r="D31" s="124" t="n">
        <f aca="false">MIN(D29+D30,MAX(0,'Uplifters Inputs'!$B$35-(SUMIFS($B$29:$CS$29,$B$6:$CS$6,D6,$B$5:$CS$5,"&lt;"&amp;D5)+SUMIFS($B$30:$CS$30,$B$6:$CS$6,D6,$B$5:$CS$5,"&lt;"&amp;D5))))*'Uplifters Inputs'!$B$36+(D29+D30)*'Uplifters Inputs'!$B$37+D29*'Uplifters Inputs'!$B$38</f>
        <v>0</v>
      </c>
      <c r="E31" s="124" t="n">
        <f aca="false">MIN(E29+E30,MAX(0,'Uplifters Inputs'!$B$35-(SUMIFS($B$29:$CS$29,$B$6:$CS$6,E6,$B$5:$CS$5,"&lt;"&amp;E5)+SUMIFS($B$30:$CS$30,$B$6:$CS$6,E6,$B$5:$CS$5,"&lt;"&amp;E5))))*'Uplifters Inputs'!$B$36+(E29+E30)*'Uplifters Inputs'!$B$37+E29*'Uplifters Inputs'!$B$38</f>
        <v>0</v>
      </c>
      <c r="F31" s="124" t="n">
        <f aca="false">MIN(F29+F30,MAX(0,'Uplifters Inputs'!$B$35-(SUMIFS($B$29:$CS$29,$B$6:$CS$6,F6,$B$5:$CS$5,"&lt;"&amp;F5)+SUMIFS($B$30:$CS$30,$B$6:$CS$6,F6,$B$5:$CS$5,"&lt;"&amp;F5))))*'Uplifters Inputs'!$B$36+(F29+F30)*'Uplifters Inputs'!$B$37+F29*'Uplifters Inputs'!$B$38</f>
        <v>0</v>
      </c>
      <c r="G31" s="124" t="n">
        <f aca="false">MIN(G29+G30,MAX(0,'Uplifters Inputs'!$B$35-(SUMIFS($B$29:$CS$29,$B$6:$CS$6,G6,$B$5:$CS$5,"&lt;"&amp;G5)+SUMIFS($B$30:$CS$30,$B$6:$CS$6,G6,$B$5:$CS$5,"&lt;"&amp;G5))))*'Uplifters Inputs'!$B$36+(G29+G30)*'Uplifters Inputs'!$B$37+G29*'Uplifters Inputs'!$B$38</f>
        <v>0</v>
      </c>
      <c r="H31" s="124" t="n">
        <f aca="false">MIN(H29+H30,MAX(0,'Uplifters Inputs'!$B$35-(SUMIFS($B$29:$CS$29,$B$6:$CS$6,H6,$B$5:$CS$5,"&lt;"&amp;H5)+SUMIFS($B$30:$CS$30,$B$6:$CS$6,H6,$B$5:$CS$5,"&lt;"&amp;H5))))*'Uplifters Inputs'!$B$36+(H29+H30)*'Uplifters Inputs'!$B$37+H29*'Uplifters Inputs'!$B$38</f>
        <v>0</v>
      </c>
      <c r="I31" s="124" t="n">
        <f aca="false">MIN(I29+I30,MAX(0,'Uplifters Inputs'!$B$35-(SUMIFS($B$29:$CS$29,$B$6:$CS$6,I6,$B$5:$CS$5,"&lt;"&amp;I5)+SUMIFS($B$30:$CS$30,$B$6:$CS$6,I6,$B$5:$CS$5,"&lt;"&amp;I5))))*'Uplifters Inputs'!$B$36+(I29+I30)*'Uplifters Inputs'!$B$37+I29*'Uplifters Inputs'!$B$38</f>
        <v>0</v>
      </c>
      <c r="J31" s="124" t="n">
        <f aca="false">MIN(J29+J30,MAX(0,'Uplifters Inputs'!$B$35-(SUMIFS($B$29:$CS$29,$B$6:$CS$6,J6,$B$5:$CS$5,"&lt;"&amp;J5)+SUMIFS($B$30:$CS$30,$B$6:$CS$6,J6,$B$5:$CS$5,"&lt;"&amp;J5))))*'Uplifters Inputs'!$B$36+(J29+J30)*'Uplifters Inputs'!$B$37+J29*'Uplifters Inputs'!$B$38</f>
        <v>0</v>
      </c>
      <c r="K31" s="124" t="n">
        <f aca="false">MIN(K29+K30,MAX(0,'Uplifters Inputs'!$B$35-(SUMIFS($B$29:$CS$29,$B$6:$CS$6,K6,$B$5:$CS$5,"&lt;"&amp;K5)+SUMIFS($B$30:$CS$30,$B$6:$CS$6,K6,$B$5:$CS$5,"&lt;"&amp;K5))))*'Uplifters Inputs'!$B$36+(K29+K30)*'Uplifters Inputs'!$B$37+K29*'Uplifters Inputs'!$B$38</f>
        <v>0</v>
      </c>
      <c r="L31" s="124" t="n">
        <f aca="false">MIN(L29+L30,MAX(0,'Uplifters Inputs'!$B$35-(SUMIFS($B$29:$CS$29,$B$6:$CS$6,L6,$B$5:$CS$5,"&lt;"&amp;L5)+SUMIFS($B$30:$CS$30,$B$6:$CS$6,L6,$B$5:$CS$5,"&lt;"&amp;L5))))*'Uplifters Inputs'!$B$36+(L29+L30)*'Uplifters Inputs'!$B$37+L29*'Uplifters Inputs'!$B$38</f>
        <v>0</v>
      </c>
      <c r="M31" s="124" t="n">
        <f aca="false">MIN(M29+M30,MAX(0,'Uplifters Inputs'!$B$35-(SUMIFS($B$29:$CS$29,$B$6:$CS$6,M6,$B$5:$CS$5,"&lt;"&amp;M5)+SUMIFS($B$30:$CS$30,$B$6:$CS$6,M6,$B$5:$CS$5,"&lt;"&amp;M5))))*'Uplifters Inputs'!$B$36+(M29+M30)*'Uplifters Inputs'!$B$37+M29*'Uplifters Inputs'!$B$38</f>
        <v>0</v>
      </c>
      <c r="N31" s="124" t="n">
        <f aca="false">MIN(N29+N30,MAX(0,'Uplifters Inputs'!$B$35-(SUMIFS($B$29:$CS$29,$B$6:$CS$6,N6,$B$5:$CS$5,"&lt;"&amp;N5)+SUMIFS($B$30:$CS$30,$B$6:$CS$6,N6,$B$5:$CS$5,"&lt;"&amp;N5))))*'Uplifters Inputs'!$B$36+(N29+N30)*'Uplifters Inputs'!$B$37+N29*'Uplifters Inputs'!$B$38</f>
        <v>0</v>
      </c>
      <c r="O31" s="124" t="n">
        <f aca="false">MIN(O29+O30,MAX(0,'Uplifters Inputs'!$B$35-(SUMIFS($B$29:$CS$29,$B$6:$CS$6,O6,$B$5:$CS$5,"&lt;"&amp;O5)+SUMIFS($B$30:$CS$30,$B$6:$CS$6,O6,$B$5:$CS$5,"&lt;"&amp;O5))))*'Uplifters Inputs'!$B$36+(O29+O30)*'Uplifters Inputs'!$B$37+O29*'Uplifters Inputs'!$B$38</f>
        <v>4216.66666666667</v>
      </c>
      <c r="P31" s="124" t="n">
        <f aca="false">MIN(P29+P30,MAX(0,'Uplifters Inputs'!$B$35-(SUMIFS($B$29:$CS$29,$B$6:$CS$6,P6,$B$5:$CS$5,"&lt;"&amp;P5)+SUMIFS($B$30:$CS$30,$B$6:$CS$6,P6,$B$5:$CS$5,"&lt;"&amp;P5))))*'Uplifters Inputs'!$B$36+(P29+P30)*'Uplifters Inputs'!$B$37+P29*'Uplifters Inputs'!$B$38</f>
        <v>4216.66666666667</v>
      </c>
      <c r="Q31" s="124" t="n">
        <f aca="false">MIN(Q29+Q30,MAX(0,'Uplifters Inputs'!$B$35-(SUMIFS($B$29:$CS$29,$B$6:$CS$6,Q6,$B$5:$CS$5,"&lt;"&amp;Q5)+SUMIFS($B$30:$CS$30,$B$6:$CS$6,Q6,$B$5:$CS$5,"&lt;"&amp;Q5))))*'Uplifters Inputs'!$B$36+(Q29+Q30)*'Uplifters Inputs'!$B$37+Q29*'Uplifters Inputs'!$B$38</f>
        <v>4216.66666666667</v>
      </c>
      <c r="R31" s="124" t="n">
        <f aca="false">MIN(R29+R30,MAX(0,'Uplifters Inputs'!$B$35-(SUMIFS($B$29:$CS$29,$B$6:$CS$6,R6,$B$5:$CS$5,"&lt;"&amp;R5)+SUMIFS($B$30:$CS$30,$B$6:$CS$6,R6,$B$5:$CS$5,"&lt;"&amp;R5))))*'Uplifters Inputs'!$B$36+(R29+R30)*'Uplifters Inputs'!$B$37+R29*'Uplifters Inputs'!$B$38</f>
        <v>4216.66666666667</v>
      </c>
      <c r="S31" s="124" t="n">
        <f aca="false">MIN(S29+S30,MAX(0,'Uplifters Inputs'!$B$35-(SUMIFS($B$29:$CS$29,$B$6:$CS$6,S6,$B$5:$CS$5,"&lt;"&amp;S5)+SUMIFS($B$30:$CS$30,$B$6:$CS$6,S6,$B$5:$CS$5,"&lt;"&amp;S5))))*'Uplifters Inputs'!$B$36+(S29+S30)*'Uplifters Inputs'!$B$37+S29*'Uplifters Inputs'!$B$38</f>
        <v>4216.66666666667</v>
      </c>
      <c r="T31" s="124" t="n">
        <f aca="false">MIN(T29+T30,MAX(0,'Uplifters Inputs'!$B$35-(SUMIFS($B$29:$CS$29,$B$6:$CS$6,T6,$B$5:$CS$5,"&lt;"&amp;T5)+SUMIFS($B$30:$CS$30,$B$6:$CS$6,T6,$B$5:$CS$5,"&lt;"&amp;T5))))*'Uplifters Inputs'!$B$36+(T29+T30)*'Uplifters Inputs'!$B$37+T29*'Uplifters Inputs'!$B$38</f>
        <v>3255.66666666667</v>
      </c>
      <c r="U31" s="124" t="n">
        <f aca="false">MIN(U29+U30,MAX(0,'Uplifters Inputs'!$B$35-(SUMIFS($B$29:$CS$29,$B$6:$CS$6,U6,$B$5:$CS$5,"&lt;"&amp;U5)+SUMIFS($B$30:$CS$30,$B$6:$CS$6,U6,$B$5:$CS$5,"&lt;"&amp;U5))))*'Uplifters Inputs'!$B$36+(U29+U30)*'Uplifters Inputs'!$B$37+U29*'Uplifters Inputs'!$B$38</f>
        <v>2150</v>
      </c>
      <c r="V31" s="124" t="n">
        <f aca="false">MIN(V29+V30,MAX(0,'Uplifters Inputs'!$B$35-(SUMIFS($B$29:$CS$29,$B$6:$CS$6,V6,$B$5:$CS$5,"&lt;"&amp;V5)+SUMIFS($B$30:$CS$30,$B$6:$CS$6,V6,$B$5:$CS$5,"&lt;"&amp;V5))))*'Uplifters Inputs'!$B$36+(V29+V30)*'Uplifters Inputs'!$B$37+V29*'Uplifters Inputs'!$B$38</f>
        <v>2150</v>
      </c>
      <c r="W31" s="124" t="n">
        <f aca="false">MIN(W29+W30,MAX(0,'Uplifters Inputs'!$B$35-(SUMIFS($B$29:$CS$29,$B$6:$CS$6,W6,$B$5:$CS$5,"&lt;"&amp;W5)+SUMIFS($B$30:$CS$30,$B$6:$CS$6,W6,$B$5:$CS$5,"&lt;"&amp;W5))))*'Uplifters Inputs'!$B$36+(W29+W30)*'Uplifters Inputs'!$B$37+W29*'Uplifters Inputs'!$B$38</f>
        <v>2150</v>
      </c>
      <c r="X31" s="124" t="n">
        <f aca="false">MIN(X29+X30,MAX(0,'Uplifters Inputs'!$B$35-(SUMIFS($B$29:$CS$29,$B$6:$CS$6,X6,$B$5:$CS$5,"&lt;"&amp;X5)+SUMIFS($B$30:$CS$30,$B$6:$CS$6,X6,$B$5:$CS$5,"&lt;"&amp;X5))))*'Uplifters Inputs'!$B$36+(X29+X30)*'Uplifters Inputs'!$B$37+X29*'Uplifters Inputs'!$B$38</f>
        <v>2150</v>
      </c>
      <c r="Y31" s="124" t="n">
        <f aca="false">MIN(Y29+Y30,MAX(0,'Uplifters Inputs'!$B$35-(SUMIFS($B$29:$CS$29,$B$6:$CS$6,Y6,$B$5:$CS$5,"&lt;"&amp;Y5)+SUMIFS($B$30:$CS$30,$B$6:$CS$6,Y6,$B$5:$CS$5,"&lt;"&amp;Y5))))*'Uplifters Inputs'!$B$36+(Y29+Y30)*'Uplifters Inputs'!$B$37+Y29*'Uplifters Inputs'!$B$38</f>
        <v>2150</v>
      </c>
      <c r="Z31" s="124" t="n">
        <f aca="false">MIN(Z29+Z30,MAX(0,'Uplifters Inputs'!$B$35-(SUMIFS($B$29:$CS$29,$B$6:$CS$6,Z6,$B$5:$CS$5,"&lt;"&amp;Z5)+SUMIFS($B$30:$CS$30,$B$6:$CS$6,Z6,$B$5:$CS$5,"&lt;"&amp;Z5))))*'Uplifters Inputs'!$B$36+(Z29+Z30)*'Uplifters Inputs'!$B$37+Z29*'Uplifters Inputs'!$B$38</f>
        <v>4216.66666666667</v>
      </c>
      <c r="AA31" s="124" t="n">
        <f aca="false">MIN(AA29+AA30,MAX(0,'Uplifters Inputs'!$B$35-(SUMIFS($B$29:$CS$29,$B$6:$CS$6,AA6,$B$5:$CS$5,"&lt;"&amp;AA5)+SUMIFS($B$30:$CS$30,$B$6:$CS$6,AA6,$B$5:$CS$5,"&lt;"&amp;AA5))))*'Uplifters Inputs'!$B$36+(AA29+AA30)*'Uplifters Inputs'!$B$37+AA29*'Uplifters Inputs'!$B$38</f>
        <v>4216.66666666667</v>
      </c>
      <c r="AB31" s="124" t="n">
        <f aca="false">MIN(AB29+AB30,MAX(0,'Uplifters Inputs'!$B$35-(SUMIFS($B$29:$CS$29,$B$6:$CS$6,AB6,$B$5:$CS$5,"&lt;"&amp;AB5)+SUMIFS($B$30:$CS$30,$B$6:$CS$6,AB6,$B$5:$CS$5,"&lt;"&amp;AB5))))*'Uplifters Inputs'!$B$36+(AB29+AB30)*'Uplifters Inputs'!$B$37+AB29*'Uplifters Inputs'!$B$38</f>
        <v>15070.3888888889</v>
      </c>
      <c r="AC31" s="124" t="n">
        <f aca="false">MIN(AC29+AC30,MAX(0,'Uplifters Inputs'!$B$35-(SUMIFS($B$29:$CS$29,$B$6:$CS$6,AC6,$B$5:$CS$5,"&lt;"&amp;AC5)+SUMIFS($B$30:$CS$30,$B$6:$CS$6,AC6,$B$5:$CS$5,"&lt;"&amp;AC5))))*'Uplifters Inputs'!$B$36+(AC29+AC30)*'Uplifters Inputs'!$B$37+AC29*'Uplifters Inputs'!$B$38</f>
        <v>2150</v>
      </c>
      <c r="AD31" s="124" t="n">
        <f aca="false">MIN(AD29+AD30,MAX(0,'Uplifters Inputs'!$B$35-(SUMIFS($B$29:$CS$29,$B$6:$CS$6,AD6,$B$5:$CS$5,"&lt;"&amp;AD5)+SUMIFS($B$30:$CS$30,$B$6:$CS$6,AD6,$B$5:$CS$5,"&lt;"&amp;AD5))))*'Uplifters Inputs'!$B$36+(AD29+AD30)*'Uplifters Inputs'!$B$37+AD29*'Uplifters Inputs'!$B$38</f>
        <v>2150</v>
      </c>
      <c r="AE31" s="124" t="n">
        <f aca="false">MIN(AE29+AE30,MAX(0,'Uplifters Inputs'!$B$35-(SUMIFS($B$29:$CS$29,$B$6:$CS$6,AE6,$B$5:$CS$5,"&lt;"&amp;AE5)+SUMIFS($B$30:$CS$30,$B$6:$CS$6,AE6,$B$5:$CS$5,"&lt;"&amp;AE5))))*'Uplifters Inputs'!$B$36+(AE29+AE30)*'Uplifters Inputs'!$B$37+AE29*'Uplifters Inputs'!$B$38</f>
        <v>2150</v>
      </c>
      <c r="AF31" s="124" t="n">
        <f aca="false">MIN(AF29+AF30,MAX(0,'Uplifters Inputs'!$B$35-(SUMIFS($B$29:$CS$29,$B$6:$CS$6,AF6,$B$5:$CS$5,"&lt;"&amp;AF5)+SUMIFS($B$30:$CS$30,$B$6:$CS$6,AF6,$B$5:$CS$5,"&lt;"&amp;AF5))))*'Uplifters Inputs'!$B$36+(AF29+AF30)*'Uplifters Inputs'!$B$37+AF29*'Uplifters Inputs'!$B$38</f>
        <v>2150</v>
      </c>
      <c r="AG31" s="124" t="n">
        <f aca="false">MIN(AG29+AG30,MAX(0,'Uplifters Inputs'!$B$35-(SUMIFS($B$29:$CS$29,$B$6:$CS$6,AG6,$B$5:$CS$5,"&lt;"&amp;AG5)+SUMIFS($B$30:$CS$30,$B$6:$CS$6,AG6,$B$5:$CS$5,"&lt;"&amp;AG5))))*'Uplifters Inputs'!$B$36+(AG29+AG30)*'Uplifters Inputs'!$B$37+AG29*'Uplifters Inputs'!$B$38</f>
        <v>2150</v>
      </c>
      <c r="AH31" s="124" t="n">
        <f aca="false">MIN(AH29+AH30,MAX(0,'Uplifters Inputs'!$B$35-(SUMIFS($B$29:$CS$29,$B$6:$CS$6,AH6,$B$5:$CS$5,"&lt;"&amp;AH5)+SUMIFS($B$30:$CS$30,$B$6:$CS$6,AH6,$B$5:$CS$5,"&lt;"&amp;AH5))))*'Uplifters Inputs'!$B$36+(AH29+AH30)*'Uplifters Inputs'!$B$37+AH29*'Uplifters Inputs'!$B$38</f>
        <v>2150</v>
      </c>
      <c r="AI31" s="124" t="n">
        <f aca="false">MIN(AI29+AI30,MAX(0,'Uplifters Inputs'!$B$35-(SUMIFS($B$29:$CS$29,$B$6:$CS$6,AI6,$B$5:$CS$5,"&lt;"&amp;AI5)+SUMIFS($B$30:$CS$30,$B$6:$CS$6,AI6,$B$5:$CS$5,"&lt;"&amp;AI5))))*'Uplifters Inputs'!$B$36+(AI29+AI30)*'Uplifters Inputs'!$B$37+AI29*'Uplifters Inputs'!$B$38</f>
        <v>2150</v>
      </c>
      <c r="AJ31" s="124" t="n">
        <f aca="false">MIN(AJ29+AJ30,MAX(0,'Uplifters Inputs'!$B$35-(SUMIFS($B$29:$CS$29,$B$6:$CS$6,AJ6,$B$5:$CS$5,"&lt;"&amp;AJ5)+SUMIFS($B$30:$CS$30,$B$6:$CS$6,AJ6,$B$5:$CS$5,"&lt;"&amp;AJ5))))*'Uplifters Inputs'!$B$36+(AJ29+AJ30)*'Uplifters Inputs'!$B$37+AJ29*'Uplifters Inputs'!$B$38</f>
        <v>2150</v>
      </c>
      <c r="AK31" s="124" t="n">
        <f aca="false">MIN(AK29+AK30,MAX(0,'Uplifters Inputs'!$B$35-(SUMIFS($B$29:$CS$29,$B$6:$CS$6,AK6,$B$5:$CS$5,"&lt;"&amp;AK5)+SUMIFS($B$30:$CS$30,$B$6:$CS$6,AK6,$B$5:$CS$5,"&lt;"&amp;AK5))))*'Uplifters Inputs'!$B$36+(AK29+AK30)*'Uplifters Inputs'!$B$37+AK29*'Uplifters Inputs'!$B$38</f>
        <v>2150</v>
      </c>
      <c r="AL31" s="124" t="n">
        <f aca="false">MIN(AL29+AL30,MAX(0,'Uplifters Inputs'!$B$35-(SUMIFS($B$29:$CS$29,$B$6:$CS$6,AL6,$B$5:$CS$5,"&lt;"&amp;AL5)+SUMIFS($B$30:$CS$30,$B$6:$CS$6,AL6,$B$5:$CS$5,"&lt;"&amp;AL5))))*'Uplifters Inputs'!$B$36+(AL29+AL30)*'Uplifters Inputs'!$B$37+AL29*'Uplifters Inputs'!$B$38</f>
        <v>4216.66666666667</v>
      </c>
      <c r="AM31" s="124" t="n">
        <f aca="false">MIN(AM29+AM30,MAX(0,'Uplifters Inputs'!$B$35-(SUMIFS($B$29:$CS$29,$B$6:$CS$6,AM6,$B$5:$CS$5,"&lt;"&amp;AM5)+SUMIFS($B$30:$CS$30,$B$6:$CS$6,AM6,$B$5:$CS$5,"&lt;"&amp;AM5))))*'Uplifters Inputs'!$B$36+(AM29+AM30)*'Uplifters Inputs'!$B$37+AM29*'Uplifters Inputs'!$B$38</f>
        <v>4216.66666666667</v>
      </c>
      <c r="AN31" s="124" t="n">
        <f aca="false">MIN(AN29+AN30,MAX(0,'Uplifters Inputs'!$B$35-(SUMIFS($B$29:$CS$29,$B$6:$CS$6,AN6,$B$5:$CS$5,"&lt;"&amp;AN5)+SUMIFS($B$30:$CS$30,$B$6:$CS$6,AN6,$B$5:$CS$5,"&lt;"&amp;AN5))))*'Uplifters Inputs'!$B$36+(AN29+AN30)*'Uplifters Inputs'!$B$37+AN29*'Uplifters Inputs'!$B$38</f>
        <v>15344.2777777778</v>
      </c>
      <c r="AO31" s="124" t="n">
        <f aca="false">MIN(AO29+AO30,MAX(0,'Uplifters Inputs'!$B$35-(SUMIFS($B$29:$CS$29,$B$6:$CS$6,AO6,$B$5:$CS$5,"&lt;"&amp;AO5)+SUMIFS($B$30:$CS$30,$B$6:$CS$6,AO6,$B$5:$CS$5,"&lt;"&amp;AO5))))*'Uplifters Inputs'!$B$36+(AO29+AO30)*'Uplifters Inputs'!$B$37+AO29*'Uplifters Inputs'!$B$38</f>
        <v>2150</v>
      </c>
      <c r="AP31" s="124" t="n">
        <f aca="false">MIN(AP29+AP30,MAX(0,'Uplifters Inputs'!$B$35-(SUMIFS($B$29:$CS$29,$B$6:$CS$6,AP6,$B$5:$CS$5,"&lt;"&amp;AP5)+SUMIFS($B$30:$CS$30,$B$6:$CS$6,AP6,$B$5:$CS$5,"&lt;"&amp;AP5))))*'Uplifters Inputs'!$B$36+(AP29+AP30)*'Uplifters Inputs'!$B$37+AP29*'Uplifters Inputs'!$B$38</f>
        <v>2150</v>
      </c>
      <c r="AQ31" s="124" t="n">
        <f aca="false">MIN(AQ29+AQ30,MAX(0,'Uplifters Inputs'!$B$35-(SUMIFS($B$29:$CS$29,$B$6:$CS$6,AQ6,$B$5:$CS$5,"&lt;"&amp;AQ5)+SUMIFS($B$30:$CS$30,$B$6:$CS$6,AQ6,$B$5:$CS$5,"&lt;"&amp;AQ5))))*'Uplifters Inputs'!$B$36+(AQ29+AQ30)*'Uplifters Inputs'!$B$37+AQ29*'Uplifters Inputs'!$B$38</f>
        <v>2150</v>
      </c>
      <c r="AR31" s="124" t="n">
        <f aca="false">MIN(AR29+AR30,MAX(0,'Uplifters Inputs'!$B$35-(SUMIFS($B$29:$CS$29,$B$6:$CS$6,AR6,$B$5:$CS$5,"&lt;"&amp;AR5)+SUMIFS($B$30:$CS$30,$B$6:$CS$6,AR6,$B$5:$CS$5,"&lt;"&amp;AR5))))*'Uplifters Inputs'!$B$36+(AR29+AR30)*'Uplifters Inputs'!$B$37+AR29*'Uplifters Inputs'!$B$38</f>
        <v>2150</v>
      </c>
      <c r="AS31" s="124" t="n">
        <f aca="false">MIN(AS29+AS30,MAX(0,'Uplifters Inputs'!$B$35-(SUMIFS($B$29:$CS$29,$B$6:$CS$6,AS6,$B$5:$CS$5,"&lt;"&amp;AS5)+SUMIFS($B$30:$CS$30,$B$6:$CS$6,AS6,$B$5:$CS$5,"&lt;"&amp;AS5))))*'Uplifters Inputs'!$B$36+(AS29+AS30)*'Uplifters Inputs'!$B$37+AS29*'Uplifters Inputs'!$B$38</f>
        <v>2150</v>
      </c>
      <c r="AT31" s="124" t="n">
        <f aca="false">MIN(AT29+AT30,MAX(0,'Uplifters Inputs'!$B$35-(SUMIFS($B$29:$CS$29,$B$6:$CS$6,AT6,$B$5:$CS$5,"&lt;"&amp;AT5)+SUMIFS($B$30:$CS$30,$B$6:$CS$6,AT6,$B$5:$CS$5,"&lt;"&amp;AT5))))*'Uplifters Inputs'!$B$36+(AT29+AT30)*'Uplifters Inputs'!$B$37+AT29*'Uplifters Inputs'!$B$38</f>
        <v>2150</v>
      </c>
      <c r="AU31" s="124" t="n">
        <f aca="false">MIN(AU29+AU30,MAX(0,'Uplifters Inputs'!$B$35-(SUMIFS($B$29:$CS$29,$B$6:$CS$6,AU6,$B$5:$CS$5,"&lt;"&amp;AU5)+SUMIFS($B$30:$CS$30,$B$6:$CS$6,AU6,$B$5:$CS$5,"&lt;"&amp;AU5))))*'Uplifters Inputs'!$B$36+(AU29+AU30)*'Uplifters Inputs'!$B$37+AU29*'Uplifters Inputs'!$B$38</f>
        <v>2150</v>
      </c>
      <c r="AV31" s="124" t="n">
        <f aca="false">MIN(AV29+AV30,MAX(0,'Uplifters Inputs'!$B$35-(SUMIFS($B$29:$CS$29,$B$6:$CS$6,AV6,$B$5:$CS$5,"&lt;"&amp;AV5)+SUMIFS($B$30:$CS$30,$B$6:$CS$6,AV6,$B$5:$CS$5,"&lt;"&amp;AV5))))*'Uplifters Inputs'!$B$36+(AV29+AV30)*'Uplifters Inputs'!$B$37+AV29*'Uplifters Inputs'!$B$38</f>
        <v>2150</v>
      </c>
      <c r="AW31" s="124" t="n">
        <f aca="false">MIN(AW29+AW30,MAX(0,'Uplifters Inputs'!$B$35-(SUMIFS($B$29:$CS$29,$B$6:$CS$6,AW6,$B$5:$CS$5,"&lt;"&amp;AW5)+SUMIFS($B$30:$CS$30,$B$6:$CS$6,AW6,$B$5:$CS$5,"&lt;"&amp;AW5))))*'Uplifters Inputs'!$B$36+(AW29+AW30)*'Uplifters Inputs'!$B$37+AW29*'Uplifters Inputs'!$B$38</f>
        <v>2150</v>
      </c>
      <c r="AX31" s="124" t="n">
        <f aca="false">MIN(AX29+AX30,MAX(0,'Uplifters Inputs'!$B$35-(SUMIFS($B$29:$CS$29,$B$6:$CS$6,AX6,$B$5:$CS$5,"&lt;"&amp;AX5)+SUMIFS($B$30:$CS$30,$B$6:$CS$6,AX6,$B$5:$CS$5,"&lt;"&amp;AX5))))*'Uplifters Inputs'!$B$36+(AX29+AX30)*'Uplifters Inputs'!$B$37+AX29*'Uplifters Inputs'!$B$38</f>
        <v>4216.66666666667</v>
      </c>
      <c r="AY31" s="124" t="n">
        <f aca="false">MIN(AY29+AY30,MAX(0,'Uplifters Inputs'!$B$35-(SUMIFS($B$29:$CS$29,$B$6:$CS$6,AY6,$B$5:$CS$5,"&lt;"&amp;AY5)+SUMIFS($B$30:$CS$30,$B$6:$CS$6,AY6,$B$5:$CS$5,"&lt;"&amp;AY5))))*'Uplifters Inputs'!$B$36+(AY29+AY30)*'Uplifters Inputs'!$B$37+AY29*'Uplifters Inputs'!$B$38</f>
        <v>4216.66666666667</v>
      </c>
      <c r="AZ31" s="124" t="n">
        <f aca="false">MIN(AZ29+AZ30,MAX(0,'Uplifters Inputs'!$B$35-(SUMIFS($B$29:$CS$29,$B$6:$CS$6,AZ6,$B$5:$CS$5,"&lt;"&amp;AZ5)+SUMIFS($B$30:$CS$30,$B$6:$CS$6,AZ6,$B$5:$CS$5,"&lt;"&amp;AZ5))))*'Uplifters Inputs'!$B$36+(AZ29+AZ30)*'Uplifters Inputs'!$B$37+AZ29*'Uplifters Inputs'!$B$38</f>
        <v>13700.9444444444</v>
      </c>
      <c r="BA31" s="124" t="n">
        <f aca="false">MIN(BA29+BA30,MAX(0,'Uplifters Inputs'!$B$35-(SUMIFS($B$29:$CS$29,$B$6:$CS$6,BA6,$B$5:$CS$5,"&lt;"&amp;BA5)+SUMIFS($B$30:$CS$30,$B$6:$CS$6,BA6,$B$5:$CS$5,"&lt;"&amp;BA5))))*'Uplifters Inputs'!$B$36+(BA29+BA30)*'Uplifters Inputs'!$B$37+BA29*'Uplifters Inputs'!$B$38</f>
        <v>2150</v>
      </c>
      <c r="BB31" s="124" t="n">
        <f aca="false">MIN(BB29+BB30,MAX(0,'Uplifters Inputs'!$B$35-(SUMIFS($B$29:$CS$29,$B$6:$CS$6,BB6,$B$5:$CS$5,"&lt;"&amp;BB5)+SUMIFS($B$30:$CS$30,$B$6:$CS$6,BB6,$B$5:$CS$5,"&lt;"&amp;BB5))))*'Uplifters Inputs'!$B$36+(BB29+BB30)*'Uplifters Inputs'!$B$37+BB29*'Uplifters Inputs'!$B$38</f>
        <v>2150</v>
      </c>
      <c r="BC31" s="124" t="n">
        <f aca="false">MIN(BC29+BC30,MAX(0,'Uplifters Inputs'!$B$35-(SUMIFS($B$29:$CS$29,$B$6:$CS$6,BC6,$B$5:$CS$5,"&lt;"&amp;BC5)+SUMIFS($B$30:$CS$30,$B$6:$CS$6,BC6,$B$5:$CS$5,"&lt;"&amp;BC5))))*'Uplifters Inputs'!$B$36+(BC29+BC30)*'Uplifters Inputs'!$B$37+BC29*'Uplifters Inputs'!$B$38</f>
        <v>2150</v>
      </c>
      <c r="BD31" s="124" t="n">
        <f aca="false">MIN(BD29+BD30,MAX(0,'Uplifters Inputs'!$B$35-(SUMIFS($B$29:$CS$29,$B$6:$CS$6,BD6,$B$5:$CS$5,"&lt;"&amp;BD5)+SUMIFS($B$30:$CS$30,$B$6:$CS$6,BD6,$B$5:$CS$5,"&lt;"&amp;BD5))))*'Uplifters Inputs'!$B$36+(BD29+BD30)*'Uplifters Inputs'!$B$37+BD29*'Uplifters Inputs'!$B$38</f>
        <v>2150</v>
      </c>
      <c r="BE31" s="124" t="n">
        <f aca="false">MIN(BE29+BE30,MAX(0,'Uplifters Inputs'!$B$35-(SUMIFS($B$29:$CS$29,$B$6:$CS$6,BE6,$B$5:$CS$5,"&lt;"&amp;BE5)+SUMIFS($B$30:$CS$30,$B$6:$CS$6,BE6,$B$5:$CS$5,"&lt;"&amp;BE5))))*'Uplifters Inputs'!$B$36+(BE29+BE30)*'Uplifters Inputs'!$B$37+BE29*'Uplifters Inputs'!$B$38</f>
        <v>2150</v>
      </c>
      <c r="BF31" s="124" t="n">
        <f aca="false">MIN(BF29+BF30,MAX(0,'Uplifters Inputs'!$B$35-(SUMIFS($B$29:$CS$29,$B$6:$CS$6,BF6,$B$5:$CS$5,"&lt;"&amp;BF5)+SUMIFS($B$30:$CS$30,$B$6:$CS$6,BF6,$B$5:$CS$5,"&lt;"&amp;BF5))))*'Uplifters Inputs'!$B$36+(BF29+BF30)*'Uplifters Inputs'!$B$37+BF29*'Uplifters Inputs'!$B$38</f>
        <v>2150</v>
      </c>
      <c r="BG31" s="124" t="n">
        <f aca="false">MIN(BG29+BG30,MAX(0,'Uplifters Inputs'!$B$35-(SUMIFS($B$29:$CS$29,$B$6:$CS$6,BG6,$B$5:$CS$5,"&lt;"&amp;BG5)+SUMIFS($B$30:$CS$30,$B$6:$CS$6,BG6,$B$5:$CS$5,"&lt;"&amp;BG5))))*'Uplifters Inputs'!$B$36+(BG29+BG30)*'Uplifters Inputs'!$B$37+BG29*'Uplifters Inputs'!$B$38</f>
        <v>2150</v>
      </c>
      <c r="BH31" s="124" t="n">
        <f aca="false">MIN(BH29+BH30,MAX(0,'Uplifters Inputs'!$B$35-(SUMIFS($B$29:$CS$29,$B$6:$CS$6,BH6,$B$5:$CS$5,"&lt;"&amp;BH5)+SUMIFS($B$30:$CS$30,$B$6:$CS$6,BH6,$B$5:$CS$5,"&lt;"&amp;BH5))))*'Uplifters Inputs'!$B$36+(BH29+BH30)*'Uplifters Inputs'!$B$37+BH29*'Uplifters Inputs'!$B$38</f>
        <v>2150</v>
      </c>
      <c r="BI31" s="124" t="n">
        <f aca="false">MIN(BI29+BI30,MAX(0,'Uplifters Inputs'!$B$35-(SUMIFS($B$29:$CS$29,$B$6:$CS$6,BI6,$B$5:$CS$5,"&lt;"&amp;BI5)+SUMIFS($B$30:$CS$30,$B$6:$CS$6,BI6,$B$5:$CS$5,"&lt;"&amp;BI5))))*'Uplifters Inputs'!$B$36+(BI29+BI30)*'Uplifters Inputs'!$B$37+BI29*'Uplifters Inputs'!$B$38</f>
        <v>2150</v>
      </c>
      <c r="BJ31" s="124" t="n">
        <f aca="false">MIN(BJ29+BJ30,MAX(0,'Uplifters Inputs'!$B$35-(SUMIFS($B$29:$CS$29,$B$6:$CS$6,BJ6,$B$5:$CS$5,"&lt;"&amp;BJ5)+SUMIFS($B$30:$CS$30,$B$6:$CS$6,BJ6,$B$5:$CS$5,"&lt;"&amp;BJ5))))*'Uplifters Inputs'!$B$36+(BJ29+BJ30)*'Uplifters Inputs'!$B$37+BJ29*'Uplifters Inputs'!$B$38</f>
        <v>4216.66666666667</v>
      </c>
      <c r="BK31" s="124" t="n">
        <f aca="false">MIN(BK29+BK30,MAX(0,'Uplifters Inputs'!$B$35-(SUMIFS($B$29:$CS$29,$B$6:$CS$6,BK6,$B$5:$CS$5,"&lt;"&amp;BK5)+SUMIFS($B$30:$CS$30,$B$6:$CS$6,BK6,$B$5:$CS$5,"&lt;"&amp;BK5))))*'Uplifters Inputs'!$B$36+(BK29+BK30)*'Uplifters Inputs'!$B$37+BK29*'Uplifters Inputs'!$B$38</f>
        <v>4216.66666666667</v>
      </c>
      <c r="BL31" s="124" t="n">
        <f aca="false">MIN(BL29+BL30,MAX(0,'Uplifters Inputs'!$B$35-(SUMIFS($B$29:$CS$29,$B$6:$CS$6,BL6,$B$5:$CS$5,"&lt;"&amp;BL5)+SUMIFS($B$30:$CS$30,$B$6:$CS$6,BL6,$B$5:$CS$5,"&lt;"&amp;BL5))))*'Uplifters Inputs'!$B$36+(BL29+BL30)*'Uplifters Inputs'!$B$37+BL29*'Uplifters Inputs'!$B$38</f>
        <v>7829.16666666667</v>
      </c>
      <c r="BM31" s="124" t="n">
        <f aca="false">MIN(BM29+BM30,MAX(0,'Uplifters Inputs'!$B$35-(SUMIFS($B$29:$CS$29,$B$6:$CS$6,BM6,$B$5:$CS$5,"&lt;"&amp;BM5)+SUMIFS($B$30:$CS$30,$B$6:$CS$6,BM6,$B$5:$CS$5,"&lt;"&amp;BM5))))*'Uplifters Inputs'!$B$36+(BM29+BM30)*'Uplifters Inputs'!$B$37+BM29*'Uplifters Inputs'!$B$38</f>
        <v>4216.66666666667</v>
      </c>
      <c r="BN31" s="124" t="n">
        <f aca="false">MIN(BN29+BN30,MAX(0,'Uplifters Inputs'!$B$35-(SUMIFS($B$29:$CS$29,$B$6:$CS$6,BN6,$B$5:$CS$5,"&lt;"&amp;BN5)+SUMIFS($B$30:$CS$30,$B$6:$CS$6,BN6,$B$5:$CS$5,"&lt;"&amp;BN5))))*'Uplifters Inputs'!$B$36+(BN29+BN30)*'Uplifters Inputs'!$B$37+BN29*'Uplifters Inputs'!$B$38</f>
        <v>2394.55555555556</v>
      </c>
      <c r="BO31" s="124" t="n">
        <f aca="false">MIN(BO29+BO30,MAX(0,'Uplifters Inputs'!$B$35-(SUMIFS($B$29:$CS$29,$B$6:$CS$6,BO6,$B$5:$CS$5,"&lt;"&amp;BO5)+SUMIFS($B$30:$CS$30,$B$6:$CS$6,BO6,$B$5:$CS$5,"&lt;"&amp;BO5))))*'Uplifters Inputs'!$B$36+(BO29+BO30)*'Uplifters Inputs'!$B$37+BO29*'Uplifters Inputs'!$B$38</f>
        <v>2150</v>
      </c>
      <c r="BP31" s="124" t="n">
        <f aca="false">MIN(BP29+BP30,MAX(0,'Uplifters Inputs'!$B$35-(SUMIFS($B$29:$CS$29,$B$6:$CS$6,BP6,$B$5:$CS$5,"&lt;"&amp;BP5)+SUMIFS($B$30:$CS$30,$B$6:$CS$6,BP6,$B$5:$CS$5,"&lt;"&amp;BP5))))*'Uplifters Inputs'!$B$36+(BP29+BP30)*'Uplifters Inputs'!$B$37+BP29*'Uplifters Inputs'!$B$38</f>
        <v>2150</v>
      </c>
      <c r="BQ31" s="124" t="n">
        <f aca="false">MIN(BQ29+BQ30,MAX(0,'Uplifters Inputs'!$B$35-(SUMIFS($B$29:$CS$29,$B$6:$CS$6,BQ6,$B$5:$CS$5,"&lt;"&amp;BQ5)+SUMIFS($B$30:$CS$30,$B$6:$CS$6,BQ6,$B$5:$CS$5,"&lt;"&amp;BQ5))))*'Uplifters Inputs'!$B$36+(BQ29+BQ30)*'Uplifters Inputs'!$B$37+BQ29*'Uplifters Inputs'!$B$38</f>
        <v>2150</v>
      </c>
      <c r="BR31" s="124" t="n">
        <f aca="false">MIN(BR29+BR30,MAX(0,'Uplifters Inputs'!$B$35-(SUMIFS($B$29:$CS$29,$B$6:$CS$6,BR6,$B$5:$CS$5,"&lt;"&amp;BR5)+SUMIFS($B$30:$CS$30,$B$6:$CS$6,BR6,$B$5:$CS$5,"&lt;"&amp;BR5))))*'Uplifters Inputs'!$B$36+(BR29+BR30)*'Uplifters Inputs'!$B$37+BR29*'Uplifters Inputs'!$B$38</f>
        <v>2150</v>
      </c>
      <c r="BS31" s="124" t="n">
        <f aca="false">MIN(BS29+BS30,MAX(0,'Uplifters Inputs'!$B$35-(SUMIFS($B$29:$CS$29,$B$6:$CS$6,BS6,$B$5:$CS$5,"&lt;"&amp;BS5)+SUMIFS($B$30:$CS$30,$B$6:$CS$6,BS6,$B$5:$CS$5,"&lt;"&amp;BS5))))*'Uplifters Inputs'!$B$36+(BS29+BS30)*'Uplifters Inputs'!$B$37+BS29*'Uplifters Inputs'!$B$38</f>
        <v>0</v>
      </c>
      <c r="BT31" s="124" t="n">
        <f aca="false">MIN(BT29+BT30,MAX(0,'Uplifters Inputs'!$B$35-(SUMIFS($B$29:$CS$29,$B$6:$CS$6,BT6,$B$5:$CS$5,"&lt;"&amp;BT5)+SUMIFS($B$30:$CS$30,$B$6:$CS$6,BT6,$B$5:$CS$5,"&lt;"&amp;BT5))))*'Uplifters Inputs'!$B$36+(BT29+BT30)*'Uplifters Inputs'!$B$37+BT29*'Uplifters Inputs'!$B$38</f>
        <v>0</v>
      </c>
      <c r="BU31" s="124" t="n">
        <f aca="false">MIN(BU29+BU30,MAX(0,'Uplifters Inputs'!$B$35-(SUMIFS($B$29:$CS$29,$B$6:$CS$6,BU6,$B$5:$CS$5,"&lt;"&amp;BU5)+SUMIFS($B$30:$CS$30,$B$6:$CS$6,BU6,$B$5:$CS$5,"&lt;"&amp;BU5))))*'Uplifters Inputs'!$B$36+(BU29+BU30)*'Uplifters Inputs'!$B$37+BU29*'Uplifters Inputs'!$B$38</f>
        <v>0</v>
      </c>
      <c r="BV31" s="124" t="n">
        <f aca="false">MIN(BV29+BV30,MAX(0,'Uplifters Inputs'!$B$35-(SUMIFS($B$29:$CS$29,$B$6:$CS$6,BV6,$B$5:$CS$5,"&lt;"&amp;BV5)+SUMIFS($B$30:$CS$30,$B$6:$CS$6,BV6,$B$5:$CS$5,"&lt;"&amp;BV5))))*'Uplifters Inputs'!$B$36+(BV29+BV30)*'Uplifters Inputs'!$B$37+BV29*'Uplifters Inputs'!$B$38</f>
        <v>0</v>
      </c>
      <c r="BW31" s="124" t="n">
        <f aca="false">MIN(BW29+BW30,MAX(0,'Uplifters Inputs'!$B$35-(SUMIFS($B$29:$CS$29,$B$6:$CS$6,BW6,$B$5:$CS$5,"&lt;"&amp;BW5)+SUMIFS($B$30:$CS$30,$B$6:$CS$6,BW6,$B$5:$CS$5,"&lt;"&amp;BW5))))*'Uplifters Inputs'!$B$36+(BW29+BW30)*'Uplifters Inputs'!$B$37+BW29*'Uplifters Inputs'!$B$38</f>
        <v>0</v>
      </c>
      <c r="BX31" s="124" t="n">
        <f aca="false">MIN(BX29+BX30,MAX(0,'Uplifters Inputs'!$B$35-(SUMIFS($B$29:$CS$29,$B$6:$CS$6,BX6,$B$5:$CS$5,"&lt;"&amp;BX5)+SUMIFS($B$30:$CS$30,$B$6:$CS$6,BX6,$B$5:$CS$5,"&lt;"&amp;BX5))))*'Uplifters Inputs'!$B$36+(BX29+BX30)*'Uplifters Inputs'!$B$37+BX29*'Uplifters Inputs'!$B$38</f>
        <v>0</v>
      </c>
      <c r="BY31" s="124" t="n">
        <f aca="false">MIN(BY29+BY30,MAX(0,'Uplifters Inputs'!$B$35-(SUMIFS($B$29:$CS$29,$B$6:$CS$6,BY6,$B$5:$CS$5,"&lt;"&amp;BY5)+SUMIFS($B$30:$CS$30,$B$6:$CS$6,BY6,$B$5:$CS$5,"&lt;"&amp;BY5))))*'Uplifters Inputs'!$B$36+(BY29+BY30)*'Uplifters Inputs'!$B$37+BY29*'Uplifters Inputs'!$B$38</f>
        <v>0</v>
      </c>
      <c r="BZ31" s="124" t="n">
        <f aca="false">MIN(BZ29+BZ30,MAX(0,'Uplifters Inputs'!$B$35-(SUMIFS($B$29:$CS$29,$B$6:$CS$6,BZ6,$B$5:$CS$5,"&lt;"&amp;BZ5)+SUMIFS($B$30:$CS$30,$B$6:$CS$6,BZ6,$B$5:$CS$5,"&lt;"&amp;BZ5))))*'Uplifters Inputs'!$B$36+(BZ29+BZ30)*'Uplifters Inputs'!$B$37+BZ29*'Uplifters Inputs'!$B$38</f>
        <v>0</v>
      </c>
      <c r="CA31" s="124" t="n">
        <f aca="false">MIN(CA29+CA30,MAX(0,'Uplifters Inputs'!$B$35-(SUMIFS($B$29:$CS$29,$B$6:$CS$6,CA6,$B$5:$CS$5,"&lt;"&amp;CA5)+SUMIFS($B$30:$CS$30,$B$6:$CS$6,CA6,$B$5:$CS$5,"&lt;"&amp;CA5))))*'Uplifters Inputs'!$B$36+(CA29+CA30)*'Uplifters Inputs'!$B$37+CA29*'Uplifters Inputs'!$B$38</f>
        <v>0</v>
      </c>
      <c r="CB31" s="124" t="n">
        <f aca="false">MIN(CB29+CB30,MAX(0,'Uplifters Inputs'!$B$35-(SUMIFS($B$29:$CS$29,$B$6:$CS$6,CB6,$B$5:$CS$5,"&lt;"&amp;CB5)+SUMIFS($B$30:$CS$30,$B$6:$CS$6,CB6,$B$5:$CS$5,"&lt;"&amp;CB5))))*'Uplifters Inputs'!$B$36+(CB29+CB30)*'Uplifters Inputs'!$B$37+CB29*'Uplifters Inputs'!$B$38</f>
        <v>0</v>
      </c>
      <c r="CC31" s="124" t="n">
        <f aca="false">MIN(CC29+CC30,MAX(0,'Uplifters Inputs'!$B$35-(SUMIFS($B$29:$CS$29,$B$6:$CS$6,CC6,$B$5:$CS$5,"&lt;"&amp;CC5)+SUMIFS($B$30:$CS$30,$B$6:$CS$6,CC6,$B$5:$CS$5,"&lt;"&amp;CC5))))*'Uplifters Inputs'!$B$36+(CC29+CC30)*'Uplifters Inputs'!$B$37+CC29*'Uplifters Inputs'!$B$38</f>
        <v>0</v>
      </c>
      <c r="CD31" s="124" t="n">
        <f aca="false">MIN(CD29+CD30,MAX(0,'Uplifters Inputs'!$B$35-(SUMIFS($B$29:$CS$29,$B$6:$CS$6,CD6,$B$5:$CS$5,"&lt;"&amp;CD5)+SUMIFS($B$30:$CS$30,$B$6:$CS$6,CD6,$B$5:$CS$5,"&lt;"&amp;CD5))))*'Uplifters Inputs'!$B$36+(CD29+CD30)*'Uplifters Inputs'!$B$37+CD29*'Uplifters Inputs'!$B$38</f>
        <v>0</v>
      </c>
      <c r="CE31" s="124" t="n">
        <f aca="false">MIN(CE29+CE30,MAX(0,'Uplifters Inputs'!$B$35-(SUMIFS($B$29:$CS$29,$B$6:$CS$6,CE6,$B$5:$CS$5,"&lt;"&amp;CE5)+SUMIFS($B$30:$CS$30,$B$6:$CS$6,CE6,$B$5:$CS$5,"&lt;"&amp;CE5))))*'Uplifters Inputs'!$B$36+(CE29+CE30)*'Uplifters Inputs'!$B$37+CE29*'Uplifters Inputs'!$B$38</f>
        <v>0</v>
      </c>
      <c r="CF31" s="124" t="n">
        <f aca="false">MIN(CF29+CF30,MAX(0,'Uplifters Inputs'!$B$35-(SUMIFS($B$29:$CS$29,$B$6:$CS$6,CF6,$B$5:$CS$5,"&lt;"&amp;CF5)+SUMIFS($B$30:$CS$30,$B$6:$CS$6,CF6,$B$5:$CS$5,"&lt;"&amp;CF5))))*'Uplifters Inputs'!$B$36+(CF29+CF30)*'Uplifters Inputs'!$B$37+CF29*'Uplifters Inputs'!$B$38</f>
        <v>0</v>
      </c>
      <c r="CG31" s="124" t="n">
        <f aca="false">MIN(CG29+CG30,MAX(0,'Uplifters Inputs'!$B$35-(SUMIFS($B$29:$CS$29,$B$6:$CS$6,CG6,$B$5:$CS$5,"&lt;"&amp;CG5)+SUMIFS($B$30:$CS$30,$B$6:$CS$6,CG6,$B$5:$CS$5,"&lt;"&amp;CG5))))*'Uplifters Inputs'!$B$36+(CG29+CG30)*'Uplifters Inputs'!$B$37+CG29*'Uplifters Inputs'!$B$38</f>
        <v>0</v>
      </c>
      <c r="CH31" s="124" t="n">
        <f aca="false">MIN(CH29+CH30,MAX(0,'Uplifters Inputs'!$B$35-(SUMIFS($B$29:$CS$29,$B$6:$CS$6,CH6,$B$5:$CS$5,"&lt;"&amp;CH5)+SUMIFS($B$30:$CS$30,$B$6:$CS$6,CH6,$B$5:$CS$5,"&lt;"&amp;CH5))))*'Uplifters Inputs'!$B$36+(CH29+CH30)*'Uplifters Inputs'!$B$37+CH29*'Uplifters Inputs'!$B$38</f>
        <v>0</v>
      </c>
      <c r="CI31" s="124" t="n">
        <f aca="false">MIN(CI29+CI30,MAX(0,'Uplifters Inputs'!$B$35-(SUMIFS($B$29:$CS$29,$B$6:$CS$6,CI6,$B$5:$CS$5,"&lt;"&amp;CI5)+SUMIFS($B$30:$CS$30,$B$6:$CS$6,CI6,$B$5:$CS$5,"&lt;"&amp;CI5))))*'Uplifters Inputs'!$B$36+(CI29+CI30)*'Uplifters Inputs'!$B$37+CI29*'Uplifters Inputs'!$B$38</f>
        <v>0</v>
      </c>
      <c r="CJ31" s="124" t="n">
        <f aca="false">MIN(CJ29+CJ30,MAX(0,'Uplifters Inputs'!$B$35-(SUMIFS($B$29:$CS$29,$B$6:$CS$6,CJ6,$B$5:$CS$5,"&lt;"&amp;CJ5)+SUMIFS($B$30:$CS$30,$B$6:$CS$6,CJ6,$B$5:$CS$5,"&lt;"&amp;CJ5))))*'Uplifters Inputs'!$B$36+(CJ29+CJ30)*'Uplifters Inputs'!$B$37+CJ29*'Uplifters Inputs'!$B$38</f>
        <v>0</v>
      </c>
      <c r="CK31" s="124" t="n">
        <f aca="false">MIN(CK29+CK30,MAX(0,'Uplifters Inputs'!$B$35-(SUMIFS($B$29:$CS$29,$B$6:$CS$6,CK6,$B$5:$CS$5,"&lt;"&amp;CK5)+SUMIFS($B$30:$CS$30,$B$6:$CS$6,CK6,$B$5:$CS$5,"&lt;"&amp;CK5))))*'Uplifters Inputs'!$B$36+(CK29+CK30)*'Uplifters Inputs'!$B$37+CK29*'Uplifters Inputs'!$B$38</f>
        <v>0</v>
      </c>
      <c r="CL31" s="124" t="n">
        <f aca="false">MIN(CL29+CL30,MAX(0,'Uplifters Inputs'!$B$35-(SUMIFS($B$29:$CS$29,$B$6:$CS$6,CL6,$B$5:$CS$5,"&lt;"&amp;CL5)+SUMIFS($B$30:$CS$30,$B$6:$CS$6,CL6,$B$5:$CS$5,"&lt;"&amp;CL5))))*'Uplifters Inputs'!$B$36+(CL29+CL30)*'Uplifters Inputs'!$B$37+CL29*'Uplifters Inputs'!$B$38</f>
        <v>0</v>
      </c>
      <c r="CM31" s="124" t="n">
        <f aca="false">MIN(CM29+CM30,MAX(0,'Uplifters Inputs'!$B$35-(SUMIFS($B$29:$CS$29,$B$6:$CS$6,CM6,$B$5:$CS$5,"&lt;"&amp;CM5)+SUMIFS($B$30:$CS$30,$B$6:$CS$6,CM6,$B$5:$CS$5,"&lt;"&amp;CM5))))*'Uplifters Inputs'!$B$36+(CM29+CM30)*'Uplifters Inputs'!$B$37+CM29*'Uplifters Inputs'!$B$38</f>
        <v>0</v>
      </c>
      <c r="CN31" s="124" t="n">
        <f aca="false">MIN(CN29+CN30,MAX(0,'Uplifters Inputs'!$B$35-(SUMIFS($B$29:$CS$29,$B$6:$CS$6,CN6,$B$5:$CS$5,"&lt;"&amp;CN5)+SUMIFS($B$30:$CS$30,$B$6:$CS$6,CN6,$B$5:$CS$5,"&lt;"&amp;CN5))))*'Uplifters Inputs'!$B$36+(CN29+CN30)*'Uplifters Inputs'!$B$37+CN29*'Uplifters Inputs'!$B$38</f>
        <v>0</v>
      </c>
      <c r="CO31" s="124" t="n">
        <f aca="false">MIN(CO29+CO30,MAX(0,'Uplifters Inputs'!$B$35-(SUMIFS($B$29:$CS$29,$B$6:$CS$6,CO6,$B$5:$CS$5,"&lt;"&amp;CO5)+SUMIFS($B$30:$CS$30,$B$6:$CS$6,CO6,$B$5:$CS$5,"&lt;"&amp;CO5))))*'Uplifters Inputs'!$B$36+(CO29+CO30)*'Uplifters Inputs'!$B$37+CO29*'Uplifters Inputs'!$B$38</f>
        <v>0</v>
      </c>
      <c r="CP31" s="124" t="n">
        <f aca="false">MIN(CP29+CP30,MAX(0,'Uplifters Inputs'!$B$35-(SUMIFS($B$29:$CS$29,$B$6:$CS$6,CP6,$B$5:$CS$5,"&lt;"&amp;CP5)+SUMIFS($B$30:$CS$30,$B$6:$CS$6,CP6,$B$5:$CS$5,"&lt;"&amp;CP5))))*'Uplifters Inputs'!$B$36+(CP29+CP30)*'Uplifters Inputs'!$B$37+CP29*'Uplifters Inputs'!$B$38</f>
        <v>0</v>
      </c>
      <c r="CQ31" s="124" t="n">
        <f aca="false">MIN(CQ29+CQ30,MAX(0,'Uplifters Inputs'!$B$35-(SUMIFS($B$29:$CS$29,$B$6:$CS$6,CQ6,$B$5:$CS$5,"&lt;"&amp;CQ5)+SUMIFS($B$30:$CS$30,$B$6:$CS$6,CQ6,$B$5:$CS$5,"&lt;"&amp;CQ5))))*'Uplifters Inputs'!$B$36+(CQ29+CQ30)*'Uplifters Inputs'!$B$37+CQ29*'Uplifters Inputs'!$B$38</f>
        <v>0</v>
      </c>
      <c r="CR31" s="124" t="n">
        <f aca="false">MIN(CR29+CR30,MAX(0,'Uplifters Inputs'!$B$35-(SUMIFS($B$29:$CS$29,$B$6:$CS$6,CR6,$B$5:$CS$5,"&lt;"&amp;CR5)+SUMIFS($B$30:$CS$30,$B$6:$CS$6,CR6,$B$5:$CS$5,"&lt;"&amp;CR5))))*'Uplifters Inputs'!$B$36+(CR29+CR30)*'Uplifters Inputs'!$B$37+CR29*'Uplifters Inputs'!$B$38</f>
        <v>0</v>
      </c>
      <c r="CS31" s="124"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3" t="s">
        <v>1430</v>
      </c>
      <c r="B32" s="124" t="n">
        <f aca="false">IF(AND(B5&gt;='Uplifters Inputs'!$B$59,B5&lt;'Uplifters Inputs'!$B$5),'Uplifters Inputs'!$B$58/12,0)</f>
        <v>0</v>
      </c>
      <c r="C32" s="124" t="n">
        <f aca="false">IF(AND(C5&gt;='Uplifters Inputs'!$B$59,C5&lt;'Uplifters Inputs'!$B$5),'Uplifters Inputs'!$B$58/12,0)</f>
        <v>0</v>
      </c>
      <c r="D32" s="124" t="n">
        <f aca="false">IF(AND(D5&gt;='Uplifters Inputs'!$B$59,D5&lt;'Uplifters Inputs'!$B$5),'Uplifters Inputs'!$B$58/12,0)</f>
        <v>0</v>
      </c>
      <c r="E32" s="124" t="n">
        <f aca="false">IF(AND(E5&gt;='Uplifters Inputs'!$B$59,E5&lt;'Uplifters Inputs'!$B$5),'Uplifters Inputs'!$B$58/12,0)</f>
        <v>0</v>
      </c>
      <c r="F32" s="124" t="n">
        <f aca="false">IF(AND(F5&gt;='Uplifters Inputs'!$B$59,F5&lt;'Uplifters Inputs'!$B$5),'Uplifters Inputs'!$B$58/12,0)</f>
        <v>0</v>
      </c>
      <c r="G32" s="124" t="n">
        <f aca="false">IF(AND(G5&gt;='Uplifters Inputs'!$B$59,G5&lt;'Uplifters Inputs'!$B$5),'Uplifters Inputs'!$B$58/12,0)</f>
        <v>0</v>
      </c>
      <c r="H32" s="124" t="n">
        <f aca="false">IF(AND(H5&gt;='Uplifters Inputs'!$B$59,H5&lt;'Uplifters Inputs'!$B$5),'Uplifters Inputs'!$B$58/12,0)</f>
        <v>0</v>
      </c>
      <c r="I32" s="124" t="n">
        <f aca="false">IF(AND(I5&gt;='Uplifters Inputs'!$B$59,I5&lt;'Uplifters Inputs'!$B$5),'Uplifters Inputs'!$B$58/12,0)</f>
        <v>0</v>
      </c>
      <c r="J32" s="124" t="n">
        <f aca="false">IF(AND(J5&gt;='Uplifters Inputs'!$B$59,J5&lt;'Uplifters Inputs'!$B$5),'Uplifters Inputs'!$B$58/12,0)</f>
        <v>0</v>
      </c>
      <c r="K32" s="124" t="n">
        <f aca="false">IF(AND(K5&gt;='Uplifters Inputs'!$B$59,K5&lt;'Uplifters Inputs'!$B$5),'Uplifters Inputs'!$B$58/12,0)</f>
        <v>9583.33333333333</v>
      </c>
      <c r="L32" s="124" t="n">
        <f aca="false">IF(AND(L5&gt;='Uplifters Inputs'!$B$59,L5&lt;'Uplifters Inputs'!$B$5),'Uplifters Inputs'!$B$58/12,0)</f>
        <v>9583.33333333333</v>
      </c>
      <c r="M32" s="124" t="n">
        <f aca="false">IF(AND(M5&gt;='Uplifters Inputs'!$B$59,M5&lt;'Uplifters Inputs'!$B$5),'Uplifters Inputs'!$B$58/12,0)</f>
        <v>9583.33333333333</v>
      </c>
      <c r="N32" s="124" t="n">
        <f aca="false">IF(AND(N5&gt;='Uplifters Inputs'!$B$59,N5&lt;'Uplifters Inputs'!$B$5),'Uplifters Inputs'!$B$58/12,0)</f>
        <v>9583.33333333333</v>
      </c>
      <c r="O32" s="124" t="n">
        <f aca="false">IF(AND(O5&gt;='Uplifters Inputs'!$B$59,O5&lt;'Uplifters Inputs'!$B$5),'Uplifters Inputs'!$B$58/12,0)</f>
        <v>0</v>
      </c>
      <c r="P32" s="124" t="n">
        <f aca="false">IF(AND(P5&gt;='Uplifters Inputs'!$B$59,P5&lt;'Uplifters Inputs'!$B$5),'Uplifters Inputs'!$B$58/12,0)</f>
        <v>0</v>
      </c>
      <c r="Q32" s="124" t="n">
        <f aca="false">IF(AND(Q5&gt;='Uplifters Inputs'!$B$59,Q5&lt;'Uplifters Inputs'!$B$5),'Uplifters Inputs'!$B$58/12,0)</f>
        <v>0</v>
      </c>
      <c r="R32" s="124" t="n">
        <f aca="false">IF(AND(R5&gt;='Uplifters Inputs'!$B$59,R5&lt;'Uplifters Inputs'!$B$5),'Uplifters Inputs'!$B$58/12,0)</f>
        <v>0</v>
      </c>
      <c r="S32" s="124" t="n">
        <f aca="false">IF(AND(S5&gt;='Uplifters Inputs'!$B$59,S5&lt;'Uplifters Inputs'!$B$5),'Uplifters Inputs'!$B$58/12,0)</f>
        <v>0</v>
      </c>
      <c r="T32" s="124" t="n">
        <f aca="false">IF(AND(T5&gt;='Uplifters Inputs'!$B$59,T5&lt;'Uplifters Inputs'!$B$5),'Uplifters Inputs'!$B$58/12,0)</f>
        <v>0</v>
      </c>
      <c r="U32" s="124" t="n">
        <f aca="false">IF(AND(U5&gt;='Uplifters Inputs'!$B$59,U5&lt;'Uplifters Inputs'!$B$5),'Uplifters Inputs'!$B$58/12,0)</f>
        <v>0</v>
      </c>
      <c r="V32" s="124" t="n">
        <f aca="false">IF(AND(V5&gt;='Uplifters Inputs'!$B$59,V5&lt;'Uplifters Inputs'!$B$5),'Uplifters Inputs'!$B$58/12,0)</f>
        <v>0</v>
      </c>
      <c r="W32" s="124" t="n">
        <f aca="false">IF(AND(W5&gt;='Uplifters Inputs'!$B$59,W5&lt;'Uplifters Inputs'!$B$5),'Uplifters Inputs'!$B$58/12,0)</f>
        <v>0</v>
      </c>
      <c r="X32" s="124" t="n">
        <f aca="false">IF(AND(X5&gt;='Uplifters Inputs'!$B$59,X5&lt;'Uplifters Inputs'!$B$5),'Uplifters Inputs'!$B$58/12,0)</f>
        <v>0</v>
      </c>
      <c r="Y32" s="124" t="n">
        <f aca="false">IF(AND(Y5&gt;='Uplifters Inputs'!$B$59,Y5&lt;'Uplifters Inputs'!$B$5),'Uplifters Inputs'!$B$58/12,0)</f>
        <v>0</v>
      </c>
      <c r="Z32" s="124" t="n">
        <f aca="false">IF(AND(Z5&gt;='Uplifters Inputs'!$B$59,Z5&lt;'Uplifters Inputs'!$B$5),'Uplifters Inputs'!$B$58/12,0)</f>
        <v>0</v>
      </c>
      <c r="AA32" s="124" t="n">
        <f aca="false">IF(AND(AA5&gt;='Uplifters Inputs'!$B$59,AA5&lt;'Uplifters Inputs'!$B$5),'Uplifters Inputs'!$B$58/12,0)</f>
        <v>0</v>
      </c>
      <c r="AB32" s="124" t="n">
        <f aca="false">IF(AND(AB5&gt;='Uplifters Inputs'!$B$59,AB5&lt;'Uplifters Inputs'!$B$5),'Uplifters Inputs'!$B$58/12,0)</f>
        <v>0</v>
      </c>
      <c r="AC32" s="124" t="n">
        <f aca="false">IF(AND(AC5&gt;='Uplifters Inputs'!$B$59,AC5&lt;'Uplifters Inputs'!$B$5),'Uplifters Inputs'!$B$58/12,0)</f>
        <v>0</v>
      </c>
      <c r="AD32" s="124" t="n">
        <f aca="false">IF(AND(AD5&gt;='Uplifters Inputs'!$B$59,AD5&lt;'Uplifters Inputs'!$B$5),'Uplifters Inputs'!$B$58/12,0)</f>
        <v>0</v>
      </c>
      <c r="AE32" s="124" t="n">
        <f aca="false">IF(AND(AE5&gt;='Uplifters Inputs'!$B$59,AE5&lt;'Uplifters Inputs'!$B$5),'Uplifters Inputs'!$B$58/12,0)</f>
        <v>0</v>
      </c>
      <c r="AF32" s="124" t="n">
        <f aca="false">IF(AND(AF5&gt;='Uplifters Inputs'!$B$59,AF5&lt;'Uplifters Inputs'!$B$5),'Uplifters Inputs'!$B$58/12,0)</f>
        <v>0</v>
      </c>
      <c r="AG32" s="124" t="n">
        <f aca="false">IF(AND(AG5&gt;='Uplifters Inputs'!$B$59,AG5&lt;'Uplifters Inputs'!$B$5),'Uplifters Inputs'!$B$58/12,0)</f>
        <v>0</v>
      </c>
      <c r="AH32" s="124" t="n">
        <f aca="false">IF(AND(AH5&gt;='Uplifters Inputs'!$B$59,AH5&lt;'Uplifters Inputs'!$B$5),'Uplifters Inputs'!$B$58/12,0)</f>
        <v>0</v>
      </c>
      <c r="AI32" s="124" t="n">
        <f aca="false">IF(AND(AI5&gt;='Uplifters Inputs'!$B$59,AI5&lt;'Uplifters Inputs'!$B$5),'Uplifters Inputs'!$B$58/12,0)</f>
        <v>0</v>
      </c>
      <c r="AJ32" s="124" t="n">
        <f aca="false">IF(AND(AJ5&gt;='Uplifters Inputs'!$B$59,AJ5&lt;'Uplifters Inputs'!$B$5),'Uplifters Inputs'!$B$58/12,0)</f>
        <v>0</v>
      </c>
      <c r="AK32" s="124" t="n">
        <f aca="false">IF(AND(AK5&gt;='Uplifters Inputs'!$B$59,AK5&lt;'Uplifters Inputs'!$B$5),'Uplifters Inputs'!$B$58/12,0)</f>
        <v>0</v>
      </c>
      <c r="AL32" s="124" t="n">
        <f aca="false">IF(AND(AL5&gt;='Uplifters Inputs'!$B$59,AL5&lt;'Uplifters Inputs'!$B$5),'Uplifters Inputs'!$B$58/12,0)</f>
        <v>0</v>
      </c>
      <c r="AM32" s="124" t="n">
        <f aca="false">IF(AND(AM5&gt;='Uplifters Inputs'!$B$59,AM5&lt;'Uplifters Inputs'!$B$5),'Uplifters Inputs'!$B$58/12,0)</f>
        <v>0</v>
      </c>
      <c r="AN32" s="124" t="n">
        <f aca="false">IF(AND(AN5&gt;='Uplifters Inputs'!$B$59,AN5&lt;'Uplifters Inputs'!$B$5),'Uplifters Inputs'!$B$58/12,0)</f>
        <v>0</v>
      </c>
      <c r="AO32" s="124" t="n">
        <f aca="false">IF(AND(AO5&gt;='Uplifters Inputs'!$B$59,AO5&lt;'Uplifters Inputs'!$B$5),'Uplifters Inputs'!$B$58/12,0)</f>
        <v>0</v>
      </c>
      <c r="AP32" s="124" t="n">
        <f aca="false">IF(AND(AP5&gt;='Uplifters Inputs'!$B$59,AP5&lt;'Uplifters Inputs'!$B$5),'Uplifters Inputs'!$B$58/12,0)</f>
        <v>0</v>
      </c>
      <c r="AQ32" s="124" t="n">
        <f aca="false">IF(AND(AQ5&gt;='Uplifters Inputs'!$B$59,AQ5&lt;'Uplifters Inputs'!$B$5),'Uplifters Inputs'!$B$58/12,0)</f>
        <v>0</v>
      </c>
      <c r="AR32" s="124" t="n">
        <f aca="false">IF(AND(AR5&gt;='Uplifters Inputs'!$B$59,AR5&lt;'Uplifters Inputs'!$B$5),'Uplifters Inputs'!$B$58/12,0)</f>
        <v>0</v>
      </c>
      <c r="AS32" s="124" t="n">
        <f aca="false">IF(AND(AS5&gt;='Uplifters Inputs'!$B$59,AS5&lt;'Uplifters Inputs'!$B$5),'Uplifters Inputs'!$B$58/12,0)</f>
        <v>0</v>
      </c>
      <c r="AT32" s="124" t="n">
        <f aca="false">IF(AND(AT5&gt;='Uplifters Inputs'!$B$59,AT5&lt;'Uplifters Inputs'!$B$5),'Uplifters Inputs'!$B$58/12,0)</f>
        <v>0</v>
      </c>
      <c r="AU32" s="124" t="n">
        <f aca="false">IF(AND(AU5&gt;='Uplifters Inputs'!$B$59,AU5&lt;'Uplifters Inputs'!$B$5),'Uplifters Inputs'!$B$58/12,0)</f>
        <v>0</v>
      </c>
      <c r="AV32" s="124" t="n">
        <f aca="false">IF(AND(AV5&gt;='Uplifters Inputs'!$B$59,AV5&lt;'Uplifters Inputs'!$B$5),'Uplifters Inputs'!$B$58/12,0)</f>
        <v>0</v>
      </c>
      <c r="AW32" s="124" t="n">
        <f aca="false">IF(AND(AW5&gt;='Uplifters Inputs'!$B$59,AW5&lt;'Uplifters Inputs'!$B$5),'Uplifters Inputs'!$B$58/12,0)</f>
        <v>0</v>
      </c>
      <c r="AX32" s="124" t="n">
        <f aca="false">IF(AND(AX5&gt;='Uplifters Inputs'!$B$59,AX5&lt;'Uplifters Inputs'!$B$5),'Uplifters Inputs'!$B$58/12,0)</f>
        <v>0</v>
      </c>
      <c r="AY32" s="124" t="n">
        <f aca="false">IF(AND(AY5&gt;='Uplifters Inputs'!$B$59,AY5&lt;'Uplifters Inputs'!$B$5),'Uplifters Inputs'!$B$58/12,0)</f>
        <v>0</v>
      </c>
      <c r="AZ32" s="124" t="n">
        <f aca="false">IF(AND(AZ5&gt;='Uplifters Inputs'!$B$59,AZ5&lt;'Uplifters Inputs'!$B$5),'Uplifters Inputs'!$B$58/12,0)</f>
        <v>0</v>
      </c>
      <c r="BA32" s="124" t="n">
        <f aca="false">IF(AND(BA5&gt;='Uplifters Inputs'!$B$59,BA5&lt;'Uplifters Inputs'!$B$5),'Uplifters Inputs'!$B$58/12,0)</f>
        <v>0</v>
      </c>
      <c r="BB32" s="124" t="n">
        <f aca="false">IF(AND(BB5&gt;='Uplifters Inputs'!$B$59,BB5&lt;'Uplifters Inputs'!$B$5),'Uplifters Inputs'!$B$58/12,0)</f>
        <v>0</v>
      </c>
      <c r="BC32" s="124" t="n">
        <f aca="false">IF(AND(BC5&gt;='Uplifters Inputs'!$B$59,BC5&lt;'Uplifters Inputs'!$B$5),'Uplifters Inputs'!$B$58/12,0)</f>
        <v>0</v>
      </c>
      <c r="BD32" s="124" t="n">
        <f aca="false">IF(AND(BD5&gt;='Uplifters Inputs'!$B$59,BD5&lt;'Uplifters Inputs'!$B$5),'Uplifters Inputs'!$B$58/12,0)</f>
        <v>0</v>
      </c>
      <c r="BE32" s="124" t="n">
        <f aca="false">IF(AND(BE5&gt;='Uplifters Inputs'!$B$59,BE5&lt;'Uplifters Inputs'!$B$5),'Uplifters Inputs'!$B$58/12,0)</f>
        <v>0</v>
      </c>
      <c r="BF32" s="124" t="n">
        <f aca="false">IF(AND(BF5&gt;='Uplifters Inputs'!$B$59,BF5&lt;'Uplifters Inputs'!$B$5),'Uplifters Inputs'!$B$58/12,0)</f>
        <v>0</v>
      </c>
      <c r="BG32" s="124" t="n">
        <f aca="false">IF(AND(BG5&gt;='Uplifters Inputs'!$B$59,BG5&lt;'Uplifters Inputs'!$B$5),'Uplifters Inputs'!$B$58/12,0)</f>
        <v>0</v>
      </c>
      <c r="BH32" s="124" t="n">
        <f aca="false">IF(AND(BH5&gt;='Uplifters Inputs'!$B$59,BH5&lt;'Uplifters Inputs'!$B$5),'Uplifters Inputs'!$B$58/12,0)</f>
        <v>0</v>
      </c>
      <c r="BI32" s="124" t="n">
        <f aca="false">IF(AND(BI5&gt;='Uplifters Inputs'!$B$59,BI5&lt;'Uplifters Inputs'!$B$5),'Uplifters Inputs'!$B$58/12,0)</f>
        <v>0</v>
      </c>
      <c r="BJ32" s="124" t="n">
        <f aca="false">IF(AND(BJ5&gt;='Uplifters Inputs'!$B$59,BJ5&lt;'Uplifters Inputs'!$B$5),'Uplifters Inputs'!$B$58/12,0)</f>
        <v>0</v>
      </c>
      <c r="BK32" s="124" t="n">
        <f aca="false">IF(AND(BK5&gt;='Uplifters Inputs'!$B$59,BK5&lt;'Uplifters Inputs'!$B$5),'Uplifters Inputs'!$B$58/12,0)</f>
        <v>0</v>
      </c>
      <c r="BL32" s="124" t="n">
        <f aca="false">IF(AND(BL5&gt;='Uplifters Inputs'!$B$59,BL5&lt;'Uplifters Inputs'!$B$5),'Uplifters Inputs'!$B$58/12,0)</f>
        <v>0</v>
      </c>
      <c r="BM32" s="124" t="n">
        <f aca="false">IF(AND(BM5&gt;='Uplifters Inputs'!$B$59,BM5&lt;'Uplifters Inputs'!$B$5),'Uplifters Inputs'!$B$58/12,0)</f>
        <v>0</v>
      </c>
      <c r="BN32" s="124" t="n">
        <f aca="false">IF(AND(BN5&gt;='Uplifters Inputs'!$B$59,BN5&lt;'Uplifters Inputs'!$B$5),'Uplifters Inputs'!$B$58/12,0)</f>
        <v>0</v>
      </c>
      <c r="BO32" s="124" t="n">
        <f aca="false">IF(AND(BO5&gt;='Uplifters Inputs'!$B$59,BO5&lt;'Uplifters Inputs'!$B$5),'Uplifters Inputs'!$B$58/12,0)</f>
        <v>0</v>
      </c>
      <c r="BP32" s="124" t="n">
        <f aca="false">IF(AND(BP5&gt;='Uplifters Inputs'!$B$59,BP5&lt;'Uplifters Inputs'!$B$5),'Uplifters Inputs'!$B$58/12,0)</f>
        <v>0</v>
      </c>
      <c r="BQ32" s="124" t="n">
        <f aca="false">IF(AND(BQ5&gt;='Uplifters Inputs'!$B$59,BQ5&lt;'Uplifters Inputs'!$B$5),'Uplifters Inputs'!$B$58/12,0)</f>
        <v>0</v>
      </c>
      <c r="BR32" s="124" t="n">
        <f aca="false">IF(AND(BR5&gt;='Uplifters Inputs'!$B$59,BR5&lt;'Uplifters Inputs'!$B$5),'Uplifters Inputs'!$B$58/12,0)</f>
        <v>0</v>
      </c>
      <c r="BS32" s="124" t="n">
        <f aca="false">IF(AND(BS5&gt;='Uplifters Inputs'!$B$59,BS5&lt;'Uplifters Inputs'!$B$5),'Uplifters Inputs'!$B$58/12,0)</f>
        <v>0</v>
      </c>
      <c r="BT32" s="124" t="n">
        <f aca="false">IF(AND(BT5&gt;='Uplifters Inputs'!$B$59,BT5&lt;'Uplifters Inputs'!$B$5),'Uplifters Inputs'!$B$58/12,0)</f>
        <v>0</v>
      </c>
      <c r="BU32" s="124" t="n">
        <f aca="false">IF(AND(BU5&gt;='Uplifters Inputs'!$B$59,BU5&lt;'Uplifters Inputs'!$B$5),'Uplifters Inputs'!$B$58/12,0)</f>
        <v>0</v>
      </c>
      <c r="BV32" s="124" t="n">
        <f aca="false">IF(AND(BV5&gt;='Uplifters Inputs'!$B$59,BV5&lt;'Uplifters Inputs'!$B$5),'Uplifters Inputs'!$B$58/12,0)</f>
        <v>0</v>
      </c>
      <c r="BW32" s="124" t="n">
        <f aca="false">IF(AND(BW5&gt;='Uplifters Inputs'!$B$59,BW5&lt;'Uplifters Inputs'!$B$5),'Uplifters Inputs'!$B$58/12,0)</f>
        <v>0</v>
      </c>
      <c r="BX32" s="124" t="n">
        <f aca="false">IF(AND(BX5&gt;='Uplifters Inputs'!$B$59,BX5&lt;'Uplifters Inputs'!$B$5),'Uplifters Inputs'!$B$58/12,0)</f>
        <v>0</v>
      </c>
      <c r="BY32" s="124" t="n">
        <f aca="false">IF(AND(BY5&gt;='Uplifters Inputs'!$B$59,BY5&lt;'Uplifters Inputs'!$B$5),'Uplifters Inputs'!$B$58/12,0)</f>
        <v>0</v>
      </c>
      <c r="BZ32" s="124" t="n">
        <f aca="false">IF(AND(BZ5&gt;='Uplifters Inputs'!$B$59,BZ5&lt;'Uplifters Inputs'!$B$5),'Uplifters Inputs'!$B$58/12,0)</f>
        <v>0</v>
      </c>
      <c r="CA32" s="124" t="n">
        <f aca="false">IF(AND(CA5&gt;='Uplifters Inputs'!$B$59,CA5&lt;'Uplifters Inputs'!$B$5),'Uplifters Inputs'!$B$58/12,0)</f>
        <v>0</v>
      </c>
      <c r="CB32" s="124" t="n">
        <f aca="false">IF(AND(CB5&gt;='Uplifters Inputs'!$B$59,CB5&lt;'Uplifters Inputs'!$B$5),'Uplifters Inputs'!$B$58/12,0)</f>
        <v>0</v>
      </c>
      <c r="CC32" s="124" t="n">
        <f aca="false">IF(AND(CC5&gt;='Uplifters Inputs'!$B$59,CC5&lt;'Uplifters Inputs'!$B$5),'Uplifters Inputs'!$B$58/12,0)</f>
        <v>0</v>
      </c>
      <c r="CD32" s="124" t="n">
        <f aca="false">IF(AND(CD5&gt;='Uplifters Inputs'!$B$59,CD5&lt;'Uplifters Inputs'!$B$5),'Uplifters Inputs'!$B$58/12,0)</f>
        <v>0</v>
      </c>
      <c r="CE32" s="124" t="n">
        <f aca="false">IF(AND(CE5&gt;='Uplifters Inputs'!$B$59,CE5&lt;'Uplifters Inputs'!$B$5),'Uplifters Inputs'!$B$58/12,0)</f>
        <v>0</v>
      </c>
      <c r="CF32" s="124" t="n">
        <f aca="false">IF(AND(CF5&gt;='Uplifters Inputs'!$B$59,CF5&lt;'Uplifters Inputs'!$B$5),'Uplifters Inputs'!$B$58/12,0)</f>
        <v>0</v>
      </c>
      <c r="CG32" s="124" t="n">
        <f aca="false">IF(AND(CG5&gt;='Uplifters Inputs'!$B$59,CG5&lt;'Uplifters Inputs'!$B$5),'Uplifters Inputs'!$B$58/12,0)</f>
        <v>0</v>
      </c>
      <c r="CH32" s="124" t="n">
        <f aca="false">IF(AND(CH5&gt;='Uplifters Inputs'!$B$59,CH5&lt;'Uplifters Inputs'!$B$5),'Uplifters Inputs'!$B$58/12,0)</f>
        <v>0</v>
      </c>
      <c r="CI32" s="124" t="n">
        <f aca="false">IF(AND(CI5&gt;='Uplifters Inputs'!$B$59,CI5&lt;'Uplifters Inputs'!$B$5),'Uplifters Inputs'!$B$58/12,0)</f>
        <v>0</v>
      </c>
      <c r="CJ32" s="124" t="n">
        <f aca="false">IF(AND(CJ5&gt;='Uplifters Inputs'!$B$59,CJ5&lt;'Uplifters Inputs'!$B$5),'Uplifters Inputs'!$B$58/12,0)</f>
        <v>0</v>
      </c>
      <c r="CK32" s="124" t="n">
        <f aca="false">IF(AND(CK5&gt;='Uplifters Inputs'!$B$59,CK5&lt;'Uplifters Inputs'!$B$5),'Uplifters Inputs'!$B$58/12,0)</f>
        <v>0</v>
      </c>
      <c r="CL32" s="124" t="n">
        <f aca="false">IF(AND(CL5&gt;='Uplifters Inputs'!$B$59,CL5&lt;'Uplifters Inputs'!$B$5),'Uplifters Inputs'!$B$58/12,0)</f>
        <v>0</v>
      </c>
      <c r="CM32" s="124" t="n">
        <f aca="false">IF(AND(CM5&gt;='Uplifters Inputs'!$B$59,CM5&lt;'Uplifters Inputs'!$B$5),'Uplifters Inputs'!$B$58/12,0)</f>
        <v>0</v>
      </c>
      <c r="CN32" s="124" t="n">
        <f aca="false">IF(AND(CN5&gt;='Uplifters Inputs'!$B$59,CN5&lt;'Uplifters Inputs'!$B$5),'Uplifters Inputs'!$B$58/12,0)</f>
        <v>0</v>
      </c>
      <c r="CO32" s="124" t="n">
        <f aca="false">IF(AND(CO5&gt;='Uplifters Inputs'!$B$59,CO5&lt;'Uplifters Inputs'!$B$5),'Uplifters Inputs'!$B$58/12,0)</f>
        <v>0</v>
      </c>
      <c r="CP32" s="124" t="n">
        <f aca="false">IF(AND(CP5&gt;='Uplifters Inputs'!$B$59,CP5&lt;'Uplifters Inputs'!$B$5),'Uplifters Inputs'!$B$58/12,0)</f>
        <v>0</v>
      </c>
      <c r="CQ32" s="124" t="n">
        <f aca="false">IF(AND(CQ5&gt;='Uplifters Inputs'!$B$59,CQ5&lt;'Uplifters Inputs'!$B$5),'Uplifters Inputs'!$B$58/12,0)</f>
        <v>0</v>
      </c>
      <c r="CR32" s="124" t="n">
        <f aca="false">IF(AND(CR5&gt;='Uplifters Inputs'!$B$59,CR5&lt;'Uplifters Inputs'!$B$5),'Uplifters Inputs'!$B$58/12,0)</f>
        <v>0</v>
      </c>
      <c r="CS32" s="124" t="n">
        <f aca="false">IF(AND(CS5&gt;='Uplifters Inputs'!$B$59,CS5&lt;'Uplifters Inputs'!$B$5),'Uplifters Inputs'!$B$58/12,0)</f>
        <v>0</v>
      </c>
    </row>
    <row r="33" customFormat="false" ht="15" hidden="false" customHeight="true" outlineLevel="0" collapsed="false">
      <c r="A33" s="123" t="s">
        <v>1431</v>
      </c>
      <c r="B33" s="124" t="n">
        <f aca="false">IF(AND(B5&gt;='Uplifters Inputs'!$B$5,B5&lt;=$B$44),'Uplifters Inputs'!$B$51,0)</f>
        <v>0</v>
      </c>
      <c r="C33" s="124" t="n">
        <f aca="false">IF(AND(C5&gt;='Uplifters Inputs'!$B$5,C5&lt;=$B$44),'Uplifters Inputs'!$B$51,0)</f>
        <v>0</v>
      </c>
      <c r="D33" s="124" t="n">
        <f aca="false">IF(AND(D5&gt;='Uplifters Inputs'!$B$5,D5&lt;=$B$44),'Uplifters Inputs'!$B$51,0)</f>
        <v>0</v>
      </c>
      <c r="E33" s="124" t="n">
        <f aca="false">IF(AND(E5&gt;='Uplifters Inputs'!$B$5,E5&lt;=$B$44),'Uplifters Inputs'!$B$51,0)</f>
        <v>0</v>
      </c>
      <c r="F33" s="124" t="n">
        <f aca="false">IF(AND(F5&gt;='Uplifters Inputs'!$B$5,F5&lt;=$B$44),'Uplifters Inputs'!$B$51,0)</f>
        <v>0</v>
      </c>
      <c r="G33" s="124" t="n">
        <f aca="false">IF(AND(G5&gt;='Uplifters Inputs'!$B$5,G5&lt;=$B$44),'Uplifters Inputs'!$B$51,0)</f>
        <v>0</v>
      </c>
      <c r="H33" s="124" t="n">
        <f aca="false">IF(AND(H5&gt;='Uplifters Inputs'!$B$5,H5&lt;=$B$44),'Uplifters Inputs'!$B$51,0)</f>
        <v>0</v>
      </c>
      <c r="I33" s="124" t="n">
        <f aca="false">IF(AND(I5&gt;='Uplifters Inputs'!$B$5,I5&lt;=$B$44),'Uplifters Inputs'!$B$51,0)</f>
        <v>0</v>
      </c>
      <c r="J33" s="124" t="n">
        <f aca="false">IF(AND(J5&gt;='Uplifters Inputs'!$B$5,J5&lt;=$B$44),'Uplifters Inputs'!$B$51,0)</f>
        <v>0</v>
      </c>
      <c r="K33" s="124" t="n">
        <f aca="false">IF(AND(K5&gt;='Uplifters Inputs'!$B$5,K5&lt;=$B$44),'Uplifters Inputs'!$B$51,0)</f>
        <v>0</v>
      </c>
      <c r="L33" s="124" t="n">
        <f aca="false">IF(AND(L5&gt;='Uplifters Inputs'!$B$5,L5&lt;=$B$44),'Uplifters Inputs'!$B$51,0)</f>
        <v>0</v>
      </c>
      <c r="M33" s="124" t="n">
        <f aca="false">IF(AND(M5&gt;='Uplifters Inputs'!$B$5,M5&lt;=$B$44),'Uplifters Inputs'!$B$51,0)</f>
        <v>0</v>
      </c>
      <c r="N33" s="124" t="n">
        <f aca="false">IF(AND(N5&gt;='Uplifters Inputs'!$B$5,N5&lt;=$B$44),'Uplifters Inputs'!$B$51,0)</f>
        <v>0</v>
      </c>
      <c r="O33" s="124" t="n">
        <f aca="false">IF(AND(O5&gt;='Uplifters Inputs'!$B$5,O5&lt;=$B$44),'Uplifters Inputs'!$B$51,0)</f>
        <v>5000</v>
      </c>
      <c r="P33" s="124" t="n">
        <f aca="false">IF(AND(P5&gt;='Uplifters Inputs'!$B$5,P5&lt;=$B$44),'Uplifters Inputs'!$B$51,0)</f>
        <v>5000</v>
      </c>
      <c r="Q33" s="124" t="n">
        <f aca="false">IF(AND(Q5&gt;='Uplifters Inputs'!$B$5,Q5&lt;=$B$44),'Uplifters Inputs'!$B$51,0)</f>
        <v>5000</v>
      </c>
      <c r="R33" s="124" t="n">
        <f aca="false">IF(AND(R5&gt;='Uplifters Inputs'!$B$5,R5&lt;=$B$44),'Uplifters Inputs'!$B$51,0)</f>
        <v>5000</v>
      </c>
      <c r="S33" s="124" t="n">
        <f aca="false">IF(AND(S5&gt;='Uplifters Inputs'!$B$5,S5&lt;=$B$44),'Uplifters Inputs'!$B$51,0)</f>
        <v>5000</v>
      </c>
      <c r="T33" s="124" t="n">
        <f aca="false">IF(AND(T5&gt;='Uplifters Inputs'!$B$5,T5&lt;=$B$44),'Uplifters Inputs'!$B$51,0)</f>
        <v>5000</v>
      </c>
      <c r="U33" s="124" t="n">
        <f aca="false">IF(AND(U5&gt;='Uplifters Inputs'!$B$5,U5&lt;=$B$44),'Uplifters Inputs'!$B$51,0)</f>
        <v>5000</v>
      </c>
      <c r="V33" s="124" t="n">
        <f aca="false">IF(AND(V5&gt;='Uplifters Inputs'!$B$5,V5&lt;=$B$44),'Uplifters Inputs'!$B$51,0)</f>
        <v>5000</v>
      </c>
      <c r="W33" s="124" t="n">
        <f aca="false">IF(AND(W5&gt;='Uplifters Inputs'!$B$5,W5&lt;=$B$44),'Uplifters Inputs'!$B$51,0)</f>
        <v>5000</v>
      </c>
      <c r="X33" s="124" t="n">
        <f aca="false">IF(AND(X5&gt;='Uplifters Inputs'!$B$5,X5&lt;=$B$44),'Uplifters Inputs'!$B$51,0)</f>
        <v>5000</v>
      </c>
      <c r="Y33" s="124" t="n">
        <f aca="false">IF(AND(Y5&gt;='Uplifters Inputs'!$B$5,Y5&lt;=$B$44),'Uplifters Inputs'!$B$51,0)</f>
        <v>5000</v>
      </c>
      <c r="Z33" s="124" t="n">
        <f aca="false">IF(AND(Z5&gt;='Uplifters Inputs'!$B$5,Z5&lt;=$B$44),'Uplifters Inputs'!$B$51,0)</f>
        <v>5000</v>
      </c>
      <c r="AA33" s="124" t="n">
        <f aca="false">IF(AND(AA5&gt;='Uplifters Inputs'!$B$5,AA5&lt;=$B$44),'Uplifters Inputs'!$B$51,0)</f>
        <v>5000</v>
      </c>
      <c r="AB33" s="124" t="n">
        <f aca="false">IF(AND(AB5&gt;='Uplifters Inputs'!$B$5,AB5&lt;=$B$44),'Uplifters Inputs'!$B$51,0)</f>
        <v>5000</v>
      </c>
      <c r="AC33" s="124" t="n">
        <f aca="false">IF(AND(AC5&gt;='Uplifters Inputs'!$B$5,AC5&lt;=$B$44),'Uplifters Inputs'!$B$51,0)</f>
        <v>5000</v>
      </c>
      <c r="AD33" s="124" t="n">
        <f aca="false">IF(AND(AD5&gt;='Uplifters Inputs'!$B$5,AD5&lt;=$B$44),'Uplifters Inputs'!$B$51,0)</f>
        <v>5000</v>
      </c>
      <c r="AE33" s="124" t="n">
        <f aca="false">IF(AND(AE5&gt;='Uplifters Inputs'!$B$5,AE5&lt;=$B$44),'Uplifters Inputs'!$B$51,0)</f>
        <v>5000</v>
      </c>
      <c r="AF33" s="124" t="n">
        <f aca="false">IF(AND(AF5&gt;='Uplifters Inputs'!$B$5,AF5&lt;=$B$44),'Uplifters Inputs'!$B$51,0)</f>
        <v>5000</v>
      </c>
      <c r="AG33" s="124" t="n">
        <f aca="false">IF(AND(AG5&gt;='Uplifters Inputs'!$B$5,AG5&lt;=$B$44),'Uplifters Inputs'!$B$51,0)</f>
        <v>5000</v>
      </c>
      <c r="AH33" s="124" t="n">
        <f aca="false">IF(AND(AH5&gt;='Uplifters Inputs'!$B$5,AH5&lt;=$B$44),'Uplifters Inputs'!$B$51,0)</f>
        <v>5000</v>
      </c>
      <c r="AI33" s="124" t="n">
        <f aca="false">IF(AND(AI5&gt;='Uplifters Inputs'!$B$5,AI5&lt;=$B$44),'Uplifters Inputs'!$B$51,0)</f>
        <v>5000</v>
      </c>
      <c r="AJ33" s="124" t="n">
        <f aca="false">IF(AND(AJ5&gt;='Uplifters Inputs'!$B$5,AJ5&lt;=$B$44),'Uplifters Inputs'!$B$51,0)</f>
        <v>5000</v>
      </c>
      <c r="AK33" s="124" t="n">
        <f aca="false">IF(AND(AK5&gt;='Uplifters Inputs'!$B$5,AK5&lt;=$B$44),'Uplifters Inputs'!$B$51,0)</f>
        <v>5000</v>
      </c>
      <c r="AL33" s="124" t="n">
        <f aca="false">IF(AND(AL5&gt;='Uplifters Inputs'!$B$5,AL5&lt;=$B$44),'Uplifters Inputs'!$B$51,0)</f>
        <v>5000</v>
      </c>
      <c r="AM33" s="124" t="n">
        <f aca="false">IF(AND(AM5&gt;='Uplifters Inputs'!$B$5,AM5&lt;=$B$44),'Uplifters Inputs'!$B$51,0)</f>
        <v>5000</v>
      </c>
      <c r="AN33" s="124" t="n">
        <f aca="false">IF(AND(AN5&gt;='Uplifters Inputs'!$B$5,AN5&lt;=$B$44),'Uplifters Inputs'!$B$51,0)</f>
        <v>5000</v>
      </c>
      <c r="AO33" s="124" t="n">
        <f aca="false">IF(AND(AO5&gt;='Uplifters Inputs'!$B$5,AO5&lt;=$B$44),'Uplifters Inputs'!$B$51,0)</f>
        <v>5000</v>
      </c>
      <c r="AP33" s="124" t="n">
        <f aca="false">IF(AND(AP5&gt;='Uplifters Inputs'!$B$5,AP5&lt;=$B$44),'Uplifters Inputs'!$B$51,0)</f>
        <v>5000</v>
      </c>
      <c r="AQ33" s="124" t="n">
        <f aca="false">IF(AND(AQ5&gt;='Uplifters Inputs'!$B$5,AQ5&lt;=$B$44),'Uplifters Inputs'!$B$51,0)</f>
        <v>5000</v>
      </c>
      <c r="AR33" s="124" t="n">
        <f aca="false">IF(AND(AR5&gt;='Uplifters Inputs'!$B$5,AR5&lt;=$B$44),'Uplifters Inputs'!$B$51,0)</f>
        <v>5000</v>
      </c>
      <c r="AS33" s="124" t="n">
        <f aca="false">IF(AND(AS5&gt;='Uplifters Inputs'!$B$5,AS5&lt;=$B$44),'Uplifters Inputs'!$B$51,0)</f>
        <v>5000</v>
      </c>
      <c r="AT33" s="124" t="n">
        <f aca="false">IF(AND(AT5&gt;='Uplifters Inputs'!$B$5,AT5&lt;=$B$44),'Uplifters Inputs'!$B$51,0)</f>
        <v>5000</v>
      </c>
      <c r="AU33" s="124" t="n">
        <f aca="false">IF(AND(AU5&gt;='Uplifters Inputs'!$B$5,AU5&lt;=$B$44),'Uplifters Inputs'!$B$51,0)</f>
        <v>5000</v>
      </c>
      <c r="AV33" s="124" t="n">
        <f aca="false">IF(AND(AV5&gt;='Uplifters Inputs'!$B$5,AV5&lt;=$B$44),'Uplifters Inputs'!$B$51,0)</f>
        <v>5000</v>
      </c>
      <c r="AW33" s="124" t="n">
        <f aca="false">IF(AND(AW5&gt;='Uplifters Inputs'!$B$5,AW5&lt;=$B$44),'Uplifters Inputs'!$B$51,0)</f>
        <v>5000</v>
      </c>
      <c r="AX33" s="124" t="n">
        <f aca="false">IF(AND(AX5&gt;='Uplifters Inputs'!$B$5,AX5&lt;=$B$44),'Uplifters Inputs'!$B$51,0)</f>
        <v>5000</v>
      </c>
      <c r="AY33" s="124" t="n">
        <f aca="false">IF(AND(AY5&gt;='Uplifters Inputs'!$B$5,AY5&lt;=$B$44),'Uplifters Inputs'!$B$51,0)</f>
        <v>5000</v>
      </c>
      <c r="AZ33" s="124" t="n">
        <f aca="false">IF(AND(AZ5&gt;='Uplifters Inputs'!$B$5,AZ5&lt;=$B$44),'Uplifters Inputs'!$B$51,0)</f>
        <v>5000</v>
      </c>
      <c r="BA33" s="124" t="n">
        <f aca="false">IF(AND(BA5&gt;='Uplifters Inputs'!$B$5,BA5&lt;=$B$44),'Uplifters Inputs'!$B$51,0)</f>
        <v>5000</v>
      </c>
      <c r="BB33" s="124" t="n">
        <f aca="false">IF(AND(BB5&gt;='Uplifters Inputs'!$B$5,BB5&lt;=$B$44),'Uplifters Inputs'!$B$51,0)</f>
        <v>5000</v>
      </c>
      <c r="BC33" s="124" t="n">
        <f aca="false">IF(AND(BC5&gt;='Uplifters Inputs'!$B$5,BC5&lt;=$B$44),'Uplifters Inputs'!$B$51,0)</f>
        <v>5000</v>
      </c>
      <c r="BD33" s="124" t="n">
        <f aca="false">IF(AND(BD5&gt;='Uplifters Inputs'!$B$5,BD5&lt;=$B$44),'Uplifters Inputs'!$B$51,0)</f>
        <v>5000</v>
      </c>
      <c r="BE33" s="124" t="n">
        <f aca="false">IF(AND(BE5&gt;='Uplifters Inputs'!$B$5,BE5&lt;=$B$44),'Uplifters Inputs'!$B$51,0)</f>
        <v>5000</v>
      </c>
      <c r="BF33" s="124" t="n">
        <f aca="false">IF(AND(BF5&gt;='Uplifters Inputs'!$B$5,BF5&lt;=$B$44),'Uplifters Inputs'!$B$51,0)</f>
        <v>5000</v>
      </c>
      <c r="BG33" s="124" t="n">
        <f aca="false">IF(AND(BG5&gt;='Uplifters Inputs'!$B$5,BG5&lt;=$B$44),'Uplifters Inputs'!$B$51,0)</f>
        <v>5000</v>
      </c>
      <c r="BH33" s="124" t="n">
        <f aca="false">IF(AND(BH5&gt;='Uplifters Inputs'!$B$5,BH5&lt;=$B$44),'Uplifters Inputs'!$B$51,0)</f>
        <v>5000</v>
      </c>
      <c r="BI33" s="124" t="n">
        <f aca="false">IF(AND(BI5&gt;='Uplifters Inputs'!$B$5,BI5&lt;=$B$44),'Uplifters Inputs'!$B$51,0)</f>
        <v>5000</v>
      </c>
      <c r="BJ33" s="124" t="n">
        <f aca="false">IF(AND(BJ5&gt;='Uplifters Inputs'!$B$5,BJ5&lt;=$B$44),'Uplifters Inputs'!$B$51,0)</f>
        <v>5000</v>
      </c>
      <c r="BK33" s="124" t="n">
        <f aca="false">IF(AND(BK5&gt;='Uplifters Inputs'!$B$5,BK5&lt;=$B$44),'Uplifters Inputs'!$B$51,0)</f>
        <v>5000</v>
      </c>
      <c r="BL33" s="124" t="n">
        <f aca="false">IF(AND(BL5&gt;='Uplifters Inputs'!$B$5,BL5&lt;=$B$44),'Uplifters Inputs'!$B$51,0)</f>
        <v>5000</v>
      </c>
      <c r="BM33" s="124" t="n">
        <f aca="false">IF(AND(BM5&gt;='Uplifters Inputs'!$B$5,BM5&lt;=$B$44),'Uplifters Inputs'!$B$51,0)</f>
        <v>5000</v>
      </c>
      <c r="BN33" s="124" t="n">
        <f aca="false">IF(AND(BN5&gt;='Uplifters Inputs'!$B$5,BN5&lt;=$B$44),'Uplifters Inputs'!$B$51,0)</f>
        <v>5000</v>
      </c>
      <c r="BO33" s="124" t="n">
        <f aca="false">IF(AND(BO5&gt;='Uplifters Inputs'!$B$5,BO5&lt;=$B$44),'Uplifters Inputs'!$B$51,0)</f>
        <v>5000</v>
      </c>
      <c r="BP33" s="124" t="n">
        <f aca="false">IF(AND(BP5&gt;='Uplifters Inputs'!$B$5,BP5&lt;=$B$44),'Uplifters Inputs'!$B$51,0)</f>
        <v>5000</v>
      </c>
      <c r="BQ33" s="124" t="n">
        <f aca="false">IF(AND(BQ5&gt;='Uplifters Inputs'!$B$5,BQ5&lt;=$B$44),'Uplifters Inputs'!$B$51,0)</f>
        <v>5000</v>
      </c>
      <c r="BR33" s="124" t="n">
        <f aca="false">IF(AND(BR5&gt;='Uplifters Inputs'!$B$5,BR5&lt;=$B$44),'Uplifters Inputs'!$B$51,0)</f>
        <v>5000</v>
      </c>
      <c r="BS33" s="124" t="n">
        <f aca="false">IF(AND(BS5&gt;='Uplifters Inputs'!$B$5,BS5&lt;=$B$44),'Uplifters Inputs'!$B$51,0)</f>
        <v>0</v>
      </c>
      <c r="BT33" s="124" t="n">
        <f aca="false">IF(AND(BT5&gt;='Uplifters Inputs'!$B$5,BT5&lt;=$B$44),'Uplifters Inputs'!$B$51,0)</f>
        <v>0</v>
      </c>
      <c r="BU33" s="124" t="n">
        <f aca="false">IF(AND(BU5&gt;='Uplifters Inputs'!$B$5,BU5&lt;=$B$44),'Uplifters Inputs'!$B$51,0)</f>
        <v>0</v>
      </c>
      <c r="BV33" s="124" t="n">
        <f aca="false">IF(AND(BV5&gt;='Uplifters Inputs'!$B$5,BV5&lt;=$B$44),'Uplifters Inputs'!$B$51,0)</f>
        <v>0</v>
      </c>
      <c r="BW33" s="124" t="n">
        <f aca="false">IF(AND(BW5&gt;='Uplifters Inputs'!$B$5,BW5&lt;=$B$44),'Uplifters Inputs'!$B$51,0)</f>
        <v>0</v>
      </c>
      <c r="BX33" s="124" t="n">
        <f aca="false">IF(AND(BX5&gt;='Uplifters Inputs'!$B$5,BX5&lt;=$B$44),'Uplifters Inputs'!$B$51,0)</f>
        <v>0</v>
      </c>
      <c r="BY33" s="124" t="n">
        <f aca="false">IF(AND(BY5&gt;='Uplifters Inputs'!$B$5,BY5&lt;=$B$44),'Uplifters Inputs'!$B$51,0)</f>
        <v>0</v>
      </c>
      <c r="BZ33" s="124" t="n">
        <f aca="false">IF(AND(BZ5&gt;='Uplifters Inputs'!$B$5,BZ5&lt;=$B$44),'Uplifters Inputs'!$B$51,0)</f>
        <v>0</v>
      </c>
      <c r="CA33" s="124" t="n">
        <f aca="false">IF(AND(CA5&gt;='Uplifters Inputs'!$B$5,CA5&lt;=$B$44),'Uplifters Inputs'!$B$51,0)</f>
        <v>0</v>
      </c>
      <c r="CB33" s="124" t="n">
        <f aca="false">IF(AND(CB5&gt;='Uplifters Inputs'!$B$5,CB5&lt;=$B$44),'Uplifters Inputs'!$B$51,0)</f>
        <v>0</v>
      </c>
      <c r="CC33" s="124" t="n">
        <f aca="false">IF(AND(CC5&gt;='Uplifters Inputs'!$B$5,CC5&lt;=$B$44),'Uplifters Inputs'!$B$51,0)</f>
        <v>0</v>
      </c>
      <c r="CD33" s="124" t="n">
        <f aca="false">IF(AND(CD5&gt;='Uplifters Inputs'!$B$5,CD5&lt;=$B$44),'Uplifters Inputs'!$B$51,0)</f>
        <v>0</v>
      </c>
      <c r="CE33" s="124" t="n">
        <f aca="false">IF(AND(CE5&gt;='Uplifters Inputs'!$B$5,CE5&lt;=$B$44),'Uplifters Inputs'!$B$51,0)</f>
        <v>0</v>
      </c>
      <c r="CF33" s="124" t="n">
        <f aca="false">IF(AND(CF5&gt;='Uplifters Inputs'!$B$5,CF5&lt;=$B$44),'Uplifters Inputs'!$B$51,0)</f>
        <v>0</v>
      </c>
      <c r="CG33" s="124" t="n">
        <f aca="false">IF(AND(CG5&gt;='Uplifters Inputs'!$B$5,CG5&lt;=$B$44),'Uplifters Inputs'!$B$51,0)</f>
        <v>0</v>
      </c>
      <c r="CH33" s="124" t="n">
        <f aca="false">IF(AND(CH5&gt;='Uplifters Inputs'!$B$5,CH5&lt;=$B$44),'Uplifters Inputs'!$B$51,0)</f>
        <v>0</v>
      </c>
      <c r="CI33" s="124" t="n">
        <f aca="false">IF(AND(CI5&gt;='Uplifters Inputs'!$B$5,CI5&lt;=$B$44),'Uplifters Inputs'!$B$51,0)</f>
        <v>0</v>
      </c>
      <c r="CJ33" s="124" t="n">
        <f aca="false">IF(AND(CJ5&gt;='Uplifters Inputs'!$B$5,CJ5&lt;=$B$44),'Uplifters Inputs'!$B$51,0)</f>
        <v>0</v>
      </c>
      <c r="CK33" s="124" t="n">
        <f aca="false">IF(AND(CK5&gt;='Uplifters Inputs'!$B$5,CK5&lt;=$B$44),'Uplifters Inputs'!$B$51,0)</f>
        <v>0</v>
      </c>
      <c r="CL33" s="124" t="n">
        <f aca="false">IF(AND(CL5&gt;='Uplifters Inputs'!$B$5,CL5&lt;=$B$44),'Uplifters Inputs'!$B$51,0)</f>
        <v>0</v>
      </c>
      <c r="CM33" s="124" t="n">
        <f aca="false">IF(AND(CM5&gt;='Uplifters Inputs'!$B$5,CM5&lt;=$B$44),'Uplifters Inputs'!$B$51,0)</f>
        <v>0</v>
      </c>
      <c r="CN33" s="124" t="n">
        <f aca="false">IF(AND(CN5&gt;='Uplifters Inputs'!$B$5,CN5&lt;=$B$44),'Uplifters Inputs'!$B$51,0)</f>
        <v>0</v>
      </c>
      <c r="CO33" s="124" t="n">
        <f aca="false">IF(AND(CO5&gt;='Uplifters Inputs'!$B$5,CO5&lt;=$B$44),'Uplifters Inputs'!$B$51,0)</f>
        <v>0</v>
      </c>
      <c r="CP33" s="124" t="n">
        <f aca="false">IF(AND(CP5&gt;='Uplifters Inputs'!$B$5,CP5&lt;=$B$44),'Uplifters Inputs'!$B$51,0)</f>
        <v>0</v>
      </c>
      <c r="CQ33" s="124" t="n">
        <f aca="false">IF(AND(CQ5&gt;='Uplifters Inputs'!$B$5,CQ5&lt;=$B$44),'Uplifters Inputs'!$B$51,0)</f>
        <v>0</v>
      </c>
      <c r="CR33" s="124" t="n">
        <f aca="false">IF(AND(CR5&gt;='Uplifters Inputs'!$B$5,CR5&lt;=$B$44),'Uplifters Inputs'!$B$51,0)</f>
        <v>0</v>
      </c>
      <c r="CS33" s="124" t="n">
        <f aca="false">IF(AND(CS5&gt;='Uplifters Inputs'!$B$5,CS5&lt;=$B$44),'Uplifters Inputs'!$B$51,0)</f>
        <v>0</v>
      </c>
    </row>
    <row r="34" customFormat="false" ht="15" hidden="false" customHeight="true" outlineLevel="0" collapsed="false">
      <c r="A34" s="118" t="s">
        <v>1432</v>
      </c>
      <c r="B34" s="403" t="n">
        <f aca="false">SUM(B23:B24)+SUM(B26:B33)</f>
        <v>0</v>
      </c>
      <c r="C34" s="403" t="n">
        <f aca="false">SUM(C23:C24)+SUM(C26:C33)</f>
        <v>0</v>
      </c>
      <c r="D34" s="403" t="n">
        <f aca="false">SUM(D23:D24)+SUM(D26:D33)</f>
        <v>0</v>
      </c>
      <c r="E34" s="403" t="n">
        <f aca="false">SUM(E23:E24)+SUM(E26:E33)</f>
        <v>0</v>
      </c>
      <c r="F34" s="403" t="n">
        <f aca="false">SUM(F23:F24)+SUM(F26:F33)</f>
        <v>0</v>
      </c>
      <c r="G34" s="403" t="n">
        <f aca="false">SUM(G23:G24)+SUM(G26:G33)</f>
        <v>0</v>
      </c>
      <c r="H34" s="403" t="n">
        <f aca="false">SUM(H23:H24)+SUM(H26:H33)</f>
        <v>0</v>
      </c>
      <c r="I34" s="403" t="n">
        <f aca="false">SUM(I23:I24)+SUM(I26:I33)</f>
        <v>0</v>
      </c>
      <c r="J34" s="403" t="n">
        <f aca="false">SUM(J23:J24)+SUM(J26:J33)</f>
        <v>0</v>
      </c>
      <c r="K34" s="403" t="n">
        <f aca="false">SUM(K23:K24)+SUM(K26:K33)</f>
        <v>9583.33333333333</v>
      </c>
      <c r="L34" s="403" t="n">
        <f aca="false">SUM(L23:L24)+SUM(L26:L33)</f>
        <v>14583.3333333333</v>
      </c>
      <c r="M34" s="403" t="n">
        <f aca="false">SUM(M23:M24)+SUM(M26:M33)</f>
        <v>14583.3333333333</v>
      </c>
      <c r="N34" s="403" t="n">
        <f aca="false">SUM(N23:N24)+SUM(N26:N33)</f>
        <v>19583.3333333333</v>
      </c>
      <c r="O34" s="403" t="n">
        <f aca="false">SUM(O23:O24)+SUM(O26:O33)</f>
        <v>52550</v>
      </c>
      <c r="P34" s="403" t="n">
        <f aca="false">SUM(P23:P24)+SUM(P26:P33)</f>
        <v>52550</v>
      </c>
      <c r="Q34" s="403" t="n">
        <f aca="false">SUM(Q23:Q24)+SUM(Q26:Q33)</f>
        <v>52550</v>
      </c>
      <c r="R34" s="403" t="n">
        <f aca="false">SUM(R23:R24)+SUM(R26:R33)</f>
        <v>52550</v>
      </c>
      <c r="S34" s="403" t="n">
        <f aca="false">SUM(S23:S24)+SUM(S26:S33)</f>
        <v>52550</v>
      </c>
      <c r="T34" s="403" t="n">
        <f aca="false">SUM(T23:T24)+SUM(T26:T33)</f>
        <v>51589</v>
      </c>
      <c r="U34" s="403" t="n">
        <f aca="false">SUM(U23:U24)+SUM(U26:U33)</f>
        <v>55483.3333333333</v>
      </c>
      <c r="V34" s="403" t="n">
        <f aca="false">SUM(V23:V24)+SUM(V26:V33)</f>
        <v>55483.3333333333</v>
      </c>
      <c r="W34" s="403" t="n">
        <f aca="false">SUM(W23:W24)+SUM(W26:W33)</f>
        <v>55483.3333333333</v>
      </c>
      <c r="X34" s="403" t="n">
        <f aca="false">SUM(X23:X24)+SUM(X26:X33)</f>
        <v>55483.3333333333</v>
      </c>
      <c r="Y34" s="403" t="n">
        <f aca="false">SUM(Y23:Y24)+SUM(Y26:Y33)</f>
        <v>85900</v>
      </c>
      <c r="Z34" s="403" t="n">
        <f aca="false">SUM(Z23:Z24)+SUM(Z26:Z33)</f>
        <v>69216.6666666667</v>
      </c>
      <c r="AA34" s="403" t="n">
        <f aca="false">SUM(AA23:AA24)+SUM(AA26:AA33)</f>
        <v>128900</v>
      </c>
      <c r="AB34" s="403" t="n">
        <f aca="false">SUM(AB23:AB24)+SUM(AB26:AB33)</f>
        <v>495225.944444444</v>
      </c>
      <c r="AC34" s="403" t="n">
        <f aca="false">SUM(AC23:AC24)+SUM(AC26:AC33)</f>
        <v>97883.3333333333</v>
      </c>
      <c r="AD34" s="403" t="n">
        <f aca="false">SUM(AD23:AD24)+SUM(AD26:AD33)</f>
        <v>129500</v>
      </c>
      <c r="AE34" s="403" t="n">
        <f aca="false">SUM(AE23:AE24)+SUM(AE26:AE33)</f>
        <v>110750</v>
      </c>
      <c r="AF34" s="403" t="n">
        <f aca="false">SUM(AF23:AF24)+SUM(AF26:AF33)</f>
        <v>110750</v>
      </c>
      <c r="AG34" s="403" t="n">
        <f aca="false">SUM(AG23:AG24)+SUM(AG26:AG33)</f>
        <v>110750</v>
      </c>
      <c r="AH34" s="403" t="n">
        <f aca="false">SUM(AH23:AH24)+SUM(AH26:AH33)</f>
        <v>110750</v>
      </c>
      <c r="AI34" s="403" t="n">
        <f aca="false">SUM(AI23:AI24)+SUM(AI26:AI33)</f>
        <v>110750</v>
      </c>
      <c r="AJ34" s="403" t="n">
        <f aca="false">SUM(AJ23:AJ24)+SUM(AJ26:AJ33)</f>
        <v>110750</v>
      </c>
      <c r="AK34" s="403" t="n">
        <f aca="false">SUM(AK23:AK24)+SUM(AK26:AK33)</f>
        <v>110750</v>
      </c>
      <c r="AL34" s="403" t="n">
        <f aca="false">SUM(AL23:AL24)+SUM(AL26:AL33)</f>
        <v>99950</v>
      </c>
      <c r="AM34" s="403" t="n">
        <f aca="false">SUM(AM23:AM24)+SUM(AM26:AM33)</f>
        <v>97150</v>
      </c>
      <c r="AN34" s="403" t="n">
        <f aca="false">SUM(AN23:AN24)+SUM(AN26:AN33)</f>
        <v>511588.722222222</v>
      </c>
      <c r="AO34" s="403" t="n">
        <f aca="false">SUM(AO23:AO24)+SUM(AO26:AO33)</f>
        <v>68250</v>
      </c>
      <c r="AP34" s="403" t="n">
        <f aca="false">SUM(AP23:AP24)+SUM(AP26:AP33)</f>
        <v>67150</v>
      </c>
      <c r="AQ34" s="403" t="n">
        <f aca="false">SUM(AQ23:AQ24)+SUM(AQ26:AQ33)</f>
        <v>67150</v>
      </c>
      <c r="AR34" s="403" t="n">
        <f aca="false">SUM(AR23:AR24)+SUM(AR26:AR33)</f>
        <v>67150</v>
      </c>
      <c r="AS34" s="403" t="n">
        <f aca="false">SUM(AS23:AS24)+SUM(AS26:AS33)</f>
        <v>67150</v>
      </c>
      <c r="AT34" s="403" t="n">
        <f aca="false">SUM(AT23:AT24)+SUM(AT26:AT33)</f>
        <v>55483.3333333333</v>
      </c>
      <c r="AU34" s="403" t="n">
        <f aca="false">SUM(AU23:AU24)+SUM(AU26:AU33)</f>
        <v>55483.3333333333</v>
      </c>
      <c r="AV34" s="403" t="n">
        <f aca="false">SUM(AV23:AV24)+SUM(AV26:AV33)</f>
        <v>55483.3333333333</v>
      </c>
      <c r="AW34" s="403" t="n">
        <f aca="false">SUM(AW23:AW24)+SUM(AW26:AW33)</f>
        <v>55483.3333333333</v>
      </c>
      <c r="AX34" s="403" t="n">
        <f aca="false">SUM(AX23:AX24)+SUM(AX26:AX33)</f>
        <v>57550</v>
      </c>
      <c r="AY34" s="403" t="n">
        <f aca="false">SUM(AY23:AY24)+SUM(AY26:AY33)</f>
        <v>57550</v>
      </c>
      <c r="AZ34" s="403" t="n">
        <f aca="false">SUM(AZ23:AZ24)+SUM(AZ26:AZ33)</f>
        <v>359812.055555556</v>
      </c>
      <c r="BA34" s="403" t="n">
        <f aca="false">SUM(BA23:BA24)+SUM(BA26:BA33)</f>
        <v>55483.3333333333</v>
      </c>
      <c r="BB34" s="403" t="n">
        <f aca="false">SUM(BB23:BB24)+SUM(BB26:BB33)</f>
        <v>55483.3333333333</v>
      </c>
      <c r="BC34" s="403" t="n">
        <f aca="false">SUM(BC23:BC24)+SUM(BC26:BC33)</f>
        <v>55483.3333333333</v>
      </c>
      <c r="BD34" s="403" t="n">
        <f aca="false">SUM(BD23:BD24)+SUM(BD26:BD33)</f>
        <v>40483.3333333333</v>
      </c>
      <c r="BE34" s="403" t="n">
        <f aca="false">SUM(BE23:BE24)+SUM(BE26:BE33)</f>
        <v>40483.3333333333</v>
      </c>
      <c r="BF34" s="403" t="n">
        <f aca="false">SUM(BF23:BF24)+SUM(BF26:BF33)</f>
        <v>40483.3333333333</v>
      </c>
      <c r="BG34" s="403" t="n">
        <f aca="false">SUM(BG23:BG24)+SUM(BG26:BG33)</f>
        <v>40483.3333333333</v>
      </c>
      <c r="BH34" s="403" t="n">
        <f aca="false">SUM(BH23:BH24)+SUM(BH26:BH33)</f>
        <v>40483.3333333333</v>
      </c>
      <c r="BI34" s="403" t="n">
        <f aca="false">SUM(BI23:BI24)+SUM(BI26:BI33)</f>
        <v>40483.3333333333</v>
      </c>
      <c r="BJ34" s="403" t="n">
        <f aca="false">SUM(BJ23:BJ24)+SUM(BJ26:BJ33)</f>
        <v>42550</v>
      </c>
      <c r="BK34" s="403" t="n">
        <f aca="false">SUM(BK23:BK24)+SUM(BK26:BK33)</f>
        <v>42550</v>
      </c>
      <c r="BL34" s="403" t="n">
        <f aca="false">SUM(BL23:BL24)+SUM(BL26:BL33)</f>
        <v>93384.7222222222</v>
      </c>
      <c r="BM34" s="403" t="n">
        <f aca="false">SUM(BM23:BM24)+SUM(BM26:BM33)</f>
        <v>42550</v>
      </c>
      <c r="BN34" s="403" t="n">
        <f aca="false">SUM(BN23:BN24)+SUM(BN26:BN33)</f>
        <v>40727.8888888889</v>
      </c>
      <c r="BO34" s="403" t="n">
        <f aca="false">SUM(BO23:BO24)+SUM(BO26:BO33)</f>
        <v>40483.3333333333</v>
      </c>
      <c r="BP34" s="403" t="n">
        <f aca="false">SUM(BP23:BP24)+SUM(BP26:BP33)</f>
        <v>40483.3333333333</v>
      </c>
      <c r="BQ34" s="403" t="n">
        <f aca="false">SUM(BQ23:BQ24)+SUM(BQ26:BQ33)</f>
        <v>40483.3333333333</v>
      </c>
      <c r="BR34" s="403" t="n">
        <f aca="false">SUM(BR23:BR24)+SUM(BR26:BR33)</f>
        <v>40483.3333333333</v>
      </c>
      <c r="BS34" s="403" t="n">
        <f aca="false">SUM(BS23:BS24)+SUM(BS26:BS33)</f>
        <v>0</v>
      </c>
      <c r="BT34" s="403" t="n">
        <f aca="false">SUM(BT23:BT24)+SUM(BT26:BT33)</f>
        <v>0</v>
      </c>
      <c r="BU34" s="403" t="n">
        <f aca="false">SUM(BU23:BU24)+SUM(BU26:BU33)</f>
        <v>0</v>
      </c>
      <c r="BV34" s="403" t="n">
        <f aca="false">SUM(BV23:BV24)+SUM(BV26:BV33)</f>
        <v>0</v>
      </c>
      <c r="BW34" s="403" t="n">
        <f aca="false">SUM(BW23:BW24)+SUM(BW26:BW33)</f>
        <v>0</v>
      </c>
      <c r="BX34" s="403" t="n">
        <f aca="false">SUM(BX23:BX24)+SUM(BX26:BX33)</f>
        <v>0</v>
      </c>
      <c r="BY34" s="403" t="n">
        <f aca="false">SUM(BY23:BY24)+SUM(BY26:BY33)</f>
        <v>0</v>
      </c>
      <c r="BZ34" s="403" t="n">
        <f aca="false">SUM(BZ23:BZ24)+SUM(BZ26:BZ33)</f>
        <v>0</v>
      </c>
      <c r="CA34" s="403" t="n">
        <f aca="false">SUM(CA23:CA24)+SUM(CA26:CA33)</f>
        <v>0</v>
      </c>
      <c r="CB34" s="403" t="n">
        <f aca="false">SUM(CB23:CB24)+SUM(CB26:CB33)</f>
        <v>0</v>
      </c>
      <c r="CC34" s="403" t="n">
        <f aca="false">SUM(CC23:CC24)+SUM(CC26:CC33)</f>
        <v>0</v>
      </c>
      <c r="CD34" s="403" t="n">
        <f aca="false">SUM(CD23:CD24)+SUM(CD26:CD33)</f>
        <v>0</v>
      </c>
      <c r="CE34" s="403" t="n">
        <f aca="false">SUM(CE23:CE24)+SUM(CE26:CE33)</f>
        <v>0</v>
      </c>
      <c r="CF34" s="403" t="n">
        <f aca="false">SUM(CF23:CF24)+SUM(CF26:CF33)</f>
        <v>0</v>
      </c>
      <c r="CG34" s="403" t="n">
        <f aca="false">SUM(CG23:CG24)+SUM(CG26:CG33)</f>
        <v>0</v>
      </c>
      <c r="CH34" s="403" t="n">
        <f aca="false">SUM(CH23:CH24)+SUM(CH26:CH33)</f>
        <v>0</v>
      </c>
      <c r="CI34" s="403" t="n">
        <f aca="false">SUM(CI23:CI24)+SUM(CI26:CI33)</f>
        <v>0</v>
      </c>
      <c r="CJ34" s="403" t="n">
        <f aca="false">SUM(CJ23:CJ24)+SUM(CJ26:CJ33)</f>
        <v>0</v>
      </c>
      <c r="CK34" s="403" t="n">
        <f aca="false">SUM(CK23:CK24)+SUM(CK26:CK33)</f>
        <v>0</v>
      </c>
      <c r="CL34" s="403" t="n">
        <f aca="false">SUM(CL23:CL24)+SUM(CL26:CL33)</f>
        <v>0</v>
      </c>
      <c r="CM34" s="403" t="n">
        <f aca="false">SUM(CM23:CM24)+SUM(CM26:CM33)</f>
        <v>0</v>
      </c>
      <c r="CN34" s="403" t="n">
        <f aca="false">SUM(CN23:CN24)+SUM(CN26:CN33)</f>
        <v>0</v>
      </c>
      <c r="CO34" s="403" t="n">
        <f aca="false">SUM(CO23:CO24)+SUM(CO26:CO33)</f>
        <v>0</v>
      </c>
      <c r="CP34" s="403" t="n">
        <f aca="false">SUM(CP23:CP24)+SUM(CP26:CP33)</f>
        <v>0</v>
      </c>
      <c r="CQ34" s="403" t="n">
        <f aca="false">SUM(CQ23:CQ24)+SUM(CQ26:CQ33)</f>
        <v>0</v>
      </c>
      <c r="CR34" s="403" t="n">
        <f aca="false">SUM(CR23:CR24)+SUM(CR26:CR33)</f>
        <v>0</v>
      </c>
      <c r="CS34" s="403" t="n">
        <f aca="false">SUM(CS23:CS24)+SUM(CS26:CS33)</f>
        <v>0</v>
      </c>
    </row>
    <row r="35" customFormat="false" ht="15" hidden="false" customHeight="true" outlineLevel="0" collapsed="false">
      <c r="A35" s="123" t="s">
        <v>1433</v>
      </c>
      <c r="B35" s="124" t="n">
        <f aca="false">$B$50*(B10*'Uplifters Inputs'!$B$30+B14*'Uplifters Inputs'!$B$31+B13*'Uplifters Inputs'!$B$32)</f>
        <v>0</v>
      </c>
      <c r="C35" s="124" t="n">
        <f aca="false">$B$50*(C10*'Uplifters Inputs'!$B$30+C14*'Uplifters Inputs'!$B$31+C13*'Uplifters Inputs'!$B$32)</f>
        <v>0</v>
      </c>
      <c r="D35" s="124" t="n">
        <f aca="false">$B$50*(D10*'Uplifters Inputs'!$B$30+D14*'Uplifters Inputs'!$B$31+D13*'Uplifters Inputs'!$B$32)</f>
        <v>0</v>
      </c>
      <c r="E35" s="124" t="n">
        <f aca="false">$B$50*(E10*'Uplifters Inputs'!$B$30+E14*'Uplifters Inputs'!$B$31+E13*'Uplifters Inputs'!$B$32)</f>
        <v>0</v>
      </c>
      <c r="F35" s="124" t="n">
        <f aca="false">$B$50*(F10*'Uplifters Inputs'!$B$30+F14*'Uplifters Inputs'!$B$31+F13*'Uplifters Inputs'!$B$32)</f>
        <v>0</v>
      </c>
      <c r="G35" s="124" t="n">
        <f aca="false">$B$50*(G10*'Uplifters Inputs'!$B$30+G14*'Uplifters Inputs'!$B$31+G13*'Uplifters Inputs'!$B$32)</f>
        <v>0</v>
      </c>
      <c r="H35" s="124" t="n">
        <f aca="false">$B$50*(H10*'Uplifters Inputs'!$B$30+H14*'Uplifters Inputs'!$B$31+H13*'Uplifters Inputs'!$B$32)</f>
        <v>0</v>
      </c>
      <c r="I35" s="124" t="n">
        <f aca="false">$B$50*(I10*'Uplifters Inputs'!$B$30+I14*'Uplifters Inputs'!$B$31+I13*'Uplifters Inputs'!$B$32)</f>
        <v>0</v>
      </c>
      <c r="J35" s="124" t="n">
        <f aca="false">$B$50*(J10*'Uplifters Inputs'!$B$30+J14*'Uplifters Inputs'!$B$31+J13*'Uplifters Inputs'!$B$32)</f>
        <v>0</v>
      </c>
      <c r="K35" s="124" t="n">
        <f aca="false">$B$50*(K10*'Uplifters Inputs'!$B$30+K14*'Uplifters Inputs'!$B$31+K13*'Uplifters Inputs'!$B$32)</f>
        <v>0</v>
      </c>
      <c r="L35" s="124" t="n">
        <f aca="false">$B$50*(L10*'Uplifters Inputs'!$B$30+L14*'Uplifters Inputs'!$B$31+L13*'Uplifters Inputs'!$B$32)</f>
        <v>0</v>
      </c>
      <c r="M35" s="124" t="n">
        <f aca="false">$B$50*(M10*'Uplifters Inputs'!$B$30+M14*'Uplifters Inputs'!$B$31+M13*'Uplifters Inputs'!$B$32)</f>
        <v>0</v>
      </c>
      <c r="N35" s="124" t="n">
        <f aca="false">$B$50*(N10*'Uplifters Inputs'!$B$30+N14*'Uplifters Inputs'!$B$31+N13*'Uplifters Inputs'!$B$32)</f>
        <v>0</v>
      </c>
      <c r="O35" s="124" t="n">
        <f aca="false">$B$50*(O10*'Uplifters Inputs'!$B$30+O14*'Uplifters Inputs'!$B$31+O13*'Uplifters Inputs'!$B$32)</f>
        <v>0</v>
      </c>
      <c r="P35" s="124" t="n">
        <f aca="false">$B$50*(P10*'Uplifters Inputs'!$B$30+P14*'Uplifters Inputs'!$B$31+P13*'Uplifters Inputs'!$B$32)</f>
        <v>0</v>
      </c>
      <c r="Q35" s="124" t="n">
        <f aca="false">$B$50*(Q10*'Uplifters Inputs'!$B$30+Q14*'Uplifters Inputs'!$B$31+Q13*'Uplifters Inputs'!$B$32)</f>
        <v>9444.44444444444</v>
      </c>
      <c r="R35" s="124" t="n">
        <f aca="false">$B$50*(R10*'Uplifters Inputs'!$B$30+R14*'Uplifters Inputs'!$B$31+R13*'Uplifters Inputs'!$B$32)</f>
        <v>18888.8888888889</v>
      </c>
      <c r="S35" s="124" t="n">
        <f aca="false">$B$50*(S10*'Uplifters Inputs'!$B$30+S14*'Uplifters Inputs'!$B$31+S13*'Uplifters Inputs'!$B$32)</f>
        <v>28333.3333333333</v>
      </c>
      <c r="T35" s="124" t="n">
        <f aca="false">$B$50*(T10*'Uplifters Inputs'!$B$30+T14*'Uplifters Inputs'!$B$31+T13*'Uplifters Inputs'!$B$32)</f>
        <v>37777.7777777778</v>
      </c>
      <c r="U35" s="124" t="n">
        <f aca="false">$B$50*(U10*'Uplifters Inputs'!$B$30+U14*'Uplifters Inputs'!$B$31+U13*'Uplifters Inputs'!$B$32)</f>
        <v>47222.2222222222</v>
      </c>
      <c r="V35" s="124" t="n">
        <f aca="false">$B$50*(V10*'Uplifters Inputs'!$B$30+V14*'Uplifters Inputs'!$B$31+V13*'Uplifters Inputs'!$B$32)</f>
        <v>47222.2222222222</v>
      </c>
      <c r="W35" s="124" t="n">
        <f aca="false">$B$50*(W10*'Uplifters Inputs'!$B$30+W14*'Uplifters Inputs'!$B$31+W13*'Uplifters Inputs'!$B$32)</f>
        <v>47222.2222222222</v>
      </c>
      <c r="X35" s="124" t="n">
        <f aca="false">$B$50*(X10*'Uplifters Inputs'!$B$30+X14*'Uplifters Inputs'!$B$31+X13*'Uplifters Inputs'!$B$32)</f>
        <v>47222.2222222222</v>
      </c>
      <c r="Y35" s="124" t="n">
        <f aca="false">$B$50*(Y10*'Uplifters Inputs'!$B$30+Y14*'Uplifters Inputs'!$B$31+Y13*'Uplifters Inputs'!$B$32)</f>
        <v>37777.7777777778</v>
      </c>
      <c r="Z35" s="124" t="n">
        <f aca="false">$B$50*(Z10*'Uplifters Inputs'!$B$30+Z14*'Uplifters Inputs'!$B$31+Z13*'Uplifters Inputs'!$B$32)</f>
        <v>37777.7777777778</v>
      </c>
      <c r="AA35" s="124" t="n">
        <f aca="false">$B$50*(AA10*'Uplifters Inputs'!$B$30+AA14*'Uplifters Inputs'!$B$31+AA13*'Uplifters Inputs'!$B$32)</f>
        <v>28333.3333333333</v>
      </c>
      <c r="AB35" s="124" t="n">
        <f aca="false">$B$50*(AB10*'Uplifters Inputs'!$B$30+AB14*'Uplifters Inputs'!$B$31+AB13*'Uplifters Inputs'!$B$32)</f>
        <v>28333.3333333333</v>
      </c>
      <c r="AC35" s="124" t="n">
        <f aca="false">$B$50*(AC10*'Uplifters Inputs'!$B$30+AC14*'Uplifters Inputs'!$B$31+AC13*'Uplifters Inputs'!$B$32)</f>
        <v>18888.8888888889</v>
      </c>
      <c r="AD35" s="124" t="n">
        <f aca="false">$B$50*(AD10*'Uplifters Inputs'!$B$30+AD14*'Uplifters Inputs'!$B$31+AD13*'Uplifters Inputs'!$B$32)</f>
        <v>18888.8888888889</v>
      </c>
      <c r="AE35" s="124" t="n">
        <f aca="false">$B$50*(AE10*'Uplifters Inputs'!$B$30+AE14*'Uplifters Inputs'!$B$31+AE13*'Uplifters Inputs'!$B$32)</f>
        <v>18888.8888888889</v>
      </c>
      <c r="AF35" s="124" t="n">
        <f aca="false">$B$50*(AF10*'Uplifters Inputs'!$B$30+AF14*'Uplifters Inputs'!$B$31+AF13*'Uplifters Inputs'!$B$32)</f>
        <v>18888.8888888889</v>
      </c>
      <c r="AG35" s="124" t="n">
        <f aca="false">$B$50*(AG10*'Uplifters Inputs'!$B$30+AG14*'Uplifters Inputs'!$B$31+AG13*'Uplifters Inputs'!$B$32)</f>
        <v>18888.8888888889</v>
      </c>
      <c r="AH35" s="124" t="n">
        <f aca="false">$B$50*(AH10*'Uplifters Inputs'!$B$30+AH14*'Uplifters Inputs'!$B$31+AH13*'Uplifters Inputs'!$B$32)</f>
        <v>28333.3333333333</v>
      </c>
      <c r="AI35" s="124" t="n">
        <f aca="false">$B$50*(AI10*'Uplifters Inputs'!$B$30+AI14*'Uplifters Inputs'!$B$31+AI13*'Uplifters Inputs'!$B$32)</f>
        <v>37777.7777777778</v>
      </c>
      <c r="AJ35" s="124" t="n">
        <f aca="false">$B$50*(AJ10*'Uplifters Inputs'!$B$30+AJ14*'Uplifters Inputs'!$B$31+AJ13*'Uplifters Inputs'!$B$32)</f>
        <v>47222.2222222222</v>
      </c>
      <c r="AK35" s="124" t="n">
        <f aca="false">$B$50*(AK10*'Uplifters Inputs'!$B$30+AK14*'Uplifters Inputs'!$B$31+AK13*'Uplifters Inputs'!$B$32)</f>
        <v>56666.6666666667</v>
      </c>
      <c r="AL35" s="124" t="n">
        <f aca="false">$B$50*(AL10*'Uplifters Inputs'!$B$30+AL14*'Uplifters Inputs'!$B$31+AL13*'Uplifters Inputs'!$B$32)</f>
        <v>56666.6666666667</v>
      </c>
      <c r="AM35" s="124" t="n">
        <f aca="false">$B$50*(AM10*'Uplifters Inputs'!$B$30+AM14*'Uplifters Inputs'!$B$31+AM13*'Uplifters Inputs'!$B$32)</f>
        <v>56666.6666666667</v>
      </c>
      <c r="AN35" s="124" t="n">
        <f aca="false">$B$50*(AN10*'Uplifters Inputs'!$B$30+AN14*'Uplifters Inputs'!$B$31+AN13*'Uplifters Inputs'!$B$32)</f>
        <v>56666.6666666667</v>
      </c>
      <c r="AO35" s="124" t="n">
        <f aca="false">$B$50*(AO10*'Uplifters Inputs'!$B$30+AO14*'Uplifters Inputs'!$B$31+AO13*'Uplifters Inputs'!$B$32)</f>
        <v>37777.7777777778</v>
      </c>
      <c r="AP35" s="124" t="n">
        <f aca="false">$B$50*(AP10*'Uplifters Inputs'!$B$30+AP14*'Uplifters Inputs'!$B$31+AP13*'Uplifters Inputs'!$B$32)</f>
        <v>37777.7777777778</v>
      </c>
      <c r="AQ35" s="124" t="n">
        <f aca="false">$B$50*(AQ10*'Uplifters Inputs'!$B$30+AQ14*'Uplifters Inputs'!$B$31+AQ13*'Uplifters Inputs'!$B$32)</f>
        <v>28333.3333333333</v>
      </c>
      <c r="AR35" s="124" t="n">
        <f aca="false">$B$50*(AR10*'Uplifters Inputs'!$B$30+AR14*'Uplifters Inputs'!$B$31+AR13*'Uplifters Inputs'!$B$32)</f>
        <v>28333.3333333333</v>
      </c>
      <c r="AS35" s="124" t="n">
        <f aca="false">$B$50*(AS10*'Uplifters Inputs'!$B$30+AS14*'Uplifters Inputs'!$B$31+AS13*'Uplifters Inputs'!$B$32)</f>
        <v>18888.8888888889</v>
      </c>
      <c r="AT35" s="124" t="n">
        <f aca="false">$B$50*(AT10*'Uplifters Inputs'!$B$30+AT14*'Uplifters Inputs'!$B$31+AT13*'Uplifters Inputs'!$B$32)</f>
        <v>18888.8888888889</v>
      </c>
      <c r="AU35" s="124" t="n">
        <f aca="false">$B$50*(AU10*'Uplifters Inputs'!$B$30+AU14*'Uplifters Inputs'!$B$31+AU13*'Uplifters Inputs'!$B$32)</f>
        <v>18888.8888888889</v>
      </c>
      <c r="AV35" s="124" t="n">
        <f aca="false">$B$50*(AV10*'Uplifters Inputs'!$B$30+AV14*'Uplifters Inputs'!$B$31+AV13*'Uplifters Inputs'!$B$32)</f>
        <v>18888.8888888889</v>
      </c>
      <c r="AW35" s="124" t="n">
        <f aca="false">$B$50*(AW10*'Uplifters Inputs'!$B$30+AW14*'Uplifters Inputs'!$B$31+AW13*'Uplifters Inputs'!$B$32)</f>
        <v>9444.44444444444</v>
      </c>
      <c r="AX35" s="124" t="n">
        <f aca="false">$B$50*(AX10*'Uplifters Inputs'!$B$30+AX14*'Uplifters Inputs'!$B$31+AX13*'Uplifters Inputs'!$B$32)</f>
        <v>9444.44444444444</v>
      </c>
      <c r="AY35" s="124" t="n">
        <f aca="false">$B$50*(AY10*'Uplifters Inputs'!$B$30+AY14*'Uplifters Inputs'!$B$31+AY13*'Uplifters Inputs'!$B$32)</f>
        <v>9444.44444444444</v>
      </c>
      <c r="AZ35" s="124" t="n">
        <f aca="false">$B$50*(AZ10*'Uplifters Inputs'!$B$30+AZ14*'Uplifters Inputs'!$B$31+AZ13*'Uplifters Inputs'!$B$32)</f>
        <v>9444.44444444444</v>
      </c>
      <c r="BA35" s="124" t="n">
        <f aca="false">$B$50*(BA10*'Uplifters Inputs'!$B$30+BA14*'Uplifters Inputs'!$B$31+BA13*'Uplifters Inputs'!$B$32)</f>
        <v>9444.44444444444</v>
      </c>
      <c r="BB35" s="124" t="n">
        <f aca="false">$B$50*(BB10*'Uplifters Inputs'!$B$30+BB14*'Uplifters Inputs'!$B$31+BB13*'Uplifters Inputs'!$B$32)</f>
        <v>9444.44444444444</v>
      </c>
      <c r="BC35" s="124" t="n">
        <f aca="false">$B$50*(BC10*'Uplifters Inputs'!$B$30+BC14*'Uplifters Inputs'!$B$31+BC13*'Uplifters Inputs'!$B$32)</f>
        <v>9444.44444444444</v>
      </c>
      <c r="BD35" s="124" t="n">
        <f aca="false">$B$50*(BD10*'Uplifters Inputs'!$B$30+BD14*'Uplifters Inputs'!$B$31+BD13*'Uplifters Inputs'!$B$32)</f>
        <v>9444.44444444444</v>
      </c>
      <c r="BE35" s="124" t="n">
        <f aca="false">$B$50*(BE10*'Uplifters Inputs'!$B$30+BE14*'Uplifters Inputs'!$B$31+BE13*'Uplifters Inputs'!$B$32)</f>
        <v>0</v>
      </c>
      <c r="BF35" s="124" t="n">
        <f aca="false">$B$50*(BF10*'Uplifters Inputs'!$B$30+BF14*'Uplifters Inputs'!$B$31+BF13*'Uplifters Inputs'!$B$32)</f>
        <v>0</v>
      </c>
      <c r="BG35" s="124" t="n">
        <f aca="false">$B$50*(BG10*'Uplifters Inputs'!$B$30+BG14*'Uplifters Inputs'!$B$31+BG13*'Uplifters Inputs'!$B$32)</f>
        <v>0</v>
      </c>
      <c r="BH35" s="124" t="n">
        <f aca="false">$B$50*(BH10*'Uplifters Inputs'!$B$30+BH14*'Uplifters Inputs'!$B$31+BH13*'Uplifters Inputs'!$B$32)</f>
        <v>0</v>
      </c>
      <c r="BI35" s="124" t="n">
        <f aca="false">$B$50*(BI10*'Uplifters Inputs'!$B$30+BI14*'Uplifters Inputs'!$B$31+BI13*'Uplifters Inputs'!$B$32)</f>
        <v>0</v>
      </c>
      <c r="BJ35" s="124" t="n">
        <f aca="false">$B$50*(BJ10*'Uplifters Inputs'!$B$30+BJ14*'Uplifters Inputs'!$B$31+BJ13*'Uplifters Inputs'!$B$32)</f>
        <v>0</v>
      </c>
      <c r="BK35" s="124" t="n">
        <f aca="false">$B$50*(BK10*'Uplifters Inputs'!$B$30+BK14*'Uplifters Inputs'!$B$31+BK13*'Uplifters Inputs'!$B$32)</f>
        <v>0</v>
      </c>
      <c r="BL35" s="124" t="n">
        <f aca="false">$B$50*(BL10*'Uplifters Inputs'!$B$30+BL14*'Uplifters Inputs'!$B$31+BL13*'Uplifters Inputs'!$B$32)</f>
        <v>0</v>
      </c>
      <c r="BM35" s="124" t="n">
        <f aca="false">$B$50*(BM10*'Uplifters Inputs'!$B$30+BM14*'Uplifters Inputs'!$B$31+BM13*'Uplifters Inputs'!$B$32)</f>
        <v>0</v>
      </c>
      <c r="BN35" s="124" t="n">
        <f aca="false">$B$50*(BN10*'Uplifters Inputs'!$B$30+BN14*'Uplifters Inputs'!$B$31+BN13*'Uplifters Inputs'!$B$32)</f>
        <v>0</v>
      </c>
      <c r="BO35" s="124" t="n">
        <f aca="false">$B$50*(BO10*'Uplifters Inputs'!$B$30+BO14*'Uplifters Inputs'!$B$31+BO13*'Uplifters Inputs'!$B$32)</f>
        <v>0</v>
      </c>
      <c r="BP35" s="124" t="n">
        <f aca="false">$B$50*(BP10*'Uplifters Inputs'!$B$30+BP14*'Uplifters Inputs'!$B$31+BP13*'Uplifters Inputs'!$B$32)</f>
        <v>0</v>
      </c>
      <c r="BQ35" s="124" t="n">
        <f aca="false">$B$50*(BQ10*'Uplifters Inputs'!$B$30+BQ14*'Uplifters Inputs'!$B$31+BQ13*'Uplifters Inputs'!$B$32)</f>
        <v>0</v>
      </c>
      <c r="BR35" s="124" t="n">
        <f aca="false">$B$50*(BR10*'Uplifters Inputs'!$B$30+BR14*'Uplifters Inputs'!$B$31+BR13*'Uplifters Inputs'!$B$32)</f>
        <v>0</v>
      </c>
      <c r="BS35" s="124" t="n">
        <f aca="false">$B$50*(BS10*'Uplifters Inputs'!$B$30+BS14*'Uplifters Inputs'!$B$31+BS13*'Uplifters Inputs'!$B$32)</f>
        <v>0</v>
      </c>
      <c r="BT35" s="124" t="n">
        <f aca="false">$B$50*(BT10*'Uplifters Inputs'!$B$30+BT14*'Uplifters Inputs'!$B$31+BT13*'Uplifters Inputs'!$B$32)</f>
        <v>0</v>
      </c>
      <c r="BU35" s="124" t="n">
        <f aca="false">$B$50*(BU10*'Uplifters Inputs'!$B$30+BU14*'Uplifters Inputs'!$B$31+BU13*'Uplifters Inputs'!$B$32)</f>
        <v>0</v>
      </c>
      <c r="BV35" s="124" t="n">
        <f aca="false">$B$50*(BV10*'Uplifters Inputs'!$B$30+BV14*'Uplifters Inputs'!$B$31+BV13*'Uplifters Inputs'!$B$32)</f>
        <v>0</v>
      </c>
      <c r="BW35" s="124" t="n">
        <f aca="false">$B$50*(BW10*'Uplifters Inputs'!$B$30+BW14*'Uplifters Inputs'!$B$31+BW13*'Uplifters Inputs'!$B$32)</f>
        <v>0</v>
      </c>
      <c r="BX35" s="124" t="n">
        <f aca="false">$B$50*(BX10*'Uplifters Inputs'!$B$30+BX14*'Uplifters Inputs'!$B$31+BX13*'Uplifters Inputs'!$B$32)</f>
        <v>0</v>
      </c>
      <c r="BY35" s="124" t="n">
        <f aca="false">$B$50*(BY10*'Uplifters Inputs'!$B$30+BY14*'Uplifters Inputs'!$B$31+BY13*'Uplifters Inputs'!$B$32)</f>
        <v>0</v>
      </c>
      <c r="BZ35" s="124" t="n">
        <f aca="false">$B$50*(BZ10*'Uplifters Inputs'!$B$30+BZ14*'Uplifters Inputs'!$B$31+BZ13*'Uplifters Inputs'!$B$32)</f>
        <v>0</v>
      </c>
      <c r="CA35" s="124" t="n">
        <f aca="false">$B$50*(CA10*'Uplifters Inputs'!$B$30+CA14*'Uplifters Inputs'!$B$31+CA13*'Uplifters Inputs'!$B$32)</f>
        <v>0</v>
      </c>
      <c r="CB35" s="124" t="n">
        <f aca="false">$B$50*(CB10*'Uplifters Inputs'!$B$30+CB14*'Uplifters Inputs'!$B$31+CB13*'Uplifters Inputs'!$B$32)</f>
        <v>0</v>
      </c>
      <c r="CC35" s="124" t="n">
        <f aca="false">$B$50*(CC10*'Uplifters Inputs'!$B$30+CC14*'Uplifters Inputs'!$B$31+CC13*'Uplifters Inputs'!$B$32)</f>
        <v>0</v>
      </c>
      <c r="CD35" s="124" t="n">
        <f aca="false">$B$50*(CD10*'Uplifters Inputs'!$B$30+CD14*'Uplifters Inputs'!$B$31+CD13*'Uplifters Inputs'!$B$32)</f>
        <v>0</v>
      </c>
      <c r="CE35" s="124" t="n">
        <f aca="false">$B$50*(CE10*'Uplifters Inputs'!$B$30+CE14*'Uplifters Inputs'!$B$31+CE13*'Uplifters Inputs'!$B$32)</f>
        <v>0</v>
      </c>
      <c r="CF35" s="124" t="n">
        <f aca="false">$B$50*(CF10*'Uplifters Inputs'!$B$30+CF14*'Uplifters Inputs'!$B$31+CF13*'Uplifters Inputs'!$B$32)</f>
        <v>0</v>
      </c>
      <c r="CG35" s="124" t="n">
        <f aca="false">$B$50*(CG10*'Uplifters Inputs'!$B$30+CG14*'Uplifters Inputs'!$B$31+CG13*'Uplifters Inputs'!$B$32)</f>
        <v>0</v>
      </c>
      <c r="CH35" s="124" t="n">
        <f aca="false">$B$50*(CH10*'Uplifters Inputs'!$B$30+CH14*'Uplifters Inputs'!$B$31+CH13*'Uplifters Inputs'!$B$32)</f>
        <v>0</v>
      </c>
      <c r="CI35" s="124" t="n">
        <f aca="false">$B$50*(CI10*'Uplifters Inputs'!$B$30+CI14*'Uplifters Inputs'!$B$31+CI13*'Uplifters Inputs'!$B$32)</f>
        <v>0</v>
      </c>
      <c r="CJ35" s="124" t="n">
        <f aca="false">$B$50*(CJ10*'Uplifters Inputs'!$B$30+CJ14*'Uplifters Inputs'!$B$31+CJ13*'Uplifters Inputs'!$B$32)</f>
        <v>0</v>
      </c>
      <c r="CK35" s="124" t="n">
        <f aca="false">$B$50*(CK10*'Uplifters Inputs'!$B$30+CK14*'Uplifters Inputs'!$B$31+CK13*'Uplifters Inputs'!$B$32)</f>
        <v>0</v>
      </c>
      <c r="CL35" s="124" t="n">
        <f aca="false">$B$50*(CL10*'Uplifters Inputs'!$B$30+CL14*'Uplifters Inputs'!$B$31+CL13*'Uplifters Inputs'!$B$32)</f>
        <v>0</v>
      </c>
      <c r="CM35" s="124" t="n">
        <f aca="false">$B$50*(CM10*'Uplifters Inputs'!$B$30+CM14*'Uplifters Inputs'!$B$31+CM13*'Uplifters Inputs'!$B$32)</f>
        <v>0</v>
      </c>
      <c r="CN35" s="124" t="n">
        <f aca="false">$B$50*(CN10*'Uplifters Inputs'!$B$30+CN14*'Uplifters Inputs'!$B$31+CN13*'Uplifters Inputs'!$B$32)</f>
        <v>0</v>
      </c>
      <c r="CO35" s="124" t="n">
        <f aca="false">$B$50*(CO10*'Uplifters Inputs'!$B$30+CO14*'Uplifters Inputs'!$B$31+CO13*'Uplifters Inputs'!$B$32)</f>
        <v>0</v>
      </c>
      <c r="CP35" s="124" t="n">
        <f aca="false">$B$50*(CP10*'Uplifters Inputs'!$B$30+CP14*'Uplifters Inputs'!$B$31+CP13*'Uplifters Inputs'!$B$32)</f>
        <v>0</v>
      </c>
      <c r="CQ35" s="124" t="n">
        <f aca="false">$B$50*(CQ10*'Uplifters Inputs'!$B$30+CQ14*'Uplifters Inputs'!$B$31+CQ13*'Uplifters Inputs'!$B$32)</f>
        <v>0</v>
      </c>
      <c r="CR35" s="124" t="n">
        <f aca="false">$B$50*(CR10*'Uplifters Inputs'!$B$30+CR14*'Uplifters Inputs'!$B$31+CR13*'Uplifters Inputs'!$B$32)</f>
        <v>0</v>
      </c>
      <c r="CS35" s="124" t="n">
        <f aca="false">$B$50*(CS10*'Uplifters Inputs'!$B$30+CS14*'Uplifters Inputs'!$B$31+CS13*'Uplifters Inputs'!$B$32)</f>
        <v>0</v>
      </c>
    </row>
    <row r="36" customFormat="false" ht="15" hidden="false" customHeight="true" outlineLevel="0" collapsed="false">
      <c r="A36" s="386" t="s">
        <v>1434</v>
      </c>
      <c r="B36" s="403" t="n">
        <f aca="false">B20-B34</f>
        <v>0</v>
      </c>
      <c r="C36" s="403" t="n">
        <f aca="false">C20-C34</f>
        <v>0</v>
      </c>
      <c r="D36" s="403" t="n">
        <f aca="false">D20-D34</f>
        <v>0</v>
      </c>
      <c r="E36" s="403" t="n">
        <f aca="false">E20-E34</f>
        <v>0</v>
      </c>
      <c r="F36" s="403" t="n">
        <f aca="false">F20-F34</f>
        <v>0</v>
      </c>
      <c r="G36" s="403" t="n">
        <f aca="false">G20-G34</f>
        <v>0</v>
      </c>
      <c r="H36" s="403" t="n">
        <f aca="false">H20-H34</f>
        <v>0</v>
      </c>
      <c r="I36" s="403" t="n">
        <f aca="false">I20-I34</f>
        <v>0</v>
      </c>
      <c r="J36" s="403" t="n">
        <f aca="false">J20-J34</f>
        <v>0</v>
      </c>
      <c r="K36" s="403" t="n">
        <f aca="false">K20-K34</f>
        <v>-9583.33333333333</v>
      </c>
      <c r="L36" s="403" t="n">
        <f aca="false">L20-L34</f>
        <v>-14583.3333333333</v>
      </c>
      <c r="M36" s="403" t="n">
        <f aca="false">M20-M34</f>
        <v>-14583.3333333333</v>
      </c>
      <c r="N36" s="403" t="n">
        <f aca="false">N20-N34</f>
        <v>-19583.3333333333</v>
      </c>
      <c r="O36" s="403" t="n">
        <f aca="false">O20-O34</f>
        <v>-52550</v>
      </c>
      <c r="P36" s="403" t="n">
        <f aca="false">P20-P34</f>
        <v>-52550</v>
      </c>
      <c r="Q36" s="403" t="n">
        <f aca="false">Q20-Q34</f>
        <v>-38550</v>
      </c>
      <c r="R36" s="403" t="n">
        <f aca="false">R20-R34</f>
        <v>-24550</v>
      </c>
      <c r="S36" s="403" t="n">
        <f aca="false">S20-S34</f>
        <v>-10550</v>
      </c>
      <c r="T36" s="403" t="n">
        <f aca="false">T20-T34</f>
        <v>4411</v>
      </c>
      <c r="U36" s="403" t="n">
        <f aca="false">U20-U34</f>
        <v>14516.6666666667</v>
      </c>
      <c r="V36" s="403" t="n">
        <f aca="false">V20-V34</f>
        <v>22563.5833333333</v>
      </c>
      <c r="W36" s="403" t="n">
        <f aca="false">W20-W34</f>
        <v>38657.4166666667</v>
      </c>
      <c r="X36" s="403" t="n">
        <f aca="false">X20-X34</f>
        <v>62798.1666666667</v>
      </c>
      <c r="Y36" s="403" t="n">
        <f aca="false">Y20-Y34</f>
        <v>50569.1666666667</v>
      </c>
      <c r="Z36" s="403" t="n">
        <f aca="false">Z20-Z34</f>
        <v>107487.083333333</v>
      </c>
      <c r="AA36" s="403" t="n">
        <f aca="false">AA20-AA34</f>
        <v>74038.3333333333</v>
      </c>
      <c r="AB36" s="403" t="n">
        <f aca="false">AB20-AB34</f>
        <v>-252053.027777778</v>
      </c>
      <c r="AC36" s="403" t="n">
        <f aca="false">AC20-AC34</f>
        <v>171524.166666667</v>
      </c>
      <c r="AD36" s="403" t="n">
        <f aca="false">AD20-AD34</f>
        <v>172095.166666667</v>
      </c>
      <c r="AE36" s="403" t="n">
        <f aca="false">AE20-AE34</f>
        <v>223032.833333333</v>
      </c>
      <c r="AF36" s="403" t="n">
        <f aca="false">AF20-AF34</f>
        <v>247173.583333333</v>
      </c>
      <c r="AG36" s="403" t="n">
        <f aca="false">AG20-AG34</f>
        <v>257314.333333333</v>
      </c>
      <c r="AH36" s="403" t="n">
        <f aca="false">AH20-AH34</f>
        <v>270761.25</v>
      </c>
      <c r="AI36" s="403" t="n">
        <f aca="false">AI20-AI34</f>
        <v>276161.25</v>
      </c>
      <c r="AJ36" s="403" t="n">
        <f aca="false">AJ20-AJ34</f>
        <v>273514.333333333</v>
      </c>
      <c r="AK36" s="403" t="n">
        <f aca="false">AK20-AK34</f>
        <v>262820.5</v>
      </c>
      <c r="AL36" s="403" t="n">
        <f aca="false">AL20-AL34</f>
        <v>246832.833333333</v>
      </c>
      <c r="AM36" s="403" t="n">
        <f aca="false">AM20-AM34</f>
        <v>217445.166666667</v>
      </c>
      <c r="AN36" s="403" t="n">
        <f aca="false">AN20-AN34</f>
        <v>-229181.222222222</v>
      </c>
      <c r="AO36" s="403" t="n">
        <f aca="false">AO20-AO34</f>
        <v>167969.833333333</v>
      </c>
      <c r="AP36" s="403" t="n">
        <f aca="false">AP20-AP34</f>
        <v>139529.083333333</v>
      </c>
      <c r="AQ36" s="403" t="n">
        <f aca="false">AQ20-AQ34</f>
        <v>115388.333333333</v>
      </c>
      <c r="AR36" s="403" t="n">
        <f aca="false">AR20-AR34</f>
        <v>93894.5</v>
      </c>
      <c r="AS36" s="403" t="n">
        <f aca="false">AS20-AS34</f>
        <v>77800.6666666667</v>
      </c>
      <c r="AT36" s="403" t="n">
        <f aca="false">AT20-AT34</f>
        <v>67973.5</v>
      </c>
      <c r="AU36" s="403" t="n">
        <f aca="false">AU20-AU34</f>
        <v>86077.6666666667</v>
      </c>
      <c r="AV36" s="403" t="n">
        <f aca="false">AV20-AV34</f>
        <v>104181.833333333</v>
      </c>
      <c r="AW36" s="403" t="n">
        <f aca="false">AW20-AW34</f>
        <v>122286</v>
      </c>
      <c r="AX36" s="403" t="n">
        <f aca="false">AX20-AX34</f>
        <v>140970.416666667</v>
      </c>
      <c r="AY36" s="403" t="n">
        <f aca="false">AY20-AY34</f>
        <v>167121.5</v>
      </c>
      <c r="AZ36" s="403" t="n">
        <f aca="false">AZ20-AZ34</f>
        <v>-143187.472222222</v>
      </c>
      <c r="BA36" s="403" t="n">
        <f aca="false">BA20-BA34</f>
        <v>153094.333333333</v>
      </c>
      <c r="BB36" s="403" t="n">
        <f aca="false">BB20-BB34</f>
        <v>145047.416666667</v>
      </c>
      <c r="BC36" s="403" t="n">
        <f aca="false">BC20-BC34</f>
        <v>102802.5</v>
      </c>
      <c r="BD36" s="403" t="n">
        <f aca="false">BD20-BD34</f>
        <v>109755.583333333</v>
      </c>
      <c r="BE36" s="403" t="n">
        <f aca="false">BE20-BE34</f>
        <v>67510.6666666667</v>
      </c>
      <c r="BF36" s="403" t="n">
        <f aca="false">BF20-BF34</f>
        <v>62110.6666666667</v>
      </c>
      <c r="BG36" s="403" t="n">
        <f aca="false">BG20-BG34</f>
        <v>27912.6666666667</v>
      </c>
      <c r="BH36" s="403" t="n">
        <f aca="false">BH20-BH34</f>
        <v>27912.6666666667</v>
      </c>
      <c r="BI36" s="403" t="n">
        <f aca="false">BI20-BI34</f>
        <v>27912.6666666667</v>
      </c>
      <c r="BJ36" s="403" t="n">
        <f aca="false">BJ20-BJ34</f>
        <v>25846</v>
      </c>
      <c r="BK36" s="403" t="n">
        <f aca="false">BK20-BK34</f>
        <v>-8352</v>
      </c>
      <c r="BL36" s="403" t="n">
        <f aca="false">BL20-BL34</f>
        <v>-59186.7222222222</v>
      </c>
      <c r="BM36" s="403" t="n">
        <f aca="false">BM20-BM34</f>
        <v>-8352</v>
      </c>
      <c r="BN36" s="403" t="n">
        <f aca="false">BN20-BN34</f>
        <v>-6529.88888888889</v>
      </c>
      <c r="BO36" s="403" t="n">
        <f aca="false">BO20-BO34</f>
        <v>-6285.33333333334</v>
      </c>
      <c r="BP36" s="403" t="n">
        <f aca="false">BP20-BP34</f>
        <v>-6285.33333333334</v>
      </c>
      <c r="BQ36" s="403" t="n">
        <f aca="false">BQ20-BQ34</f>
        <v>-6285.33333333334</v>
      </c>
      <c r="BR36" s="403" t="n">
        <f aca="false">BR20-BR34</f>
        <v>-6285.33333333334</v>
      </c>
      <c r="BS36" s="403" t="n">
        <f aca="false">BS20-BS34</f>
        <v>0</v>
      </c>
      <c r="BT36" s="403" t="n">
        <f aca="false">BT20-BT34</f>
        <v>0</v>
      </c>
      <c r="BU36" s="403" t="n">
        <f aca="false">BU20-BU34</f>
        <v>0</v>
      </c>
      <c r="BV36" s="403" t="n">
        <f aca="false">BV20-BV34</f>
        <v>0</v>
      </c>
      <c r="BW36" s="403" t="n">
        <f aca="false">BW20-BW34</f>
        <v>0</v>
      </c>
      <c r="BX36" s="403" t="n">
        <f aca="false">BX20-BX34</f>
        <v>0</v>
      </c>
      <c r="BY36" s="403" t="n">
        <f aca="false">BY20-BY34</f>
        <v>0</v>
      </c>
      <c r="BZ36" s="403" t="n">
        <f aca="false">BZ20-BZ34</f>
        <v>0</v>
      </c>
      <c r="CA36" s="403" t="n">
        <f aca="false">CA20-CA34</f>
        <v>0</v>
      </c>
      <c r="CB36" s="403" t="n">
        <f aca="false">CB20-CB34</f>
        <v>0</v>
      </c>
      <c r="CC36" s="403" t="n">
        <f aca="false">CC20-CC34</f>
        <v>0</v>
      </c>
      <c r="CD36" s="403" t="n">
        <f aca="false">CD20-CD34</f>
        <v>0</v>
      </c>
      <c r="CE36" s="403" t="n">
        <f aca="false">CE20-CE34</f>
        <v>0</v>
      </c>
      <c r="CF36" s="403" t="n">
        <f aca="false">CF20-CF34</f>
        <v>0</v>
      </c>
      <c r="CG36" s="403" t="n">
        <f aca="false">CG20-CG34</f>
        <v>0</v>
      </c>
      <c r="CH36" s="403" t="n">
        <f aca="false">CH20-CH34</f>
        <v>0</v>
      </c>
      <c r="CI36" s="403" t="n">
        <f aca="false">CI20-CI34</f>
        <v>0</v>
      </c>
      <c r="CJ36" s="403" t="n">
        <f aca="false">CJ20-CJ34</f>
        <v>0</v>
      </c>
      <c r="CK36" s="403" t="n">
        <f aca="false">CK20-CK34</f>
        <v>0</v>
      </c>
      <c r="CL36" s="403" t="n">
        <f aca="false">CL20-CL34</f>
        <v>0</v>
      </c>
      <c r="CM36" s="403" t="n">
        <f aca="false">CM20-CM34</f>
        <v>0</v>
      </c>
      <c r="CN36" s="403" t="n">
        <f aca="false">CN20-CN34</f>
        <v>0</v>
      </c>
      <c r="CO36" s="403" t="n">
        <f aca="false">CO20-CO34</f>
        <v>0</v>
      </c>
      <c r="CP36" s="403" t="n">
        <f aca="false">CP20-CP34</f>
        <v>0</v>
      </c>
      <c r="CQ36" s="403" t="n">
        <f aca="false">CQ20-CQ34</f>
        <v>0</v>
      </c>
      <c r="CR36" s="403" t="n">
        <f aca="false">CR20-CR34</f>
        <v>0</v>
      </c>
      <c r="CS36" s="403" t="n">
        <f aca="false">CS20-CS34</f>
        <v>0</v>
      </c>
    </row>
    <row r="37" customFormat="false" ht="15" hidden="false" customHeight="true" outlineLevel="0" collapsed="false">
      <c r="A37" s="118" t="s">
        <v>1435</v>
      </c>
      <c r="B37" s="403" t="n">
        <f aca="false">B36</f>
        <v>0</v>
      </c>
      <c r="C37" s="403" t="n">
        <f aca="false">B37+C36</f>
        <v>0</v>
      </c>
      <c r="D37" s="403" t="n">
        <f aca="false">C37+D36</f>
        <v>0</v>
      </c>
      <c r="E37" s="403" t="n">
        <f aca="false">D37+E36</f>
        <v>0</v>
      </c>
      <c r="F37" s="403" t="n">
        <f aca="false">E37+F36</f>
        <v>0</v>
      </c>
      <c r="G37" s="403" t="n">
        <f aca="false">F37+G36</f>
        <v>0</v>
      </c>
      <c r="H37" s="403" t="n">
        <f aca="false">G37+H36</f>
        <v>0</v>
      </c>
      <c r="I37" s="403" t="n">
        <f aca="false">H37+I36</f>
        <v>0</v>
      </c>
      <c r="J37" s="403" t="n">
        <f aca="false">I37+J36</f>
        <v>0</v>
      </c>
      <c r="K37" s="403" t="n">
        <f aca="false">J37+K36</f>
        <v>-9583.33333333333</v>
      </c>
      <c r="L37" s="403" t="n">
        <f aca="false">K37+L36</f>
        <v>-24166.6666666667</v>
      </c>
      <c r="M37" s="403" t="n">
        <f aca="false">L37+M36</f>
        <v>-38750</v>
      </c>
      <c r="N37" s="403" t="n">
        <f aca="false">M37+N36</f>
        <v>-58333.3333333333</v>
      </c>
      <c r="O37" s="403" t="n">
        <f aca="false">N37+O36</f>
        <v>-110883.333333333</v>
      </c>
      <c r="P37" s="403" t="n">
        <f aca="false">O37+P36</f>
        <v>-163433.333333333</v>
      </c>
      <c r="Q37" s="403" t="n">
        <f aca="false">P37+Q36</f>
        <v>-201983.333333333</v>
      </c>
      <c r="R37" s="403" t="n">
        <f aca="false">Q37+R36</f>
        <v>-226533.333333333</v>
      </c>
      <c r="S37" s="403" t="n">
        <f aca="false">R37+S36</f>
        <v>-237083.333333333</v>
      </c>
      <c r="T37" s="403" t="n">
        <f aca="false">S37+T36</f>
        <v>-232672.333333333</v>
      </c>
      <c r="U37" s="403" t="n">
        <f aca="false">T37+U36</f>
        <v>-218155.666666667</v>
      </c>
      <c r="V37" s="403" t="n">
        <f aca="false">U37+V36</f>
        <v>-195592.083333333</v>
      </c>
      <c r="W37" s="403" t="n">
        <f aca="false">V37+W36</f>
        <v>-156934.666666667</v>
      </c>
      <c r="X37" s="403" t="n">
        <f aca="false">W37+X36</f>
        <v>-94136.5</v>
      </c>
      <c r="Y37" s="403" t="n">
        <f aca="false">X37+Y36</f>
        <v>-43567.3333333333</v>
      </c>
      <c r="Z37" s="403" t="n">
        <f aca="false">Y37+Z36</f>
        <v>63919.75</v>
      </c>
      <c r="AA37" s="403" t="n">
        <f aca="false">Z37+AA36</f>
        <v>137958.083333333</v>
      </c>
      <c r="AB37" s="403" t="n">
        <f aca="false">AA37+AB36</f>
        <v>-114094.944444444</v>
      </c>
      <c r="AC37" s="403" t="n">
        <f aca="false">AB37+AC36</f>
        <v>57429.2222222222</v>
      </c>
      <c r="AD37" s="403" t="n">
        <f aca="false">AC37+AD36</f>
        <v>229524.388888889</v>
      </c>
      <c r="AE37" s="403" t="n">
        <f aca="false">AD37+AE36</f>
        <v>452557.222222222</v>
      </c>
      <c r="AF37" s="403" t="n">
        <f aca="false">AE37+AF36</f>
        <v>699730.805555556</v>
      </c>
      <c r="AG37" s="403" t="n">
        <f aca="false">AF37+AG36</f>
        <v>957045.138888889</v>
      </c>
      <c r="AH37" s="403" t="n">
        <f aca="false">AG37+AH36</f>
        <v>1227806.38888889</v>
      </c>
      <c r="AI37" s="403" t="n">
        <f aca="false">AH37+AI36</f>
        <v>1503967.63888889</v>
      </c>
      <c r="AJ37" s="403" t="n">
        <f aca="false">AI37+AJ36</f>
        <v>1777481.97222222</v>
      </c>
      <c r="AK37" s="403" t="n">
        <f aca="false">AJ37+AK36</f>
        <v>2040302.47222222</v>
      </c>
      <c r="AL37" s="403" t="n">
        <f aca="false">AK37+AL36</f>
        <v>2287135.30555556</v>
      </c>
      <c r="AM37" s="403" t="n">
        <f aca="false">AL37+AM36</f>
        <v>2504580.47222222</v>
      </c>
      <c r="AN37" s="403" t="n">
        <f aca="false">AM37+AN36</f>
        <v>2275399.25</v>
      </c>
      <c r="AO37" s="403" t="n">
        <f aca="false">AN37+AO36</f>
        <v>2443369.08333333</v>
      </c>
      <c r="AP37" s="403" t="n">
        <f aca="false">AO37+AP36</f>
        <v>2582898.16666667</v>
      </c>
      <c r="AQ37" s="403" t="n">
        <f aca="false">AP37+AQ36</f>
        <v>2698286.5</v>
      </c>
      <c r="AR37" s="403" t="n">
        <f aca="false">AQ37+AR36</f>
        <v>2792181</v>
      </c>
      <c r="AS37" s="403" t="n">
        <f aca="false">AR37+AS36</f>
        <v>2869981.66666667</v>
      </c>
      <c r="AT37" s="403" t="n">
        <f aca="false">AS37+AT36</f>
        <v>2937955.16666667</v>
      </c>
      <c r="AU37" s="403" t="n">
        <f aca="false">AT37+AU36</f>
        <v>3024032.83333333</v>
      </c>
      <c r="AV37" s="403" t="n">
        <f aca="false">AU37+AV36</f>
        <v>3128214.66666667</v>
      </c>
      <c r="AW37" s="403" t="n">
        <f aca="false">AV37+AW36</f>
        <v>3250500.66666667</v>
      </c>
      <c r="AX37" s="403" t="n">
        <f aca="false">AW37+AX36</f>
        <v>3391471.08333333</v>
      </c>
      <c r="AY37" s="403" t="n">
        <f aca="false">AX37+AY36</f>
        <v>3558592.58333333</v>
      </c>
      <c r="AZ37" s="403" t="n">
        <f aca="false">AY37+AZ36</f>
        <v>3415405.11111111</v>
      </c>
      <c r="BA37" s="403" t="n">
        <f aca="false">AZ37+BA36</f>
        <v>3568499.44444445</v>
      </c>
      <c r="BB37" s="403" t="n">
        <f aca="false">BA37+BB36</f>
        <v>3713546.86111111</v>
      </c>
      <c r="BC37" s="403" t="n">
        <f aca="false">BB37+BC36</f>
        <v>3816349.36111111</v>
      </c>
      <c r="BD37" s="403" t="n">
        <f aca="false">BC37+BD36</f>
        <v>3926104.94444445</v>
      </c>
      <c r="BE37" s="403" t="n">
        <f aca="false">BD37+BE36</f>
        <v>3993615.61111111</v>
      </c>
      <c r="BF37" s="403" t="n">
        <f aca="false">BE37+BF36</f>
        <v>4055726.27777778</v>
      </c>
      <c r="BG37" s="403" t="n">
        <f aca="false">BF37+BG36</f>
        <v>4083638.94444444</v>
      </c>
      <c r="BH37" s="403" t="n">
        <f aca="false">BG37+BH36</f>
        <v>4111551.61111111</v>
      </c>
      <c r="BI37" s="403" t="n">
        <f aca="false">BH37+BI36</f>
        <v>4139464.27777778</v>
      </c>
      <c r="BJ37" s="403" t="n">
        <f aca="false">BI37+BJ36</f>
        <v>4165310.27777778</v>
      </c>
      <c r="BK37" s="403" t="n">
        <f aca="false">BJ37+BK36</f>
        <v>4156958.27777778</v>
      </c>
      <c r="BL37" s="403" t="n">
        <f aca="false">BK37+BL36</f>
        <v>4097771.55555556</v>
      </c>
      <c r="BM37" s="403" t="n">
        <f aca="false">BL37+BM36</f>
        <v>4089419.55555556</v>
      </c>
      <c r="BN37" s="403" t="n">
        <f aca="false">BM37+BN36</f>
        <v>4082889.66666667</v>
      </c>
      <c r="BO37" s="403" t="n">
        <f aca="false">BN37+BO36</f>
        <v>4076604.33333333</v>
      </c>
      <c r="BP37" s="403" t="n">
        <f aca="false">BO37+BP36</f>
        <v>4070319</v>
      </c>
      <c r="BQ37" s="403" t="n">
        <f aca="false">BP37+BQ36</f>
        <v>4064033.66666667</v>
      </c>
      <c r="BR37" s="403" t="n">
        <f aca="false">BQ37+BR36</f>
        <v>4057748.33333333</v>
      </c>
      <c r="BS37" s="403" t="n">
        <f aca="false">BR37+BS36</f>
        <v>4057748.33333333</v>
      </c>
      <c r="BT37" s="403" t="n">
        <f aca="false">BS37+BT36</f>
        <v>4057748.33333333</v>
      </c>
      <c r="BU37" s="403" t="n">
        <f aca="false">BT37+BU36</f>
        <v>4057748.33333333</v>
      </c>
      <c r="BV37" s="403" t="n">
        <f aca="false">BU37+BV36</f>
        <v>4057748.33333333</v>
      </c>
      <c r="BW37" s="403" t="n">
        <f aca="false">BV37+BW36</f>
        <v>4057748.33333333</v>
      </c>
      <c r="BX37" s="403" t="n">
        <f aca="false">BW37+BX36</f>
        <v>4057748.33333333</v>
      </c>
      <c r="BY37" s="403" t="n">
        <f aca="false">BX37+BY36</f>
        <v>4057748.33333333</v>
      </c>
      <c r="BZ37" s="403" t="n">
        <f aca="false">BY37+BZ36</f>
        <v>4057748.33333333</v>
      </c>
      <c r="CA37" s="403" t="n">
        <f aca="false">BZ37+CA36</f>
        <v>4057748.33333333</v>
      </c>
      <c r="CB37" s="403" t="n">
        <f aca="false">CA37+CB36</f>
        <v>4057748.33333333</v>
      </c>
      <c r="CC37" s="403" t="n">
        <f aca="false">CB37+CC36</f>
        <v>4057748.33333333</v>
      </c>
      <c r="CD37" s="403" t="n">
        <f aca="false">CC37+CD36</f>
        <v>4057748.33333333</v>
      </c>
      <c r="CE37" s="403" t="n">
        <f aca="false">CD37+CE36</f>
        <v>4057748.33333333</v>
      </c>
      <c r="CF37" s="403" t="n">
        <f aca="false">CE37+CF36</f>
        <v>4057748.33333333</v>
      </c>
      <c r="CG37" s="403" t="n">
        <f aca="false">CF37+CG36</f>
        <v>4057748.33333333</v>
      </c>
      <c r="CH37" s="403" t="n">
        <f aca="false">CG37+CH36</f>
        <v>4057748.33333333</v>
      </c>
      <c r="CI37" s="403" t="n">
        <f aca="false">CH37+CI36</f>
        <v>4057748.33333333</v>
      </c>
      <c r="CJ37" s="403" t="n">
        <f aca="false">CI37+CJ36</f>
        <v>4057748.33333333</v>
      </c>
      <c r="CK37" s="403" t="n">
        <f aca="false">CJ37+CK36</f>
        <v>4057748.33333333</v>
      </c>
      <c r="CL37" s="403" t="n">
        <f aca="false">CK37+CL36</f>
        <v>4057748.33333333</v>
      </c>
      <c r="CM37" s="403" t="n">
        <f aca="false">CL37+CM36</f>
        <v>4057748.33333333</v>
      </c>
      <c r="CN37" s="403" t="n">
        <f aca="false">CM37+CN36</f>
        <v>4057748.33333333</v>
      </c>
      <c r="CO37" s="403" t="n">
        <f aca="false">CN37+CO36</f>
        <v>4057748.33333333</v>
      </c>
      <c r="CP37" s="403" t="n">
        <f aca="false">CO37+CP36</f>
        <v>4057748.33333333</v>
      </c>
      <c r="CQ37" s="403" t="n">
        <f aca="false">CP37+CQ36</f>
        <v>4057748.33333333</v>
      </c>
      <c r="CR37" s="403" t="n">
        <f aca="false">CQ37+CR36</f>
        <v>4057748.33333333</v>
      </c>
      <c r="CS37" s="403" t="n">
        <f aca="false">CR37+CS36</f>
        <v>4057748.33333333</v>
      </c>
    </row>
    <row r="39" customFormat="false" ht="15" hidden="false" customHeight="true" outlineLevel="0" collapsed="false">
      <c r="A39" s="389" t="s">
        <v>1436</v>
      </c>
    </row>
    <row r="40" customFormat="false" ht="15" hidden="false" customHeight="true" outlineLevel="0" collapsed="false">
      <c r="A40" s="386" t="s">
        <v>1437</v>
      </c>
    </row>
    <row r="41" customFormat="false" ht="15" hidden="false" customHeight="true" outlineLevel="0" collapsed="false">
      <c r="A41" s="123" t="s">
        <v>1438</v>
      </c>
      <c r="B41" s="397" t="n">
        <f aca="false">SUMPRODUCT(MAX(($B$10:$CS$10&gt;0)*$B$5:$CS$5))</f>
        <v>36</v>
      </c>
    </row>
    <row r="42" customFormat="false" ht="15" hidden="false" customHeight="true" outlineLevel="0" collapsed="false">
      <c r="A42" s="123" t="s">
        <v>1439</v>
      </c>
      <c r="B42" s="397" t="n">
        <f aca="false">'Uplifters Inputs'!$B$6+'Uplifters Inputs'!$B$15</f>
        <v>17</v>
      </c>
    </row>
    <row r="43" customFormat="false" ht="15" hidden="false" customHeight="true" outlineLevel="0" collapsed="false">
      <c r="A43" s="123" t="s">
        <v>1440</v>
      </c>
      <c r="B43" s="397" t="n">
        <f aca="false">B41+'Uplifters Inputs'!$B$15+'Uplifters Inputs'!$B$16-1</f>
        <v>51</v>
      </c>
    </row>
    <row r="44" customFormat="false" ht="15" hidden="false" customHeight="true" outlineLevel="0" collapsed="false">
      <c r="A44" s="123" t="s">
        <v>1441</v>
      </c>
      <c r="B44" s="397" t="n">
        <f aca="false">B41+'Uplifters Inputs'!$B$15+'Uplifters Inputs'!$B$16+'Uplifters Inputs'!$B$17</f>
        <v>66</v>
      </c>
    </row>
    <row r="45" customFormat="false" ht="15" hidden="false" customHeight="true" outlineLevel="0" collapsed="false">
      <c r="A45" s="123" t="s">
        <v>1442</v>
      </c>
      <c r="B45" s="397" t="n">
        <f aca="false">SUMIFS($B$10:$CS$10,$B$5:$CS$5,"&lt;"&amp;('Uplifters Inputs'!$B$6+12))</f>
        <v>44</v>
      </c>
    </row>
    <row r="46" customFormat="false" ht="15" hidden="false" customHeight="true" outlineLevel="0" collapsed="false">
      <c r="A46" s="123" t="s">
        <v>1443</v>
      </c>
      <c r="B46" s="397" t="n">
        <f aca="false">SUMIFS($B$10:$CS$10,$B$5:$CS$5,"&lt;"&amp;('Uplifters Inputs'!$B$6+24))</f>
        <v>60</v>
      </c>
    </row>
    <row r="47" customFormat="false" ht="15" hidden="false" customHeight="true" outlineLevel="0" collapsed="false">
      <c r="A47" s="123" t="s">
        <v>1444</v>
      </c>
      <c r="B47" s="397" t="n">
        <f aca="false">IF('Uplifters Inputs'!$B$28=0,0,1)*IF(OR(B45&lt;'Uplifters Inputs'!$B$25,B46&lt;'Uplifters Inputs'!$B$26),1,0)</f>
        <v>0</v>
      </c>
    </row>
    <row r="48" customFormat="false" ht="15" hidden="false" customHeight="true" outlineLevel="0" collapsed="false">
      <c r="A48" s="123" t="s">
        <v>1445</v>
      </c>
      <c r="B48" s="397" t="n">
        <f aca="false">IF(B47=0,B52,0)+IF(B47=0,0,1)*IF(B45&lt;'Uplifters Inputs'!$B$25,'Uplifters Inputs'!$B$6+12+'Uplifters Inputs'!$B$27,IF(B46&lt;'Uplifters Inputs'!$B$26,'Uplifters Inputs'!$B$6+24+'Uplifters Inputs'!$B$27,B52))</f>
        <v>67</v>
      </c>
    </row>
    <row r="49" customFormat="false" ht="15" hidden="false" customHeight="true" outlineLevel="0" collapsed="false">
      <c r="A49" s="123" t="s">
        <v>1446</v>
      </c>
      <c r="B49" s="397" t="n">
        <f aca="false">IF(B47=1,B48,B41+'Uplifters Inputs'!$B$24)</f>
        <v>40</v>
      </c>
    </row>
    <row r="50" customFormat="false" ht="15" hidden="false" customHeight="true" outlineLevel="0" collapsed="false">
      <c r="A50" s="123" t="s">
        <v>1447</v>
      </c>
      <c r="B50" s="124" t="n">
        <f aca="false">MAX(0,'Uplifters Inputs'!$B$29-'Uplifters Inputs'!$B$20/12*IF('Uplifters Inputs'!$B$23=1,MIN('Uplifters Inputs'!$B$22,B44-'Uplifters Inputs'!$B$5+1),'Uplifters Inputs'!$B$22))/60</f>
        <v>18888.8888888889</v>
      </c>
    </row>
    <row r="51" customFormat="false" ht="15" hidden="false" customHeight="true" outlineLevel="0" collapsed="false">
      <c r="A51" s="123" t="s">
        <v>1448</v>
      </c>
      <c r="B51" s="397" t="n">
        <f aca="false">B44-MOD(MOD(B44+2,12)+1-'Uplifters Inputs'!$B$33,12)</f>
        <v>60</v>
      </c>
    </row>
    <row r="52" customFormat="false" ht="15" hidden="false" customHeight="true" outlineLevel="0" collapsed="false">
      <c r="A52" s="123" t="s">
        <v>1449</v>
      </c>
      <c r="B52" s="397"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2"/>
    <col collapsed="false" customWidth="true" hidden="false" outlineLevel="0" max="2" min="2" style="1" width="13"/>
  </cols>
  <sheetData>
    <row r="1" customFormat="false" ht="17.25" hidden="false" customHeight="true" outlineLevel="0" collapsed="false">
      <c r="A1" s="388" t="s">
        <v>1450</v>
      </c>
    </row>
    <row r="2" customFormat="false" ht="15" hidden="false" customHeight="true" outlineLevel="0" collapsed="false">
      <c r="A2" s="389" t="s">
        <v>1451</v>
      </c>
    </row>
    <row r="4" customFormat="false" ht="15" hidden="false" customHeight="true" outlineLevel="0" collapsed="false">
      <c r="A4" s="174" t="s">
        <v>1452</v>
      </c>
      <c r="B4" s="174" t="s">
        <v>1453</v>
      </c>
      <c r="C4" s="174" t="s">
        <v>1454</v>
      </c>
      <c r="D4" s="174" t="s">
        <v>1455</v>
      </c>
      <c r="E4" s="174" t="s">
        <v>1456</v>
      </c>
      <c r="F4" s="174" t="s">
        <v>1457</v>
      </c>
      <c r="G4" s="174" t="s">
        <v>1458</v>
      </c>
      <c r="H4" s="174" t="s">
        <v>1459</v>
      </c>
      <c r="I4" s="174" t="s">
        <v>1460</v>
      </c>
      <c r="J4" s="174" t="s">
        <v>488</v>
      </c>
    </row>
    <row r="5" customFormat="false" ht="15" hidden="false" customHeight="true" outlineLevel="0" collapsed="false">
      <c r="A5" s="123" t="s">
        <v>1409</v>
      </c>
      <c r="B5" s="402" t="n">
        <f aca="false">(SUMIFS('Uplifters Schedule'!$B$10:$CS$10,'Uplifters Schedule'!$B$6:$CS$6,2026))</f>
        <v>0</v>
      </c>
      <c r="C5" s="402" t="n">
        <f aca="false">(SUMIFS('Uplifters Schedule'!$B$10:$CS$10,'Uplifters Schedule'!$B$6:$CS$6,2027))</f>
        <v>34</v>
      </c>
      <c r="D5" s="402" t="n">
        <f aca="false">(SUMIFS('Uplifters Schedule'!$B$10:$CS$10,'Uplifters Schedule'!$B$6:$CS$6,2028))</f>
        <v>23</v>
      </c>
      <c r="E5" s="402" t="n">
        <f aca="false">(SUMIFS('Uplifters Schedule'!$B$10:$CS$10,'Uplifters Schedule'!$B$6:$CS$6,2029))</f>
        <v>3</v>
      </c>
      <c r="F5" s="402" t="n">
        <f aca="false">(SUMIFS('Uplifters Schedule'!$B$10:$CS$10,'Uplifters Schedule'!$B$6:$CS$6,2030))</f>
        <v>0</v>
      </c>
      <c r="G5" s="402" t="n">
        <f aca="false">(SUMIFS('Uplifters Schedule'!$B$10:$CS$10,'Uplifters Schedule'!$B$6:$CS$6,2031))</f>
        <v>0</v>
      </c>
      <c r="H5" s="402" t="n">
        <f aca="false">(SUMIFS('Uplifters Schedule'!$B$10:$CS$10,'Uplifters Schedule'!$B$6:$CS$6,2032))</f>
        <v>0</v>
      </c>
      <c r="I5" s="402" t="n">
        <f aca="false">(SUMIFS('Uplifters Schedule'!$B$10:$CS$10,'Uplifters Schedule'!$B$6:$CS$6,2033))</f>
        <v>0</v>
      </c>
      <c r="J5" s="404" t="n">
        <f aca="false">SUM(B5:I5)</f>
        <v>60</v>
      </c>
    </row>
    <row r="6" customFormat="false" ht="15" hidden="false" customHeight="true" outlineLevel="0" collapsed="false">
      <c r="A6" s="405" t="s">
        <v>1412</v>
      </c>
      <c r="B6" s="406" t="n">
        <f aca="false">(SUMIFS('Uplifters Schedule'!$B$13:$CS$13,'Uplifters Schedule'!$B$6:$CS$6,2026))</f>
        <v>0</v>
      </c>
      <c r="C6" s="406" t="n">
        <f aca="false">(SUMIFS('Uplifters Schedule'!$B$13:$CS$13,'Uplifters Schedule'!$B$6:$CS$6,2027))</f>
        <v>0</v>
      </c>
      <c r="D6" s="406" t="n">
        <f aca="false">(SUMIFS('Uplifters Schedule'!$B$13:$CS$13,'Uplifters Schedule'!$B$6:$CS$6,2028))</f>
        <v>0</v>
      </c>
      <c r="E6" s="406" t="n">
        <f aca="false">(SUMIFS('Uplifters Schedule'!$B$13:$CS$13,'Uplifters Schedule'!$B$6:$CS$6,2029))</f>
        <v>6</v>
      </c>
      <c r="F6" s="406" t="n">
        <f aca="false">(SUMIFS('Uplifters Schedule'!$B$13:$CS$13,'Uplifters Schedule'!$B$6:$CS$6,2030))</f>
        <v>44</v>
      </c>
      <c r="G6" s="406" t="n">
        <f aca="false">(SUMIFS('Uplifters Schedule'!$B$13:$CS$13,'Uplifters Schedule'!$B$6:$CS$6,2031))</f>
        <v>10</v>
      </c>
      <c r="H6" s="406" t="n">
        <f aca="false">(SUMIFS('Uplifters Schedule'!$B$13:$CS$13,'Uplifters Schedule'!$B$6:$CS$6,2032))</f>
        <v>0</v>
      </c>
      <c r="I6" s="406" t="n">
        <f aca="false">(SUMIFS('Uplifters Schedule'!$B$13:$CS$13,'Uplifters Schedule'!$B$6:$CS$6,2033))</f>
        <v>0</v>
      </c>
      <c r="J6" s="407" t="n">
        <f aca="false">SUM(B6:I6)</f>
        <v>60</v>
      </c>
    </row>
    <row r="7" customFormat="false" ht="15" hidden="false" customHeight="true" outlineLevel="0" collapsed="false">
      <c r="A7" s="123" t="s">
        <v>1419</v>
      </c>
      <c r="B7" s="124" t="n">
        <f aca="false">(SUMIFS('Uplifters Schedule'!$B$20:$CS$20,'Uplifters Schedule'!$B$6:$CS$6,2026))</f>
        <v>0</v>
      </c>
      <c r="C7" s="124" t="n">
        <f aca="false">(SUMIFS('Uplifters Schedule'!$B$20:$CS$20,'Uplifters Schedule'!$B$6:$CS$6,2027))</f>
        <v>636938.333333333</v>
      </c>
      <c r="D7" s="124" t="n">
        <f aca="false">(SUMIFS('Uplifters Schedule'!$B$20:$CS$20,'Uplifters Schedule'!$B$6:$CS$6,2028))</f>
        <v>3779845.75</v>
      </c>
      <c r="E7" s="124" t="n">
        <f aca="false">(SUMIFS('Uplifters Schedule'!$B$20:$CS$20,'Uplifters Schedule'!$B$6:$CS$6,2029))</f>
        <v>2477670.25</v>
      </c>
      <c r="F7" s="124" t="n">
        <f aca="false">(SUMIFS('Uplifters Schedule'!$B$20:$CS$20,'Uplifters Schedule'!$B$6:$CS$6,2030))</f>
        <v>1773225.66666667</v>
      </c>
      <c r="G7" s="124" t="n">
        <f aca="false">(SUMIFS('Uplifters Schedule'!$B$20:$CS$20,'Uplifters Schedule'!$B$6:$CS$6,2031))</f>
        <v>341980</v>
      </c>
      <c r="H7" s="124" t="n">
        <f aca="false">(SUMIFS('Uplifters Schedule'!$B$20:$CS$20,'Uplifters Schedule'!$B$6:$CS$6,2032))</f>
        <v>0</v>
      </c>
      <c r="I7" s="124" t="n">
        <f aca="false">(SUMIFS('Uplifters Schedule'!$B$20:$CS$20,'Uplifters Schedule'!$B$6:$CS$6,2033))</f>
        <v>0</v>
      </c>
      <c r="J7" s="403" t="n">
        <f aca="false">SUM(B7:I7)</f>
        <v>9009660</v>
      </c>
    </row>
    <row r="8" customFormat="false" ht="15" hidden="false" customHeight="true" outlineLevel="0" collapsed="false">
      <c r="A8" s="405" t="s">
        <v>1461</v>
      </c>
      <c r="B8" s="408" t="n">
        <f aca="false">-(SUMIFS('Uplifters Schedule'!$B$23:$CS$23,'Uplifters Schedule'!$B$6:$CS$6,2026)+SUMIFS('Uplifters Schedule'!$B$24:$CS$24,'Uplifters Schedule'!$B$6:$CS$6,2026))</f>
        <v>-10000</v>
      </c>
      <c r="C8" s="408" t="n">
        <f aca="false">-(SUMIFS('Uplifters Schedule'!$B$23:$CS$23,'Uplifters Schedule'!$B$6:$CS$6,2027)+SUMIFS('Uplifters Schedule'!$B$24:$CS$24,'Uplifters Schedule'!$B$6:$CS$6,2027))</f>
        <v>-145000</v>
      </c>
      <c r="D8" s="408" t="n">
        <f aca="false">-(SUMIFS('Uplifters Schedule'!$B$23:$CS$23,'Uplifters Schedule'!$B$6:$CS$6,2028)+SUMIFS('Uplifters Schedule'!$B$24:$CS$24,'Uplifters Schedule'!$B$6:$CS$6,2028))</f>
        <v>-277300</v>
      </c>
      <c r="E8" s="408" t="n">
        <f aca="false">-(SUMIFS('Uplifters Schedule'!$B$23:$CS$23,'Uplifters Schedule'!$B$6:$CS$6,2029)+SUMIFS('Uplifters Schedule'!$B$24:$CS$24,'Uplifters Schedule'!$B$6:$CS$6,2029))</f>
        <v>-199100</v>
      </c>
      <c r="F8" s="408" t="n">
        <f aca="false">-(SUMIFS('Uplifters Schedule'!$B$23:$CS$23,'Uplifters Schedule'!$B$6:$CS$6,2030)+SUMIFS('Uplifters Schedule'!$B$24:$CS$24,'Uplifters Schedule'!$B$6:$CS$6,2030))</f>
        <v>-90000</v>
      </c>
      <c r="G8" s="408" t="n">
        <f aca="false">-(SUMIFS('Uplifters Schedule'!$B$23:$CS$23,'Uplifters Schedule'!$B$6:$CS$6,2031)+SUMIFS('Uplifters Schedule'!$B$24:$CS$24,'Uplifters Schedule'!$B$6:$CS$6,2031))</f>
        <v>-0</v>
      </c>
      <c r="H8" s="408" t="n">
        <f aca="false">-(SUMIFS('Uplifters Schedule'!$B$23:$CS$23,'Uplifters Schedule'!$B$6:$CS$6,2032)+SUMIFS('Uplifters Schedule'!$B$24:$CS$24,'Uplifters Schedule'!$B$6:$CS$6,2032))</f>
        <v>-0</v>
      </c>
      <c r="I8" s="408" t="n">
        <f aca="false">-(SUMIFS('Uplifters Schedule'!$B$23:$CS$23,'Uplifters Schedule'!$B$6:$CS$6,2033)+SUMIFS('Uplifters Schedule'!$B$24:$CS$24,'Uplifters Schedule'!$B$6:$CS$6,2033))</f>
        <v>-0</v>
      </c>
      <c r="J8" s="409" t="n">
        <f aca="false">SUM(B8:I8)</f>
        <v>-721400</v>
      </c>
    </row>
    <row r="9" customFormat="false" ht="15" hidden="false" customHeight="true" outlineLevel="0" collapsed="false">
      <c r="A9" s="123" t="s">
        <v>1462</v>
      </c>
      <c r="B9" s="124" t="n">
        <f aca="false">-(SUMIFS('Uplifters Schedule'!$B$26:$CS$26,'Uplifters Schedule'!$B$6:$CS$6,2026)+SUMIFS('Uplifters Schedule'!$B$27:$CS$27,'Uplifters Schedule'!$B$6:$CS$6,2026)+SUMIFS('Uplifters Schedule'!$B$28:$CS$28,'Uplifters Schedule'!$B$6:$CS$6,2026))</f>
        <v>-0</v>
      </c>
      <c r="C9" s="124" t="n">
        <f aca="false">-(SUMIFS('Uplifters Schedule'!$B$26:$CS$26,'Uplifters Schedule'!$B$6:$CS$6,2027)+SUMIFS('Uplifters Schedule'!$B$27:$CS$27,'Uplifters Schedule'!$B$6:$CS$6,2027)+SUMIFS('Uplifters Schedule'!$B$28:$CS$28,'Uplifters Schedule'!$B$6:$CS$6,2027))</f>
        <v>-30416.6666666667</v>
      </c>
      <c r="D9" s="124" t="n">
        <f aca="false">-(SUMIFS('Uplifters Schedule'!$B$26:$CS$26,'Uplifters Schedule'!$B$6:$CS$6,2028)+SUMIFS('Uplifters Schedule'!$B$27:$CS$27,'Uplifters Schedule'!$B$6:$CS$6,2028)+SUMIFS('Uplifters Schedule'!$B$28:$CS$28,'Uplifters Schedule'!$B$6:$CS$6,2028))</f>
        <v>-528600</v>
      </c>
      <c r="E9" s="124" t="n">
        <f aca="false">-(SUMIFS('Uplifters Schedule'!$B$26:$CS$26,'Uplifters Schedule'!$B$6:$CS$6,2029)+SUMIFS('Uplifters Schedule'!$B$27:$CS$27,'Uplifters Schedule'!$B$6:$CS$6,2029)+SUMIFS('Uplifters Schedule'!$B$28:$CS$28,'Uplifters Schedule'!$B$6:$CS$6,2029))</f>
        <v>-159133.333333333</v>
      </c>
      <c r="F9" s="124" t="n">
        <f aca="false">-(SUMIFS('Uplifters Schedule'!$B$26:$CS$26,'Uplifters Schedule'!$B$6:$CS$6,2030)+SUMIFS('Uplifters Schedule'!$B$27:$CS$27,'Uplifters Schedule'!$B$6:$CS$6,2030)+SUMIFS('Uplifters Schedule'!$B$28:$CS$28,'Uplifters Schedule'!$B$6:$CS$6,2030))</f>
        <v>-0</v>
      </c>
      <c r="G9" s="124" t="n">
        <f aca="false">-(SUMIFS('Uplifters Schedule'!$B$26:$CS$26,'Uplifters Schedule'!$B$6:$CS$6,2031)+SUMIFS('Uplifters Schedule'!$B$27:$CS$27,'Uplifters Schedule'!$B$6:$CS$6,2031)+SUMIFS('Uplifters Schedule'!$B$28:$CS$28,'Uplifters Schedule'!$B$6:$CS$6,2031))</f>
        <v>-0</v>
      </c>
      <c r="H9" s="124" t="n">
        <f aca="false">-(SUMIFS('Uplifters Schedule'!$B$26:$CS$26,'Uplifters Schedule'!$B$6:$CS$6,2032)+SUMIFS('Uplifters Schedule'!$B$27:$CS$27,'Uplifters Schedule'!$B$6:$CS$6,2032)+SUMIFS('Uplifters Schedule'!$B$28:$CS$28,'Uplifters Schedule'!$B$6:$CS$6,2032))</f>
        <v>-0</v>
      </c>
      <c r="I9" s="124" t="n">
        <f aca="false">-(SUMIFS('Uplifters Schedule'!$B$26:$CS$26,'Uplifters Schedule'!$B$6:$CS$6,2033)+SUMIFS('Uplifters Schedule'!$B$27:$CS$27,'Uplifters Schedule'!$B$6:$CS$6,2033)+SUMIFS('Uplifters Schedule'!$B$28:$CS$28,'Uplifters Schedule'!$B$6:$CS$6,2033))</f>
        <v>-0</v>
      </c>
      <c r="J9" s="403" t="n">
        <f aca="false">SUM(B9:I9)</f>
        <v>-718150</v>
      </c>
    </row>
    <row r="10" customFormat="false" ht="15" hidden="false" customHeight="true" outlineLevel="0" collapsed="false">
      <c r="A10" s="405" t="s">
        <v>1463</v>
      </c>
      <c r="B10" s="408" t="n">
        <f aca="false">-(SUMIFS('Uplifters Schedule'!$B$29:$CS$29,'Uplifters Schedule'!$B$6:$CS$6,2026)+SUMIFS('Uplifters Schedule'!$B$31:$CS$31,'Uplifters Schedule'!$B$6:$CS$6,2026)+SUMIFS('Uplifters Schedule'!$B$32:$CS$32,'Uplifters Schedule'!$B$6:$CS$6,2026))</f>
        <v>-28750</v>
      </c>
      <c r="C10" s="408" t="n">
        <f aca="false">-(SUMIFS('Uplifters Schedule'!$B$29:$CS$29,'Uplifters Schedule'!$B$6:$CS$6,2027)+SUMIFS('Uplifters Schedule'!$B$31:$CS$31,'Uplifters Schedule'!$B$6:$CS$6,2027)+SUMIFS('Uplifters Schedule'!$B$32:$CS$32,'Uplifters Schedule'!$B$6:$CS$6,2027))</f>
        <v>-411339</v>
      </c>
      <c r="D10" s="408" t="n">
        <f aca="false">-(SUMIFS('Uplifters Schedule'!$B$29:$CS$29,'Uplifters Schedule'!$B$6:$CS$6,2028)+SUMIFS('Uplifters Schedule'!$B$31:$CS$31,'Uplifters Schedule'!$B$6:$CS$6,2028)+SUMIFS('Uplifters Schedule'!$B$32:$CS$32,'Uplifters Schedule'!$B$6:$CS$6,2028))</f>
        <v>-442853.722222222</v>
      </c>
      <c r="E10" s="408" t="n">
        <f aca="false">-(SUMIFS('Uplifters Schedule'!$B$29:$CS$29,'Uplifters Schedule'!$B$6:$CS$6,2029)+SUMIFS('Uplifters Schedule'!$B$31:$CS$31,'Uplifters Schedule'!$B$6:$CS$6,2029)+SUMIFS('Uplifters Schedule'!$B$32:$CS$32,'Uplifters Schedule'!$B$6:$CS$6,2029))</f>
        <v>-443127.611111111</v>
      </c>
      <c r="F10" s="408" t="n">
        <f aca="false">-(SUMIFS('Uplifters Schedule'!$B$29:$CS$29,'Uplifters Schedule'!$B$6:$CS$6,2030)+SUMIFS('Uplifters Schedule'!$B$31:$CS$31,'Uplifters Schedule'!$B$6:$CS$6,2030)+SUMIFS('Uplifters Schedule'!$B$32:$CS$32,'Uplifters Schedule'!$B$6:$CS$6,2030))</f>
        <v>-441484.277777778</v>
      </c>
      <c r="G10" s="408" t="n">
        <f aca="false">-(SUMIFS('Uplifters Schedule'!$B$29:$CS$29,'Uplifters Schedule'!$B$6:$CS$6,2031)+SUMIFS('Uplifters Schedule'!$B$31:$CS$31,'Uplifters Schedule'!$B$6:$CS$6,2031)+SUMIFS('Uplifters Schedule'!$B$32:$CS$32,'Uplifters Schedule'!$B$6:$CS$6,2031))</f>
        <v>-331473.722222222</v>
      </c>
      <c r="H10" s="408" t="n">
        <f aca="false">-(SUMIFS('Uplifters Schedule'!$B$29:$CS$29,'Uplifters Schedule'!$B$6:$CS$6,2032)+SUMIFS('Uplifters Schedule'!$B$31:$CS$31,'Uplifters Schedule'!$B$6:$CS$6,2032)+SUMIFS('Uplifters Schedule'!$B$32:$CS$32,'Uplifters Schedule'!$B$6:$CS$6,2032))</f>
        <v>-0</v>
      </c>
      <c r="I10" s="408" t="n">
        <f aca="false">-(SUMIFS('Uplifters Schedule'!$B$29:$CS$29,'Uplifters Schedule'!$B$6:$CS$6,2033)+SUMIFS('Uplifters Schedule'!$B$31:$CS$31,'Uplifters Schedule'!$B$6:$CS$6,2033)+SUMIFS('Uplifters Schedule'!$B$32:$CS$32,'Uplifters Schedule'!$B$6:$CS$6,2033))</f>
        <v>-0</v>
      </c>
      <c r="J10" s="409" t="n">
        <f aca="false">SUM(B10:I10)</f>
        <v>-2099028.33333333</v>
      </c>
    </row>
    <row r="11" customFormat="false" ht="15" hidden="false" customHeight="true" outlineLevel="0" collapsed="false">
      <c r="A11" s="123" t="s">
        <v>1428</v>
      </c>
      <c r="B11" s="124" t="n">
        <f aca="false">-(SUMIFS('Uplifters Schedule'!$B$30:$CS$30,'Uplifters Schedule'!$B$6:$CS$6,2026))</f>
        <v>-0</v>
      </c>
      <c r="C11" s="124" t="n">
        <f aca="false">-(SUMIFS('Uplifters Schedule'!$B$30:$CS$30,'Uplifters Schedule'!$B$6:$CS$6,2027))</f>
        <v>-0</v>
      </c>
      <c r="D11" s="124" t="n">
        <f aca="false">-(SUMIFS('Uplifters Schedule'!$B$30:$CS$30,'Uplifters Schedule'!$B$6:$CS$6,2028))</f>
        <v>-387222.222222222</v>
      </c>
      <c r="E11" s="124" t="n">
        <f aca="false">-(SUMIFS('Uplifters Schedule'!$B$30:$CS$30,'Uplifters Schedule'!$B$6:$CS$6,2029))</f>
        <v>-406111.111111111</v>
      </c>
      <c r="F11" s="124" t="n">
        <f aca="false">-(SUMIFS('Uplifters Schedule'!$B$30:$CS$30,'Uplifters Schedule'!$B$6:$CS$6,2030))</f>
        <v>-292777.777777778</v>
      </c>
      <c r="G11" s="124" t="n">
        <f aca="false">-(SUMIFS('Uplifters Schedule'!$B$30:$CS$30,'Uplifters Schedule'!$B$6:$CS$6,2031))</f>
        <v>-47222.2222222222</v>
      </c>
      <c r="H11" s="124" t="n">
        <f aca="false">-(SUMIFS('Uplifters Schedule'!$B$30:$CS$30,'Uplifters Schedule'!$B$6:$CS$6,2032))</f>
        <v>-0</v>
      </c>
      <c r="I11" s="124" t="n">
        <f aca="false">-(SUMIFS('Uplifters Schedule'!$B$30:$CS$30,'Uplifters Schedule'!$B$6:$CS$6,2033))</f>
        <v>-0</v>
      </c>
      <c r="J11" s="403" t="n">
        <f aca="false">SUM(B11:I11)</f>
        <v>-1133333.33333333</v>
      </c>
    </row>
    <row r="12" customFormat="false" ht="15" hidden="false" customHeight="true" outlineLevel="0" collapsed="false">
      <c r="A12" s="405" t="s">
        <v>1431</v>
      </c>
      <c r="B12" s="408" t="n">
        <f aca="false">-(SUMIFS('Uplifters Schedule'!$B$33:$CS$33,'Uplifters Schedule'!$B$6:$CS$6,2026))</f>
        <v>-0</v>
      </c>
      <c r="C12" s="408" t="n">
        <f aca="false">-(SUMIFS('Uplifters Schedule'!$B$33:$CS$33,'Uplifters Schedule'!$B$6:$CS$6,2027))</f>
        <v>-55000</v>
      </c>
      <c r="D12" s="408" t="n">
        <f aca="false">-(SUMIFS('Uplifters Schedule'!$B$33:$CS$33,'Uplifters Schedule'!$B$6:$CS$6,2028))</f>
        <v>-60000</v>
      </c>
      <c r="E12" s="408" t="n">
        <f aca="false">-(SUMIFS('Uplifters Schedule'!$B$33:$CS$33,'Uplifters Schedule'!$B$6:$CS$6,2029))</f>
        <v>-60000</v>
      </c>
      <c r="F12" s="408" t="n">
        <f aca="false">-(SUMIFS('Uplifters Schedule'!$B$33:$CS$33,'Uplifters Schedule'!$B$6:$CS$6,2030))</f>
        <v>-60000</v>
      </c>
      <c r="G12" s="408" t="n">
        <f aca="false">-(SUMIFS('Uplifters Schedule'!$B$33:$CS$33,'Uplifters Schedule'!$B$6:$CS$6,2031))</f>
        <v>-45000</v>
      </c>
      <c r="H12" s="408" t="n">
        <f aca="false">-(SUMIFS('Uplifters Schedule'!$B$33:$CS$33,'Uplifters Schedule'!$B$6:$CS$6,2032))</f>
        <v>-0</v>
      </c>
      <c r="I12" s="408" t="n">
        <f aca="false">-(SUMIFS('Uplifters Schedule'!$B$33:$CS$33,'Uplifters Schedule'!$B$6:$CS$6,2033))</f>
        <v>-0</v>
      </c>
      <c r="J12" s="409" t="n">
        <f aca="false">SUM(B12:I12)</f>
        <v>-280000</v>
      </c>
    </row>
    <row r="13" customFormat="false" ht="15" hidden="false" customHeight="true" outlineLevel="0" collapsed="false">
      <c r="A13" s="383" t="s">
        <v>1464</v>
      </c>
      <c r="B13" s="410" t="n">
        <f aca="false">(SUMIFS('Uplifters Schedule'!$B$36:$CS$36,'Uplifters Schedule'!$B$6:$CS$6,2026))</f>
        <v>-38750</v>
      </c>
      <c r="C13" s="410" t="n">
        <f aca="false">(SUMIFS('Uplifters Schedule'!$B$36:$CS$36,'Uplifters Schedule'!$B$6:$CS$6,2027))</f>
        <v>-4817.33333333332</v>
      </c>
      <c r="D13" s="410" t="n">
        <f aca="false">(SUMIFS('Uplifters Schedule'!$B$36:$CS$36,'Uplifters Schedule'!$B$6:$CS$6,2028))</f>
        <v>2083869.80555556</v>
      </c>
      <c r="E13" s="410" t="n">
        <f aca="false">(SUMIFS('Uplifters Schedule'!$B$36:$CS$36,'Uplifters Schedule'!$B$6:$CS$6,2029))</f>
        <v>1210198.19444444</v>
      </c>
      <c r="F13" s="410" t="n">
        <f aca="false">(SUMIFS('Uplifters Schedule'!$B$36:$CS$36,'Uplifters Schedule'!$B$6:$CS$6,2030))</f>
        <v>888963.611111111</v>
      </c>
      <c r="G13" s="410" t="n">
        <f aca="false">(SUMIFS('Uplifters Schedule'!$B$36:$CS$36,'Uplifters Schedule'!$B$6:$CS$6,2031))</f>
        <v>-81715.9444444445</v>
      </c>
      <c r="H13" s="410" t="n">
        <f aca="false">(SUMIFS('Uplifters Schedule'!$B$36:$CS$36,'Uplifters Schedule'!$B$6:$CS$6,2032))</f>
        <v>0</v>
      </c>
      <c r="I13" s="410" t="n">
        <f aca="false">(SUMIFS('Uplifters Schedule'!$B$36:$CS$36,'Uplifters Schedule'!$B$6:$CS$6,2033))</f>
        <v>0</v>
      </c>
      <c r="J13" s="410" t="n">
        <f aca="false">SUM(B13:I13)</f>
        <v>4057748.33333333</v>
      </c>
    </row>
    <row r="14" customFormat="false" ht="15" hidden="false" customHeight="true" outlineLevel="0" collapsed="false">
      <c r="A14" s="405" t="s">
        <v>1465</v>
      </c>
      <c r="B14" s="408" t="n">
        <f aca="false">(SUMIFS('Uplifters Schedule'!$B$29:$CS$29,'Uplifters Schedule'!$B$6:$CS$6,2026)+SUMIFS('Uplifters Schedule'!$B$30:$CS$30,'Uplifters Schedule'!$B$6:$CS$6,2026))</f>
        <v>0</v>
      </c>
      <c r="C14" s="408" t="n">
        <f aca="false">(SUMIFS('Uplifters Schedule'!$B$29:$CS$29,'Uplifters Schedule'!$B$6:$CS$6,2027)+SUMIFS('Uplifters Schedule'!$B$30:$CS$30,'Uplifters Schedule'!$B$6:$CS$6,2027))</f>
        <v>366666.666666667</v>
      </c>
      <c r="D14" s="408" t="n">
        <f aca="false">(SUMIFS('Uplifters Schedule'!$B$29:$CS$29,'Uplifters Schedule'!$B$6:$CS$6,2028)+SUMIFS('Uplifters Schedule'!$B$30:$CS$30,'Uplifters Schedule'!$B$6:$CS$6,2028))</f>
        <v>787222.222222222</v>
      </c>
      <c r="E14" s="408" t="n">
        <f aca="false">(SUMIFS('Uplifters Schedule'!$B$29:$CS$29,'Uplifters Schedule'!$B$6:$CS$6,2029)+SUMIFS('Uplifters Schedule'!$B$30:$CS$30,'Uplifters Schedule'!$B$6:$CS$6,2029))</f>
        <v>806111.111111111</v>
      </c>
      <c r="F14" s="408" t="n">
        <f aca="false">(SUMIFS('Uplifters Schedule'!$B$29:$CS$29,'Uplifters Schedule'!$B$6:$CS$6,2030)+SUMIFS('Uplifters Schedule'!$B$30:$CS$30,'Uplifters Schedule'!$B$6:$CS$6,2030))</f>
        <v>692777.777777778</v>
      </c>
      <c r="G14" s="408" t="n">
        <f aca="false">(SUMIFS('Uplifters Schedule'!$B$29:$CS$29,'Uplifters Schedule'!$B$6:$CS$6,2031)+SUMIFS('Uplifters Schedule'!$B$30:$CS$30,'Uplifters Schedule'!$B$6:$CS$6,2031))</f>
        <v>347222.222222222</v>
      </c>
      <c r="H14" s="408" t="n">
        <f aca="false">(SUMIFS('Uplifters Schedule'!$B$29:$CS$29,'Uplifters Schedule'!$B$6:$CS$6,2032)+SUMIFS('Uplifters Schedule'!$B$30:$CS$30,'Uplifters Schedule'!$B$6:$CS$6,2032))</f>
        <v>0</v>
      </c>
      <c r="I14" s="408" t="n">
        <f aca="false">(SUMIFS('Uplifters Schedule'!$B$29:$CS$29,'Uplifters Schedule'!$B$6:$CS$6,2033)+SUMIFS('Uplifters Schedule'!$B$30:$CS$30,'Uplifters Schedule'!$B$6:$CS$6,2033))</f>
        <v>0</v>
      </c>
      <c r="J14" s="409" t="n">
        <f aca="false">SUM(B14:I14)</f>
        <v>3000000</v>
      </c>
    </row>
    <row r="15" customFormat="false" ht="15" hidden="false" customHeight="true" outlineLevel="0" collapsed="false">
      <c r="A15" s="123" t="s">
        <v>1466</v>
      </c>
      <c r="B15" s="124" t="n">
        <f aca="false">SUM($B$13:B13)</f>
        <v>-38750</v>
      </c>
      <c r="C15" s="124" t="n">
        <f aca="false">SUM($B$13:C13)</f>
        <v>-43567.3333333333</v>
      </c>
      <c r="D15" s="124" t="n">
        <f aca="false">SUM($B$13:D13)</f>
        <v>2040302.47222222</v>
      </c>
      <c r="E15" s="124" t="n">
        <f aca="false">SUM($B$13:E13)</f>
        <v>3250500.66666667</v>
      </c>
      <c r="F15" s="124" t="n">
        <f aca="false">SUM($B$13:F13)</f>
        <v>4139464.27777778</v>
      </c>
      <c r="G15" s="124" t="n">
        <f aca="false">SUM($B$13:G13)</f>
        <v>4057748.33333333</v>
      </c>
      <c r="H15" s="124" t="n">
        <f aca="false">SUM($B$13:H13)</f>
        <v>4057748.33333333</v>
      </c>
      <c r="I15" s="124" t="n">
        <f aca="false">SUM($B$13:I13)</f>
        <v>4057748.33333333</v>
      </c>
    </row>
    <row r="17" customFormat="false" ht="15" hidden="false" customHeight="true" outlineLevel="0" collapsed="false">
      <c r="A17" s="386" t="s">
        <v>1467</v>
      </c>
    </row>
    <row r="18" customFormat="false" ht="15" hidden="false" customHeight="true" outlineLevel="0" collapsed="false">
      <c r="A18" s="123" t="s">
        <v>1468</v>
      </c>
      <c r="B18" s="403" t="n">
        <f aca="false">MIN('Uplifters Schedule'!$B$37:$CS$37)</f>
        <v>-237083.333333333</v>
      </c>
    </row>
    <row r="19" customFormat="false" ht="15" hidden="false" customHeight="true" outlineLevel="0" collapsed="false">
      <c r="A19" s="123" t="s">
        <v>1469</v>
      </c>
      <c r="B19" s="404" t="n">
        <f aca="false">MAX('Uplifters Schedule'!$B$12:$CS$12)</f>
        <v>45</v>
      </c>
    </row>
    <row r="20" customFormat="false" ht="15" hidden="false" customHeight="true" outlineLevel="0" collapsed="false">
      <c r="A20" s="123" t="s">
        <v>1470</v>
      </c>
      <c r="B20" s="404" t="n">
        <f aca="false">MAX('Uplifters Schedule'!$B$25:$CS$25)</f>
        <v>3</v>
      </c>
    </row>
    <row r="21" customFormat="false" ht="15" hidden="false" customHeight="true" outlineLevel="0" collapsed="false">
      <c r="A21" s="123" t="s">
        <v>1471</v>
      </c>
      <c r="B21" s="411" t="n">
        <f aca="false">INDEX('Uplifters Schedule'!$B$4:$CS$4,MATCH('Uplifters Schedule'!B41,'Uplifters Schedule'!$B$5:$CS$5,0))</f>
        <v>47178</v>
      </c>
    </row>
    <row r="22" customFormat="false" ht="15" hidden="false" customHeight="true" outlineLevel="0" collapsed="false">
      <c r="A22" s="123" t="s">
        <v>1472</v>
      </c>
      <c r="B22" s="411" t="n">
        <f aca="false">INDEX('Uplifters Schedule'!$B$4:$CS$4,MATCH('Uplifters Schedule'!B44,'Uplifters Schedule'!$B$5:$CS$5,0))</f>
        <v>48092</v>
      </c>
    </row>
    <row r="23" customFormat="false" ht="15" hidden="false" customHeight="true" outlineLevel="0" collapsed="false">
      <c r="A23" s="123" t="s">
        <v>1473</v>
      </c>
      <c r="B23" s="118" t="str">
        <f aca="false">IF('Uplifters Schedule'!B47=0,"No","Yes")</f>
        <v>No</v>
      </c>
    </row>
    <row r="24" customFormat="false" ht="15" hidden="false" customHeight="true" outlineLevel="0" collapsed="false">
      <c r="A24" s="123" t="s">
        <v>1474</v>
      </c>
      <c r="B24" s="404" t="n">
        <f aca="false">ROUND(J7-'Uplifters Inputs'!$B$7*('Uplifters Inputs'!$B$10+'Uplifters Inputs'!$B$11+'Uplifters Inputs'!$B$12+'Uplifters Inputs'!$B$13),0)</f>
        <v>0</v>
      </c>
    </row>
    <row r="26" customFormat="false" ht="15" hidden="false" customHeight="true" outlineLevel="0" collapsed="false">
      <c r="A26" s="412" t="s">
        <v>1475</v>
      </c>
    </row>
    <row r="27" customFormat="false" ht="15" hidden="false" customHeight="true" outlineLevel="0" collapsed="false">
      <c r="A27" s="389" t="s">
        <v>1476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1477</v>
      </c>
    </row>
    <row r="3" customFormat="false" ht="15" hidden="false" customHeight="true" outlineLevel="0" collapsed="false">
      <c r="B3" s="385" t="s">
        <v>1478</v>
      </c>
    </row>
    <row r="5" customFormat="false" ht="15" hidden="false" customHeight="true" outlineLevel="0" collapsed="false">
      <c r="B5" s="386" t="s">
        <v>1289</v>
      </c>
      <c r="C5" s="387" t="s">
        <v>1479</v>
      </c>
    </row>
    <row r="6" customFormat="false" ht="24.75" hidden="false" customHeight="true" outlineLevel="0" collapsed="false">
      <c r="B6" s="386" t="s">
        <v>1291</v>
      </c>
      <c r="C6" s="387" t="s">
        <v>1480</v>
      </c>
    </row>
    <row r="7" customFormat="false" ht="24.75" hidden="false" customHeight="true" outlineLevel="0" collapsed="false">
      <c r="B7" s="386" t="s">
        <v>1293</v>
      </c>
      <c r="C7" s="387" t="s">
        <v>1481</v>
      </c>
    </row>
    <row r="8" customFormat="false" ht="24.75" hidden="false" customHeight="true" outlineLevel="0" collapsed="false">
      <c r="B8" s="386" t="s">
        <v>1482</v>
      </c>
      <c r="C8" s="387" t="s">
        <v>1483</v>
      </c>
    </row>
    <row r="9" customFormat="false" ht="15" hidden="false" customHeight="true" outlineLevel="0" collapsed="false">
      <c r="B9" s="386" t="s">
        <v>1484</v>
      </c>
      <c r="C9" s="387" t="s">
        <v>1485</v>
      </c>
    </row>
    <row r="10" customFormat="false" ht="15" hidden="false" customHeight="true" outlineLevel="0" collapsed="false">
      <c r="B10" s="386" t="s">
        <v>1297</v>
      </c>
      <c r="C10" s="387" t="s">
        <v>1486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1487</v>
      </c>
    </row>
    <row r="2" customFormat="false" ht="15" hidden="false" customHeight="true" outlineLevel="0" collapsed="false">
      <c r="A2" s="412" t="s">
        <v>1488</v>
      </c>
    </row>
    <row r="3" customFormat="false" ht="15" hidden="false" customHeight="true" outlineLevel="0" collapsed="false">
      <c r="A3" s="390" t="s">
        <v>1301</v>
      </c>
      <c r="B3" s="413" t="s">
        <v>585</v>
      </c>
    </row>
    <row r="5" customFormat="false" ht="15" hidden="false" customHeight="true" outlineLevel="0" collapsed="false">
      <c r="A5" s="401" t="s">
        <v>1489</v>
      </c>
      <c r="B5" s="401" t="s">
        <v>1490</v>
      </c>
      <c r="C5" s="401" t="s">
        <v>630</v>
      </c>
    </row>
    <row r="6" customFormat="false" ht="15" hidden="false" customHeight="true" outlineLevel="0" collapsed="false">
      <c r="A6" s="414" t="s">
        <v>1491</v>
      </c>
      <c r="B6" s="415" t="n">
        <v>46204</v>
      </c>
      <c r="C6" s="416" t="s">
        <v>1492</v>
      </c>
    </row>
    <row r="7" customFormat="false" ht="15" hidden="false" customHeight="true" outlineLevel="0" collapsed="false">
      <c r="A7" s="414" t="s">
        <v>1493</v>
      </c>
      <c r="B7" s="417" t="n">
        <v>150000</v>
      </c>
      <c r="C7" s="416" t="s">
        <v>1494</v>
      </c>
    </row>
    <row r="8" customFormat="false" ht="15" hidden="false" customHeight="true" outlineLevel="0" collapsed="false">
      <c r="A8" s="414" t="s">
        <v>1495</v>
      </c>
      <c r="B8" s="417" t="n">
        <v>225000</v>
      </c>
      <c r="C8" s="416" t="s">
        <v>1496</v>
      </c>
    </row>
    <row r="9" customFormat="false" ht="15" hidden="false" customHeight="true" outlineLevel="0" collapsed="false">
      <c r="A9" s="414" t="s">
        <v>1497</v>
      </c>
      <c r="B9" s="418" t="n">
        <f aca="false">'APA Inputs'!$C$25</f>
        <v>46539</v>
      </c>
      <c r="C9" s="416" t="s">
        <v>1498</v>
      </c>
    </row>
    <row r="10" customFormat="false" ht="15" hidden="false" customHeight="true" outlineLevel="0" collapsed="false">
      <c r="A10" s="414" t="s">
        <v>1499</v>
      </c>
      <c r="B10" s="417" t="n">
        <v>25000</v>
      </c>
      <c r="C10" s="416" t="s">
        <v>1500</v>
      </c>
    </row>
    <row r="11" customFormat="false" ht="15" hidden="false" customHeight="true" outlineLevel="0" collapsed="false">
      <c r="A11" s="414" t="s">
        <v>1501</v>
      </c>
      <c r="B11" s="419" t="n">
        <v>0.03</v>
      </c>
      <c r="C11" s="416" t="s">
        <v>1502</v>
      </c>
    </row>
    <row r="12" customFormat="false" ht="15" hidden="false" customHeight="true" outlineLevel="0" collapsed="false">
      <c r="A12" s="414" t="s">
        <v>1503</v>
      </c>
      <c r="B12" s="419" t="n">
        <v>0.03</v>
      </c>
      <c r="C12" s="416" t="s">
        <v>1504</v>
      </c>
    </row>
    <row r="13" customFormat="false" ht="15" hidden="false" customHeight="true" outlineLevel="0" collapsed="false">
      <c r="A13" s="414" t="s">
        <v>1505</v>
      </c>
      <c r="B13" s="419" t="n">
        <v>0.5</v>
      </c>
      <c r="C13" s="416" t="s">
        <v>1506</v>
      </c>
    </row>
    <row r="14" customFormat="false" ht="15" hidden="false" customHeight="true" outlineLevel="0" collapsed="false">
      <c r="A14" s="414" t="s">
        <v>1507</v>
      </c>
      <c r="B14" s="419" t="n">
        <v>0.5</v>
      </c>
      <c r="C14" s="416" t="s">
        <v>1508</v>
      </c>
    </row>
    <row r="15" customFormat="false" ht="15" hidden="false" customHeight="true" outlineLevel="0" collapsed="false">
      <c r="A15" s="414" t="s">
        <v>1509</v>
      </c>
      <c r="B15" s="419" t="n">
        <v>0.21</v>
      </c>
      <c r="C15" s="416" t="s">
        <v>1510</v>
      </c>
    </row>
    <row r="16" customFormat="false" ht="15" hidden="false" customHeight="true" outlineLevel="0" collapsed="false">
      <c r="A16" s="414" t="s">
        <v>1511</v>
      </c>
      <c r="B16" s="420" t="n">
        <v>0.0884</v>
      </c>
      <c r="C16" s="416" t="s">
        <v>1512</v>
      </c>
    </row>
    <row r="17" customFormat="false" ht="15" hidden="false" customHeight="true" outlineLevel="0" collapsed="false">
      <c r="A17" s="414" t="s">
        <v>1513</v>
      </c>
      <c r="B17" s="417" t="n">
        <v>800</v>
      </c>
      <c r="C17" s="416" t="s">
        <v>1514</v>
      </c>
    </row>
    <row r="18" customFormat="false" ht="15" hidden="false" customHeight="true" outlineLevel="0" collapsed="false">
      <c r="A18" s="414" t="s">
        <v>1515</v>
      </c>
      <c r="B18" s="421" t="n">
        <v>3</v>
      </c>
      <c r="C18" s="416" t="s">
        <v>1516</v>
      </c>
    </row>
    <row r="20" customFormat="false" ht="15" hidden="false" customHeight="true" outlineLevel="0" collapsed="false">
      <c r="A20" s="401" t="s">
        <v>1517</v>
      </c>
    </row>
    <row r="21" customFormat="false" ht="36.75" hidden="false" customHeight="true" outlineLevel="0" collapsed="false">
      <c r="A21" s="174" t="s">
        <v>1518</v>
      </c>
      <c r="B21" s="174" t="s">
        <v>628</v>
      </c>
      <c r="C21" s="174" t="s">
        <v>1519</v>
      </c>
      <c r="D21" s="174" t="s">
        <v>1520</v>
      </c>
      <c r="E21" s="174" t="s">
        <v>1521</v>
      </c>
      <c r="F21" s="174" t="s">
        <v>1522</v>
      </c>
      <c r="G21" s="174" t="s">
        <v>1523</v>
      </c>
      <c r="H21" s="174" t="s">
        <v>1524</v>
      </c>
      <c r="I21" s="174" t="s">
        <v>1525</v>
      </c>
      <c r="J21" s="174" t="s">
        <v>1526</v>
      </c>
      <c r="K21" s="174" t="s">
        <v>1527</v>
      </c>
    </row>
    <row r="22" customFormat="false" ht="15" hidden="false" customHeight="true" outlineLevel="0" collapsed="false">
      <c r="A22" s="422" t="s">
        <v>18</v>
      </c>
      <c r="B22" s="414" t="s">
        <v>1528</v>
      </c>
      <c r="C22" s="415" t="n">
        <v>46204</v>
      </c>
      <c r="D22" s="421" t="n">
        <v>24</v>
      </c>
      <c r="E22" s="417" t="n">
        <v>240000</v>
      </c>
      <c r="F22" s="423"/>
      <c r="G22" s="417"/>
      <c r="H22" s="421"/>
      <c r="I22" s="424" t="n">
        <v>1</v>
      </c>
      <c r="J22" s="425" t="n">
        <f aca="false">IF(N(D22)&gt;0,N(E22)/D22,0)+N(F22)</f>
        <v>10000</v>
      </c>
      <c r="K22" s="426" t="n">
        <f aca="false">(J22*N(D22)+N(G22))*IF(I22="",1,I22)</f>
        <v>240000</v>
      </c>
    </row>
    <row r="23" customFormat="false" ht="15" hidden="false" customHeight="true" outlineLevel="0" collapsed="false">
      <c r="A23" s="422" t="s">
        <v>12</v>
      </c>
      <c r="B23" s="414" t="s">
        <v>1528</v>
      </c>
      <c r="C23" s="415" t="n">
        <v>46235</v>
      </c>
      <c r="D23" s="421" t="n">
        <v>24</v>
      </c>
      <c r="E23" s="417"/>
      <c r="F23" s="423" t="n">
        <v>4166.66</v>
      </c>
      <c r="G23" s="417" t="n">
        <v>25725</v>
      </c>
      <c r="H23" s="421" t="n">
        <v>12</v>
      </c>
      <c r="I23" s="424" t="n">
        <v>1</v>
      </c>
      <c r="J23" s="425" t="n">
        <f aca="false">IF(N(D23)&gt;0,N(E23)/D23,0)+N(F23)</f>
        <v>4166.66</v>
      </c>
      <c r="K23" s="426" t="n">
        <f aca="false">(J23*N(D23)+N(G23))*IF(I23="",1,I23)</f>
        <v>125724.84</v>
      </c>
    </row>
    <row r="24" customFormat="false" ht="15" hidden="false" customHeight="true" outlineLevel="0" collapsed="false">
      <c r="A24" s="422" t="s">
        <v>8</v>
      </c>
      <c r="B24" s="414" t="s">
        <v>1528</v>
      </c>
      <c r="C24" s="415" t="n">
        <v>46266</v>
      </c>
      <c r="D24" s="421" t="n">
        <v>12</v>
      </c>
      <c r="E24" s="417"/>
      <c r="F24" s="423" t="n">
        <v>3332.72</v>
      </c>
      <c r="G24" s="417"/>
      <c r="H24" s="421"/>
      <c r="I24" s="424" t="n">
        <v>1</v>
      </c>
      <c r="J24" s="425" t="n">
        <f aca="false">IF(N(D24)&gt;0,N(E24)/D24,0)+N(F24)</f>
        <v>3332.72</v>
      </c>
      <c r="K24" s="426" t="n">
        <f aca="false">(J24*N(D24)+N(G24))*IF(I24="",1,I24)</f>
        <v>39992.64</v>
      </c>
    </row>
    <row r="25" customFormat="false" ht="15" hidden="false" customHeight="true" outlineLevel="0" collapsed="false">
      <c r="A25" s="422" t="s">
        <v>1077</v>
      </c>
      <c r="B25" s="414" t="s">
        <v>1528</v>
      </c>
      <c r="C25" s="415" t="n">
        <v>46539</v>
      </c>
      <c r="D25" s="421" t="n">
        <v>18</v>
      </c>
      <c r="E25" s="417" t="n">
        <v>700000</v>
      </c>
      <c r="F25" s="423"/>
      <c r="G25" s="417"/>
      <c r="H25" s="421"/>
      <c r="I25" s="424" t="n">
        <v>1</v>
      </c>
      <c r="J25" s="425" t="n">
        <f aca="false">IF(N(D25)&gt;0,N(E25)/D25,0)+N(F25)</f>
        <v>38888.8888888889</v>
      </c>
      <c r="K25" s="426" t="n">
        <f aca="false">(J25*N(D25)+N(G25))*IF(I25="",1,I25)</f>
        <v>700000</v>
      </c>
    </row>
    <row r="26" customFormat="false" ht="15" hidden="false" customHeight="true" outlineLevel="0" collapsed="false">
      <c r="A26" s="427" t="s">
        <v>1529</v>
      </c>
      <c r="B26" s="414" t="s">
        <v>1530</v>
      </c>
      <c r="C26" s="415"/>
      <c r="D26" s="421"/>
      <c r="E26" s="417"/>
      <c r="F26" s="423"/>
      <c r="G26" s="417"/>
      <c r="H26" s="421"/>
      <c r="I26" s="424"/>
      <c r="J26" s="425" t="n">
        <f aca="false">IF(N(D26)&gt;0,N(E26)/D26,0)+N(F26)</f>
        <v>0</v>
      </c>
      <c r="K26" s="426" t="n">
        <f aca="false">(J26*N(D26)+N(G26))*IF(I26="",1,I26)</f>
        <v>0</v>
      </c>
    </row>
    <row r="27" customFormat="false" ht="15" hidden="false" customHeight="true" outlineLevel="0" collapsed="false">
      <c r="A27" s="427" t="s">
        <v>1531</v>
      </c>
      <c r="B27" s="414" t="s">
        <v>1530</v>
      </c>
      <c r="C27" s="415"/>
      <c r="D27" s="421"/>
      <c r="E27" s="417"/>
      <c r="F27" s="423"/>
      <c r="G27" s="417"/>
      <c r="H27" s="421"/>
      <c r="I27" s="424"/>
      <c r="J27" s="425" t="n">
        <f aca="false">IF(N(D27)&gt;0,N(E27)/D27,0)+N(F27)</f>
        <v>0</v>
      </c>
      <c r="K27" s="426" t="n">
        <f aca="false">(J27*N(D27)+N(G27))*IF(I27="",1,I27)</f>
        <v>0</v>
      </c>
    </row>
    <row r="28" customFormat="false" ht="15" hidden="false" customHeight="true" outlineLevel="0" collapsed="false">
      <c r="A28" s="427" t="s">
        <v>1532</v>
      </c>
      <c r="B28" s="414" t="s">
        <v>1530</v>
      </c>
      <c r="C28" s="415"/>
      <c r="D28" s="421"/>
      <c r="E28" s="417"/>
      <c r="F28" s="423"/>
      <c r="G28" s="417"/>
      <c r="H28" s="421"/>
      <c r="I28" s="424"/>
      <c r="J28" s="425" t="n">
        <f aca="false">IF(N(D28)&gt;0,N(E28)/D28,0)+N(F28)</f>
        <v>0</v>
      </c>
      <c r="K28" s="426" t="n">
        <f aca="false">(J28*N(D28)+N(G28))*IF(I28="",1,I28)</f>
        <v>0</v>
      </c>
    </row>
    <row r="29" customFormat="false" ht="15" hidden="false" customHeight="true" outlineLevel="0" collapsed="false">
      <c r="A29" s="427" t="s">
        <v>1533</v>
      </c>
      <c r="B29" s="414" t="s">
        <v>1530</v>
      </c>
      <c r="C29" s="415"/>
      <c r="D29" s="421"/>
      <c r="E29" s="417"/>
      <c r="F29" s="423"/>
      <c r="G29" s="417"/>
      <c r="H29" s="421"/>
      <c r="I29" s="424"/>
      <c r="J29" s="425" t="n">
        <f aca="false">IF(N(D29)&gt;0,N(E29)/D29,0)+N(F29)</f>
        <v>0</v>
      </c>
      <c r="K29" s="426" t="n">
        <f aca="false">(J29*N(D29)+N(G29))*IF(I29="",1,I29)</f>
        <v>0</v>
      </c>
    </row>
    <row r="30" customFormat="false" ht="15" hidden="false" customHeight="true" outlineLevel="0" collapsed="false">
      <c r="A30" s="427" t="s">
        <v>1534</v>
      </c>
      <c r="B30" s="414" t="s">
        <v>1530</v>
      </c>
      <c r="C30" s="415"/>
      <c r="D30" s="421"/>
      <c r="E30" s="417"/>
      <c r="F30" s="423"/>
      <c r="G30" s="417"/>
      <c r="H30" s="421"/>
      <c r="I30" s="424"/>
      <c r="J30" s="425" t="n">
        <f aca="false">IF(N(D30)&gt;0,N(E30)/D30,0)+N(F30)</f>
        <v>0</v>
      </c>
      <c r="K30" s="426" t="n">
        <f aca="false">(J30*N(D30)+N(G30))*IF(I30="",1,I30)</f>
        <v>0</v>
      </c>
    </row>
    <row r="31" customFormat="false" ht="15" hidden="false" customHeight="true" outlineLevel="0" collapsed="false">
      <c r="A31" s="427" t="s">
        <v>1535</v>
      </c>
      <c r="B31" s="414" t="s">
        <v>1530</v>
      </c>
      <c r="C31" s="415"/>
      <c r="D31" s="421"/>
      <c r="E31" s="417"/>
      <c r="F31" s="423"/>
      <c r="G31" s="417"/>
      <c r="H31" s="421"/>
      <c r="I31" s="424"/>
      <c r="J31" s="425" t="n">
        <f aca="false">IF(N(D31)&gt;0,N(E31)/D31,0)+N(F31)</f>
        <v>0</v>
      </c>
      <c r="K31" s="426" t="n">
        <f aca="false">(J31*N(D31)+N(G31))*IF(I31="",1,I31)</f>
        <v>0</v>
      </c>
    </row>
    <row r="32" customFormat="false" ht="15" hidden="false" customHeight="true" outlineLevel="0" collapsed="false">
      <c r="A32" s="383" t="s">
        <v>1536</v>
      </c>
      <c r="K32" s="428"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1537</v>
      </c>
    </row>
    <row r="2" customFormat="false" ht="15" hidden="false" customHeight="true" outlineLevel="0" collapsed="false">
      <c r="A2" s="412" t="s">
        <v>1538</v>
      </c>
    </row>
    <row r="4" customFormat="false" ht="15" hidden="false" customHeight="true" outlineLevel="0" collapsed="false">
      <c r="A4" s="1" t="s">
        <v>1030</v>
      </c>
      <c r="B4" s="429" t="n">
        <f aca="false">DATE(2026,1,1)</f>
        <v>46023</v>
      </c>
      <c r="C4" s="429" t="n">
        <f aca="false">DATE(2026,2,1)</f>
        <v>46054</v>
      </c>
      <c r="D4" s="429" t="n">
        <f aca="false">DATE(2026,3,1)</f>
        <v>46082</v>
      </c>
      <c r="E4" s="429" t="n">
        <f aca="false">DATE(2026,4,1)</f>
        <v>46113</v>
      </c>
      <c r="F4" s="429" t="n">
        <f aca="false">DATE(2026,5,1)</f>
        <v>46143</v>
      </c>
      <c r="G4" s="429" t="n">
        <f aca="false">DATE(2026,6,1)</f>
        <v>46174</v>
      </c>
      <c r="H4" s="429" t="n">
        <f aca="false">DATE(2026,7,1)</f>
        <v>46204</v>
      </c>
      <c r="I4" s="429" t="n">
        <f aca="false">DATE(2026,8,1)</f>
        <v>46235</v>
      </c>
      <c r="J4" s="429" t="n">
        <f aca="false">DATE(2026,9,1)</f>
        <v>46266</v>
      </c>
      <c r="K4" s="429" t="n">
        <f aca="false">DATE(2026,10,1)</f>
        <v>46296</v>
      </c>
      <c r="L4" s="429" t="n">
        <f aca="false">DATE(2026,11,1)</f>
        <v>46327</v>
      </c>
      <c r="M4" s="429" t="n">
        <f aca="false">DATE(2026,12,1)</f>
        <v>46357</v>
      </c>
      <c r="N4" s="429" t="n">
        <f aca="false">DATE(2026,13,1)</f>
        <v>46388</v>
      </c>
      <c r="O4" s="429" t="n">
        <f aca="false">DATE(2026,14,1)</f>
        <v>46419</v>
      </c>
      <c r="P4" s="429" t="n">
        <f aca="false">DATE(2026,15,1)</f>
        <v>46447</v>
      </c>
      <c r="Q4" s="429" t="n">
        <f aca="false">DATE(2026,16,1)</f>
        <v>46478</v>
      </c>
      <c r="R4" s="429" t="n">
        <f aca="false">DATE(2026,17,1)</f>
        <v>46508</v>
      </c>
      <c r="S4" s="429" t="n">
        <f aca="false">DATE(2026,18,1)</f>
        <v>46539</v>
      </c>
      <c r="T4" s="429" t="n">
        <f aca="false">DATE(2026,19,1)</f>
        <v>46569</v>
      </c>
      <c r="U4" s="429" t="n">
        <f aca="false">DATE(2026,20,1)</f>
        <v>46600</v>
      </c>
      <c r="V4" s="429" t="n">
        <f aca="false">DATE(2026,21,1)</f>
        <v>46631</v>
      </c>
      <c r="W4" s="429" t="n">
        <f aca="false">DATE(2026,22,1)</f>
        <v>46661</v>
      </c>
      <c r="X4" s="429" t="n">
        <f aca="false">DATE(2026,23,1)</f>
        <v>46692</v>
      </c>
      <c r="Y4" s="429" t="n">
        <f aca="false">DATE(2026,24,1)</f>
        <v>46722</v>
      </c>
      <c r="Z4" s="429" t="n">
        <f aca="false">DATE(2026,25,1)</f>
        <v>46753</v>
      </c>
      <c r="AA4" s="429" t="n">
        <f aca="false">DATE(2026,26,1)</f>
        <v>46784</v>
      </c>
      <c r="AB4" s="429" t="n">
        <f aca="false">DATE(2026,27,1)</f>
        <v>46813</v>
      </c>
      <c r="AC4" s="429" t="n">
        <f aca="false">DATE(2026,28,1)</f>
        <v>46844</v>
      </c>
      <c r="AD4" s="429" t="n">
        <f aca="false">DATE(2026,29,1)</f>
        <v>46874</v>
      </c>
      <c r="AE4" s="429" t="n">
        <f aca="false">DATE(2026,30,1)</f>
        <v>46905</v>
      </c>
      <c r="AF4" s="429" t="n">
        <f aca="false">DATE(2026,31,1)</f>
        <v>46935</v>
      </c>
      <c r="AG4" s="429" t="n">
        <f aca="false">DATE(2026,32,1)</f>
        <v>46966</v>
      </c>
      <c r="AH4" s="429" t="n">
        <f aca="false">DATE(2026,33,1)</f>
        <v>46997</v>
      </c>
      <c r="AI4" s="429" t="n">
        <f aca="false">DATE(2026,34,1)</f>
        <v>47027</v>
      </c>
      <c r="AJ4" s="429" t="n">
        <f aca="false">DATE(2026,35,1)</f>
        <v>47058</v>
      </c>
      <c r="AK4" s="429" t="n">
        <f aca="false">DATE(2026,36,1)</f>
        <v>47088</v>
      </c>
      <c r="AL4" s="429" t="n">
        <f aca="false">DATE(2026,37,1)</f>
        <v>47119</v>
      </c>
      <c r="AM4" s="429" t="n">
        <f aca="false">DATE(2026,38,1)</f>
        <v>47150</v>
      </c>
      <c r="AN4" s="429" t="n">
        <f aca="false">DATE(2026,39,1)</f>
        <v>47178</v>
      </c>
      <c r="AO4" s="429" t="n">
        <f aca="false">DATE(2026,40,1)</f>
        <v>47209</v>
      </c>
      <c r="AP4" s="429" t="n">
        <f aca="false">DATE(2026,41,1)</f>
        <v>47239</v>
      </c>
      <c r="AQ4" s="429" t="n">
        <f aca="false">DATE(2026,42,1)</f>
        <v>47270</v>
      </c>
      <c r="AR4" s="429" t="n">
        <f aca="false">DATE(2026,43,1)</f>
        <v>47300</v>
      </c>
      <c r="AS4" s="429" t="n">
        <f aca="false">DATE(2026,44,1)</f>
        <v>47331</v>
      </c>
      <c r="AT4" s="429" t="n">
        <f aca="false">DATE(2026,45,1)</f>
        <v>47362</v>
      </c>
      <c r="AU4" s="429" t="n">
        <f aca="false">DATE(2026,46,1)</f>
        <v>47392</v>
      </c>
      <c r="AV4" s="429" t="n">
        <f aca="false">DATE(2026,47,1)</f>
        <v>47423</v>
      </c>
      <c r="AW4" s="429" t="n">
        <f aca="false">DATE(2026,48,1)</f>
        <v>47453</v>
      </c>
      <c r="AX4" s="429" t="n">
        <f aca="false">DATE(2026,49,1)</f>
        <v>47484</v>
      </c>
      <c r="AY4" s="429" t="n">
        <f aca="false">DATE(2026,50,1)</f>
        <v>47515</v>
      </c>
      <c r="AZ4" s="429" t="n">
        <f aca="false">DATE(2026,51,1)</f>
        <v>47543</v>
      </c>
      <c r="BA4" s="429" t="n">
        <f aca="false">DATE(2026,52,1)</f>
        <v>47574</v>
      </c>
      <c r="BB4" s="429" t="n">
        <f aca="false">DATE(2026,53,1)</f>
        <v>47604</v>
      </c>
      <c r="BC4" s="429" t="n">
        <f aca="false">DATE(2026,54,1)</f>
        <v>47635</v>
      </c>
      <c r="BD4" s="429" t="n">
        <f aca="false">DATE(2026,55,1)</f>
        <v>47665</v>
      </c>
      <c r="BE4" s="429" t="n">
        <f aca="false">DATE(2026,56,1)</f>
        <v>47696</v>
      </c>
      <c r="BF4" s="429" t="n">
        <f aca="false">DATE(2026,57,1)</f>
        <v>47727</v>
      </c>
      <c r="BG4" s="429" t="n">
        <f aca="false">DATE(2026,58,1)</f>
        <v>47757</v>
      </c>
      <c r="BH4" s="429" t="n">
        <f aca="false">DATE(2026,59,1)</f>
        <v>47788</v>
      </c>
      <c r="BI4" s="429" t="n">
        <f aca="false">DATE(2026,60,1)</f>
        <v>47818</v>
      </c>
      <c r="BJ4" s="429" t="n">
        <f aca="false">DATE(2026,61,1)</f>
        <v>47849</v>
      </c>
      <c r="BK4" s="429" t="n">
        <f aca="false">DATE(2026,62,1)</f>
        <v>47880</v>
      </c>
      <c r="BL4" s="429" t="n">
        <f aca="false">DATE(2026,63,1)</f>
        <v>47908</v>
      </c>
      <c r="BM4" s="429" t="n">
        <f aca="false">DATE(2026,64,1)</f>
        <v>47939</v>
      </c>
      <c r="BN4" s="429" t="n">
        <f aca="false">DATE(2026,65,1)</f>
        <v>47969</v>
      </c>
      <c r="BO4" s="429" t="n">
        <f aca="false">DATE(2026,66,1)</f>
        <v>48000</v>
      </c>
      <c r="BP4" s="429" t="n">
        <f aca="false">DATE(2026,67,1)</f>
        <v>48030</v>
      </c>
      <c r="BQ4" s="429" t="n">
        <f aca="false">DATE(2026,68,1)</f>
        <v>48061</v>
      </c>
      <c r="BR4" s="429" t="n">
        <f aca="false">DATE(2026,69,1)</f>
        <v>48092</v>
      </c>
      <c r="BS4" s="429" t="n">
        <f aca="false">DATE(2026,70,1)</f>
        <v>48122</v>
      </c>
      <c r="BT4" s="429" t="n">
        <f aca="false">DATE(2026,71,1)</f>
        <v>48153</v>
      </c>
      <c r="BU4" s="429" t="n">
        <f aca="false">DATE(2026,72,1)</f>
        <v>48183</v>
      </c>
      <c r="BV4" s="429" t="n">
        <f aca="false">DATE(2026,73,1)</f>
        <v>48214</v>
      </c>
      <c r="BW4" s="429" t="n">
        <f aca="false">DATE(2026,74,1)</f>
        <v>48245</v>
      </c>
      <c r="BX4" s="429" t="n">
        <f aca="false">DATE(2026,75,1)</f>
        <v>48274</v>
      </c>
      <c r="BY4" s="429" t="n">
        <f aca="false">DATE(2026,76,1)</f>
        <v>48305</v>
      </c>
      <c r="BZ4" s="429" t="n">
        <f aca="false">DATE(2026,77,1)</f>
        <v>48335</v>
      </c>
      <c r="CA4" s="429" t="n">
        <f aca="false">DATE(2026,78,1)</f>
        <v>48366</v>
      </c>
      <c r="CB4" s="429" t="n">
        <f aca="false">DATE(2026,79,1)</f>
        <v>48396</v>
      </c>
      <c r="CC4" s="429" t="n">
        <f aca="false">DATE(2026,80,1)</f>
        <v>48427</v>
      </c>
      <c r="CD4" s="429" t="n">
        <f aca="false">DATE(2026,81,1)</f>
        <v>48458</v>
      </c>
      <c r="CE4" s="429" t="n">
        <f aca="false">DATE(2026,82,1)</f>
        <v>48488</v>
      </c>
      <c r="CF4" s="429" t="n">
        <f aca="false">DATE(2026,83,1)</f>
        <v>48519</v>
      </c>
      <c r="CG4" s="429" t="n">
        <f aca="false">DATE(2026,84,1)</f>
        <v>48549</v>
      </c>
      <c r="CH4" s="429" t="n">
        <f aca="false">DATE(2026,85,1)</f>
        <v>48580</v>
      </c>
      <c r="CI4" s="429" t="n">
        <f aca="false">DATE(2026,86,1)</f>
        <v>48611</v>
      </c>
      <c r="CJ4" s="429" t="n">
        <f aca="false">DATE(2026,87,1)</f>
        <v>48639</v>
      </c>
      <c r="CK4" s="429" t="n">
        <f aca="false">DATE(2026,88,1)</f>
        <v>48670</v>
      </c>
      <c r="CL4" s="429" t="n">
        <f aca="false">DATE(2026,89,1)</f>
        <v>48700</v>
      </c>
      <c r="CM4" s="429" t="n">
        <f aca="false">DATE(2026,90,1)</f>
        <v>48731</v>
      </c>
      <c r="CN4" s="429" t="n">
        <f aca="false">DATE(2026,91,1)</f>
        <v>48761</v>
      </c>
      <c r="CO4" s="429" t="n">
        <f aca="false">DATE(2026,92,1)</f>
        <v>48792</v>
      </c>
      <c r="CP4" s="429" t="n">
        <f aca="false">DATE(2026,93,1)</f>
        <v>48823</v>
      </c>
      <c r="CQ4" s="429" t="n">
        <f aca="false">DATE(2026,94,1)</f>
        <v>48853</v>
      </c>
      <c r="CR4" s="429" t="n">
        <f aca="false">DATE(2026,95,1)</f>
        <v>48884</v>
      </c>
      <c r="CS4" s="429" t="n">
        <f aca="false">DATE(2026,96,1)</f>
        <v>48914</v>
      </c>
      <c r="CT4" s="429" t="n">
        <f aca="false">DATE(2026,97,1)</f>
        <v>48945</v>
      </c>
      <c r="CU4" s="429" t="n">
        <f aca="false">DATE(2026,98,1)</f>
        <v>48976</v>
      </c>
      <c r="CV4" s="429" t="n">
        <f aca="false">DATE(2026,99,1)</f>
        <v>49004</v>
      </c>
      <c r="CW4" s="429" t="n">
        <f aca="false">DATE(2026,100,1)</f>
        <v>49035</v>
      </c>
      <c r="CX4" s="429" t="n">
        <f aca="false">DATE(2026,101,1)</f>
        <v>49065</v>
      </c>
      <c r="CY4" s="429" t="n">
        <f aca="false">DATE(2026,102,1)</f>
        <v>49096</v>
      </c>
      <c r="CZ4" s="429" t="n">
        <f aca="false">DATE(2026,103,1)</f>
        <v>49126</v>
      </c>
      <c r="DA4" s="429" t="n">
        <f aca="false">DATE(2026,104,1)</f>
        <v>49157</v>
      </c>
      <c r="DB4" s="429" t="n">
        <f aca="false">DATE(2026,105,1)</f>
        <v>49188</v>
      </c>
      <c r="DC4" s="429" t="n">
        <f aca="false">DATE(2026,106,1)</f>
        <v>49218</v>
      </c>
      <c r="DD4" s="429" t="n">
        <f aca="false">DATE(2026,107,1)</f>
        <v>49249</v>
      </c>
      <c r="DE4" s="429" t="n">
        <f aca="false">DATE(2026,108,1)</f>
        <v>49279</v>
      </c>
    </row>
    <row r="5" customFormat="false" ht="15" hidden="false" customHeight="true" outlineLevel="0" collapsed="false">
      <c r="A5" s="1" t="s">
        <v>1539</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1540</v>
      </c>
    </row>
    <row r="7" customFormat="false" ht="15" hidden="false" customHeight="true" outlineLevel="0" collapsed="false">
      <c r="A7" s="1" t="str">
        <f aca="false">'APA Inputs'!A22</f>
        <v>Reseda</v>
      </c>
      <c r="B7" s="430" t="n">
        <f aca="false">IF('APA Inputs'!$C$22="",0,(IF(AND(B$4&gt;='APA Inputs'!$C$22,B$4&lt;EDATE('APA Inputs'!$C$22,N('APA Inputs'!$D$22))),'APA Inputs'!$J$22,0)+IF(N('APA Inputs'!$H$22)&gt;0,IF(B$4=EDATE('APA Inputs'!$C$22,'APA Inputs'!$H$22-1),N('APA Inputs'!$G$22),0),0))*IF('APA Inputs'!$I$22="",1,'APA Inputs'!$I$22))</f>
        <v>0</v>
      </c>
      <c r="C7" s="430" t="n">
        <f aca="false">IF('APA Inputs'!$C$22="",0,(IF(AND(C$4&gt;='APA Inputs'!$C$22,C$4&lt;EDATE('APA Inputs'!$C$22,N('APA Inputs'!$D$22))),'APA Inputs'!$J$22,0)+IF(N('APA Inputs'!$H$22)&gt;0,IF(C$4=EDATE('APA Inputs'!$C$22,'APA Inputs'!$H$22-1),N('APA Inputs'!$G$22),0),0))*IF('APA Inputs'!$I$22="",1,'APA Inputs'!$I$22))</f>
        <v>0</v>
      </c>
      <c r="D7" s="430" t="n">
        <f aca="false">IF('APA Inputs'!$C$22="",0,(IF(AND(D$4&gt;='APA Inputs'!$C$22,D$4&lt;EDATE('APA Inputs'!$C$22,N('APA Inputs'!$D$22))),'APA Inputs'!$J$22,0)+IF(N('APA Inputs'!$H$22)&gt;0,IF(D$4=EDATE('APA Inputs'!$C$22,'APA Inputs'!$H$22-1),N('APA Inputs'!$G$22),0),0))*IF('APA Inputs'!$I$22="",1,'APA Inputs'!$I$22))</f>
        <v>0</v>
      </c>
      <c r="E7" s="430" t="n">
        <f aca="false">IF('APA Inputs'!$C$22="",0,(IF(AND(E$4&gt;='APA Inputs'!$C$22,E$4&lt;EDATE('APA Inputs'!$C$22,N('APA Inputs'!$D$22))),'APA Inputs'!$J$22,0)+IF(N('APA Inputs'!$H$22)&gt;0,IF(E$4=EDATE('APA Inputs'!$C$22,'APA Inputs'!$H$22-1),N('APA Inputs'!$G$22),0),0))*IF('APA Inputs'!$I$22="",1,'APA Inputs'!$I$22))</f>
        <v>0</v>
      </c>
      <c r="F7" s="430" t="n">
        <f aca="false">IF('APA Inputs'!$C$22="",0,(IF(AND(F$4&gt;='APA Inputs'!$C$22,F$4&lt;EDATE('APA Inputs'!$C$22,N('APA Inputs'!$D$22))),'APA Inputs'!$J$22,0)+IF(N('APA Inputs'!$H$22)&gt;0,IF(F$4=EDATE('APA Inputs'!$C$22,'APA Inputs'!$H$22-1),N('APA Inputs'!$G$22),0),0))*IF('APA Inputs'!$I$22="",1,'APA Inputs'!$I$22))</f>
        <v>0</v>
      </c>
      <c r="G7" s="430" t="n">
        <f aca="false">IF('APA Inputs'!$C$22="",0,(IF(AND(G$4&gt;='APA Inputs'!$C$22,G$4&lt;EDATE('APA Inputs'!$C$22,N('APA Inputs'!$D$22))),'APA Inputs'!$J$22,0)+IF(N('APA Inputs'!$H$22)&gt;0,IF(G$4=EDATE('APA Inputs'!$C$22,'APA Inputs'!$H$22-1),N('APA Inputs'!$G$22),0),0))*IF('APA Inputs'!$I$22="",1,'APA Inputs'!$I$22))</f>
        <v>0</v>
      </c>
      <c r="H7" s="430" t="n">
        <f aca="false">IF('APA Inputs'!$C$22="",0,(IF(AND(H$4&gt;='APA Inputs'!$C$22,H$4&lt;EDATE('APA Inputs'!$C$22,N('APA Inputs'!$D$22))),'APA Inputs'!$J$22,0)+IF(N('APA Inputs'!$H$22)&gt;0,IF(H$4=EDATE('APA Inputs'!$C$22,'APA Inputs'!$H$22-1),N('APA Inputs'!$G$22),0),0))*IF('APA Inputs'!$I$22="",1,'APA Inputs'!$I$22))</f>
        <v>10000</v>
      </c>
      <c r="I7" s="430" t="n">
        <f aca="false">IF('APA Inputs'!$C$22="",0,(IF(AND(I$4&gt;='APA Inputs'!$C$22,I$4&lt;EDATE('APA Inputs'!$C$22,N('APA Inputs'!$D$22))),'APA Inputs'!$J$22,0)+IF(N('APA Inputs'!$H$22)&gt;0,IF(I$4=EDATE('APA Inputs'!$C$22,'APA Inputs'!$H$22-1),N('APA Inputs'!$G$22),0),0))*IF('APA Inputs'!$I$22="",1,'APA Inputs'!$I$22))</f>
        <v>10000</v>
      </c>
      <c r="J7" s="430" t="n">
        <f aca="false">IF('APA Inputs'!$C$22="",0,(IF(AND(J$4&gt;='APA Inputs'!$C$22,J$4&lt;EDATE('APA Inputs'!$C$22,N('APA Inputs'!$D$22))),'APA Inputs'!$J$22,0)+IF(N('APA Inputs'!$H$22)&gt;0,IF(J$4=EDATE('APA Inputs'!$C$22,'APA Inputs'!$H$22-1),N('APA Inputs'!$G$22),0),0))*IF('APA Inputs'!$I$22="",1,'APA Inputs'!$I$22))</f>
        <v>10000</v>
      </c>
      <c r="K7" s="430" t="n">
        <f aca="false">IF('APA Inputs'!$C$22="",0,(IF(AND(K$4&gt;='APA Inputs'!$C$22,K$4&lt;EDATE('APA Inputs'!$C$22,N('APA Inputs'!$D$22))),'APA Inputs'!$J$22,0)+IF(N('APA Inputs'!$H$22)&gt;0,IF(K$4=EDATE('APA Inputs'!$C$22,'APA Inputs'!$H$22-1),N('APA Inputs'!$G$22),0),0))*IF('APA Inputs'!$I$22="",1,'APA Inputs'!$I$22))</f>
        <v>10000</v>
      </c>
      <c r="L7" s="430" t="n">
        <f aca="false">IF('APA Inputs'!$C$22="",0,(IF(AND(L$4&gt;='APA Inputs'!$C$22,L$4&lt;EDATE('APA Inputs'!$C$22,N('APA Inputs'!$D$22))),'APA Inputs'!$J$22,0)+IF(N('APA Inputs'!$H$22)&gt;0,IF(L$4=EDATE('APA Inputs'!$C$22,'APA Inputs'!$H$22-1),N('APA Inputs'!$G$22),0),0))*IF('APA Inputs'!$I$22="",1,'APA Inputs'!$I$22))</f>
        <v>10000</v>
      </c>
      <c r="M7" s="430" t="n">
        <f aca="false">IF('APA Inputs'!$C$22="",0,(IF(AND(M$4&gt;='APA Inputs'!$C$22,M$4&lt;EDATE('APA Inputs'!$C$22,N('APA Inputs'!$D$22))),'APA Inputs'!$J$22,0)+IF(N('APA Inputs'!$H$22)&gt;0,IF(M$4=EDATE('APA Inputs'!$C$22,'APA Inputs'!$H$22-1),N('APA Inputs'!$G$22),0),0))*IF('APA Inputs'!$I$22="",1,'APA Inputs'!$I$22))</f>
        <v>10000</v>
      </c>
      <c r="N7" s="430" t="n">
        <f aca="false">IF('APA Inputs'!$C$22="",0,(IF(AND(N$4&gt;='APA Inputs'!$C$22,N$4&lt;EDATE('APA Inputs'!$C$22,N('APA Inputs'!$D$22))),'APA Inputs'!$J$22,0)+IF(N('APA Inputs'!$H$22)&gt;0,IF(N$4=EDATE('APA Inputs'!$C$22,'APA Inputs'!$H$22-1),N('APA Inputs'!$G$22),0),0))*IF('APA Inputs'!$I$22="",1,'APA Inputs'!$I$22))</f>
        <v>10000</v>
      </c>
      <c r="O7" s="430" t="n">
        <f aca="false">IF('APA Inputs'!$C$22="",0,(IF(AND(O$4&gt;='APA Inputs'!$C$22,O$4&lt;EDATE('APA Inputs'!$C$22,N('APA Inputs'!$D$22))),'APA Inputs'!$J$22,0)+IF(N('APA Inputs'!$H$22)&gt;0,IF(O$4=EDATE('APA Inputs'!$C$22,'APA Inputs'!$H$22-1),N('APA Inputs'!$G$22),0),0))*IF('APA Inputs'!$I$22="",1,'APA Inputs'!$I$22))</f>
        <v>10000</v>
      </c>
      <c r="P7" s="430" t="n">
        <f aca="false">IF('APA Inputs'!$C$22="",0,(IF(AND(P$4&gt;='APA Inputs'!$C$22,P$4&lt;EDATE('APA Inputs'!$C$22,N('APA Inputs'!$D$22))),'APA Inputs'!$J$22,0)+IF(N('APA Inputs'!$H$22)&gt;0,IF(P$4=EDATE('APA Inputs'!$C$22,'APA Inputs'!$H$22-1),N('APA Inputs'!$G$22),0),0))*IF('APA Inputs'!$I$22="",1,'APA Inputs'!$I$22))</f>
        <v>10000</v>
      </c>
      <c r="Q7" s="430" t="n">
        <f aca="false">IF('APA Inputs'!$C$22="",0,(IF(AND(Q$4&gt;='APA Inputs'!$C$22,Q$4&lt;EDATE('APA Inputs'!$C$22,N('APA Inputs'!$D$22))),'APA Inputs'!$J$22,0)+IF(N('APA Inputs'!$H$22)&gt;0,IF(Q$4=EDATE('APA Inputs'!$C$22,'APA Inputs'!$H$22-1),N('APA Inputs'!$G$22),0),0))*IF('APA Inputs'!$I$22="",1,'APA Inputs'!$I$22))</f>
        <v>10000</v>
      </c>
      <c r="R7" s="430" t="n">
        <f aca="false">IF('APA Inputs'!$C$22="",0,(IF(AND(R$4&gt;='APA Inputs'!$C$22,R$4&lt;EDATE('APA Inputs'!$C$22,N('APA Inputs'!$D$22))),'APA Inputs'!$J$22,0)+IF(N('APA Inputs'!$H$22)&gt;0,IF(R$4=EDATE('APA Inputs'!$C$22,'APA Inputs'!$H$22-1),N('APA Inputs'!$G$22),0),0))*IF('APA Inputs'!$I$22="",1,'APA Inputs'!$I$22))</f>
        <v>10000</v>
      </c>
      <c r="S7" s="430" t="n">
        <f aca="false">IF('APA Inputs'!$C$22="",0,(IF(AND(S$4&gt;='APA Inputs'!$C$22,S$4&lt;EDATE('APA Inputs'!$C$22,N('APA Inputs'!$D$22))),'APA Inputs'!$J$22,0)+IF(N('APA Inputs'!$H$22)&gt;0,IF(S$4=EDATE('APA Inputs'!$C$22,'APA Inputs'!$H$22-1),N('APA Inputs'!$G$22),0),0))*IF('APA Inputs'!$I$22="",1,'APA Inputs'!$I$22))</f>
        <v>10000</v>
      </c>
      <c r="T7" s="430" t="n">
        <f aca="false">IF('APA Inputs'!$C$22="",0,(IF(AND(T$4&gt;='APA Inputs'!$C$22,T$4&lt;EDATE('APA Inputs'!$C$22,N('APA Inputs'!$D$22))),'APA Inputs'!$J$22,0)+IF(N('APA Inputs'!$H$22)&gt;0,IF(T$4=EDATE('APA Inputs'!$C$22,'APA Inputs'!$H$22-1),N('APA Inputs'!$G$22),0),0))*IF('APA Inputs'!$I$22="",1,'APA Inputs'!$I$22))</f>
        <v>10000</v>
      </c>
      <c r="U7" s="430" t="n">
        <f aca="false">IF('APA Inputs'!$C$22="",0,(IF(AND(U$4&gt;='APA Inputs'!$C$22,U$4&lt;EDATE('APA Inputs'!$C$22,N('APA Inputs'!$D$22))),'APA Inputs'!$J$22,0)+IF(N('APA Inputs'!$H$22)&gt;0,IF(U$4=EDATE('APA Inputs'!$C$22,'APA Inputs'!$H$22-1),N('APA Inputs'!$G$22),0),0))*IF('APA Inputs'!$I$22="",1,'APA Inputs'!$I$22))</f>
        <v>10000</v>
      </c>
      <c r="V7" s="430" t="n">
        <f aca="false">IF('APA Inputs'!$C$22="",0,(IF(AND(V$4&gt;='APA Inputs'!$C$22,V$4&lt;EDATE('APA Inputs'!$C$22,N('APA Inputs'!$D$22))),'APA Inputs'!$J$22,0)+IF(N('APA Inputs'!$H$22)&gt;0,IF(V$4=EDATE('APA Inputs'!$C$22,'APA Inputs'!$H$22-1),N('APA Inputs'!$G$22),0),0))*IF('APA Inputs'!$I$22="",1,'APA Inputs'!$I$22))</f>
        <v>10000</v>
      </c>
      <c r="W7" s="430" t="n">
        <f aca="false">IF('APA Inputs'!$C$22="",0,(IF(AND(W$4&gt;='APA Inputs'!$C$22,W$4&lt;EDATE('APA Inputs'!$C$22,N('APA Inputs'!$D$22))),'APA Inputs'!$J$22,0)+IF(N('APA Inputs'!$H$22)&gt;0,IF(W$4=EDATE('APA Inputs'!$C$22,'APA Inputs'!$H$22-1),N('APA Inputs'!$G$22),0),0))*IF('APA Inputs'!$I$22="",1,'APA Inputs'!$I$22))</f>
        <v>10000</v>
      </c>
      <c r="X7" s="430" t="n">
        <f aca="false">IF('APA Inputs'!$C$22="",0,(IF(AND(X$4&gt;='APA Inputs'!$C$22,X$4&lt;EDATE('APA Inputs'!$C$22,N('APA Inputs'!$D$22))),'APA Inputs'!$J$22,0)+IF(N('APA Inputs'!$H$22)&gt;0,IF(X$4=EDATE('APA Inputs'!$C$22,'APA Inputs'!$H$22-1),N('APA Inputs'!$G$22),0),0))*IF('APA Inputs'!$I$22="",1,'APA Inputs'!$I$22))</f>
        <v>10000</v>
      </c>
      <c r="Y7" s="430" t="n">
        <f aca="false">IF('APA Inputs'!$C$22="",0,(IF(AND(Y$4&gt;='APA Inputs'!$C$22,Y$4&lt;EDATE('APA Inputs'!$C$22,N('APA Inputs'!$D$22))),'APA Inputs'!$J$22,0)+IF(N('APA Inputs'!$H$22)&gt;0,IF(Y$4=EDATE('APA Inputs'!$C$22,'APA Inputs'!$H$22-1),N('APA Inputs'!$G$22),0),0))*IF('APA Inputs'!$I$22="",1,'APA Inputs'!$I$22))</f>
        <v>10000</v>
      </c>
      <c r="Z7" s="430" t="n">
        <f aca="false">IF('APA Inputs'!$C$22="",0,(IF(AND(Z$4&gt;='APA Inputs'!$C$22,Z$4&lt;EDATE('APA Inputs'!$C$22,N('APA Inputs'!$D$22))),'APA Inputs'!$J$22,0)+IF(N('APA Inputs'!$H$22)&gt;0,IF(Z$4=EDATE('APA Inputs'!$C$22,'APA Inputs'!$H$22-1),N('APA Inputs'!$G$22),0),0))*IF('APA Inputs'!$I$22="",1,'APA Inputs'!$I$22))</f>
        <v>10000</v>
      </c>
      <c r="AA7" s="430" t="n">
        <f aca="false">IF('APA Inputs'!$C$22="",0,(IF(AND(AA$4&gt;='APA Inputs'!$C$22,AA$4&lt;EDATE('APA Inputs'!$C$22,N('APA Inputs'!$D$22))),'APA Inputs'!$J$22,0)+IF(N('APA Inputs'!$H$22)&gt;0,IF(AA$4=EDATE('APA Inputs'!$C$22,'APA Inputs'!$H$22-1),N('APA Inputs'!$G$22),0),0))*IF('APA Inputs'!$I$22="",1,'APA Inputs'!$I$22))</f>
        <v>10000</v>
      </c>
      <c r="AB7" s="430" t="n">
        <f aca="false">IF('APA Inputs'!$C$22="",0,(IF(AND(AB$4&gt;='APA Inputs'!$C$22,AB$4&lt;EDATE('APA Inputs'!$C$22,N('APA Inputs'!$D$22))),'APA Inputs'!$J$22,0)+IF(N('APA Inputs'!$H$22)&gt;0,IF(AB$4=EDATE('APA Inputs'!$C$22,'APA Inputs'!$H$22-1),N('APA Inputs'!$G$22),0),0))*IF('APA Inputs'!$I$22="",1,'APA Inputs'!$I$22))</f>
        <v>10000</v>
      </c>
      <c r="AC7" s="430" t="n">
        <f aca="false">IF('APA Inputs'!$C$22="",0,(IF(AND(AC$4&gt;='APA Inputs'!$C$22,AC$4&lt;EDATE('APA Inputs'!$C$22,N('APA Inputs'!$D$22))),'APA Inputs'!$J$22,0)+IF(N('APA Inputs'!$H$22)&gt;0,IF(AC$4=EDATE('APA Inputs'!$C$22,'APA Inputs'!$H$22-1),N('APA Inputs'!$G$22),0),0))*IF('APA Inputs'!$I$22="",1,'APA Inputs'!$I$22))</f>
        <v>10000</v>
      </c>
      <c r="AD7" s="430" t="n">
        <f aca="false">IF('APA Inputs'!$C$22="",0,(IF(AND(AD$4&gt;='APA Inputs'!$C$22,AD$4&lt;EDATE('APA Inputs'!$C$22,N('APA Inputs'!$D$22))),'APA Inputs'!$J$22,0)+IF(N('APA Inputs'!$H$22)&gt;0,IF(AD$4=EDATE('APA Inputs'!$C$22,'APA Inputs'!$H$22-1),N('APA Inputs'!$G$22),0),0))*IF('APA Inputs'!$I$22="",1,'APA Inputs'!$I$22))</f>
        <v>10000</v>
      </c>
      <c r="AE7" s="430" t="n">
        <f aca="false">IF('APA Inputs'!$C$22="",0,(IF(AND(AE$4&gt;='APA Inputs'!$C$22,AE$4&lt;EDATE('APA Inputs'!$C$22,N('APA Inputs'!$D$22))),'APA Inputs'!$J$22,0)+IF(N('APA Inputs'!$H$22)&gt;0,IF(AE$4=EDATE('APA Inputs'!$C$22,'APA Inputs'!$H$22-1),N('APA Inputs'!$G$22),0),0))*IF('APA Inputs'!$I$22="",1,'APA Inputs'!$I$22))</f>
        <v>10000</v>
      </c>
      <c r="AF7" s="430" t="n">
        <f aca="false">IF('APA Inputs'!$C$22="",0,(IF(AND(AF$4&gt;='APA Inputs'!$C$22,AF$4&lt;EDATE('APA Inputs'!$C$22,N('APA Inputs'!$D$22))),'APA Inputs'!$J$22,0)+IF(N('APA Inputs'!$H$22)&gt;0,IF(AF$4=EDATE('APA Inputs'!$C$22,'APA Inputs'!$H$22-1),N('APA Inputs'!$G$22),0),0))*IF('APA Inputs'!$I$22="",1,'APA Inputs'!$I$22))</f>
        <v>0</v>
      </c>
      <c r="AG7" s="430" t="n">
        <f aca="false">IF('APA Inputs'!$C$22="",0,(IF(AND(AG$4&gt;='APA Inputs'!$C$22,AG$4&lt;EDATE('APA Inputs'!$C$22,N('APA Inputs'!$D$22))),'APA Inputs'!$J$22,0)+IF(N('APA Inputs'!$H$22)&gt;0,IF(AG$4=EDATE('APA Inputs'!$C$22,'APA Inputs'!$H$22-1),N('APA Inputs'!$G$22),0),0))*IF('APA Inputs'!$I$22="",1,'APA Inputs'!$I$22))</f>
        <v>0</v>
      </c>
      <c r="AH7" s="430" t="n">
        <f aca="false">IF('APA Inputs'!$C$22="",0,(IF(AND(AH$4&gt;='APA Inputs'!$C$22,AH$4&lt;EDATE('APA Inputs'!$C$22,N('APA Inputs'!$D$22))),'APA Inputs'!$J$22,0)+IF(N('APA Inputs'!$H$22)&gt;0,IF(AH$4=EDATE('APA Inputs'!$C$22,'APA Inputs'!$H$22-1),N('APA Inputs'!$G$22),0),0))*IF('APA Inputs'!$I$22="",1,'APA Inputs'!$I$22))</f>
        <v>0</v>
      </c>
      <c r="AI7" s="430" t="n">
        <f aca="false">IF('APA Inputs'!$C$22="",0,(IF(AND(AI$4&gt;='APA Inputs'!$C$22,AI$4&lt;EDATE('APA Inputs'!$C$22,N('APA Inputs'!$D$22))),'APA Inputs'!$J$22,0)+IF(N('APA Inputs'!$H$22)&gt;0,IF(AI$4=EDATE('APA Inputs'!$C$22,'APA Inputs'!$H$22-1),N('APA Inputs'!$G$22),0),0))*IF('APA Inputs'!$I$22="",1,'APA Inputs'!$I$22))</f>
        <v>0</v>
      </c>
      <c r="AJ7" s="430" t="n">
        <f aca="false">IF('APA Inputs'!$C$22="",0,(IF(AND(AJ$4&gt;='APA Inputs'!$C$22,AJ$4&lt;EDATE('APA Inputs'!$C$22,N('APA Inputs'!$D$22))),'APA Inputs'!$J$22,0)+IF(N('APA Inputs'!$H$22)&gt;0,IF(AJ$4=EDATE('APA Inputs'!$C$22,'APA Inputs'!$H$22-1),N('APA Inputs'!$G$22),0),0))*IF('APA Inputs'!$I$22="",1,'APA Inputs'!$I$22))</f>
        <v>0</v>
      </c>
      <c r="AK7" s="430" t="n">
        <f aca="false">IF('APA Inputs'!$C$22="",0,(IF(AND(AK$4&gt;='APA Inputs'!$C$22,AK$4&lt;EDATE('APA Inputs'!$C$22,N('APA Inputs'!$D$22))),'APA Inputs'!$J$22,0)+IF(N('APA Inputs'!$H$22)&gt;0,IF(AK$4=EDATE('APA Inputs'!$C$22,'APA Inputs'!$H$22-1),N('APA Inputs'!$G$22),0),0))*IF('APA Inputs'!$I$22="",1,'APA Inputs'!$I$22))</f>
        <v>0</v>
      </c>
      <c r="AL7" s="430" t="n">
        <f aca="false">IF('APA Inputs'!$C$22="",0,(IF(AND(AL$4&gt;='APA Inputs'!$C$22,AL$4&lt;EDATE('APA Inputs'!$C$22,N('APA Inputs'!$D$22))),'APA Inputs'!$J$22,0)+IF(N('APA Inputs'!$H$22)&gt;0,IF(AL$4=EDATE('APA Inputs'!$C$22,'APA Inputs'!$H$22-1),N('APA Inputs'!$G$22),0),0))*IF('APA Inputs'!$I$22="",1,'APA Inputs'!$I$22))</f>
        <v>0</v>
      </c>
      <c r="AM7" s="430" t="n">
        <f aca="false">IF('APA Inputs'!$C$22="",0,(IF(AND(AM$4&gt;='APA Inputs'!$C$22,AM$4&lt;EDATE('APA Inputs'!$C$22,N('APA Inputs'!$D$22))),'APA Inputs'!$J$22,0)+IF(N('APA Inputs'!$H$22)&gt;0,IF(AM$4=EDATE('APA Inputs'!$C$22,'APA Inputs'!$H$22-1),N('APA Inputs'!$G$22),0),0))*IF('APA Inputs'!$I$22="",1,'APA Inputs'!$I$22))</f>
        <v>0</v>
      </c>
      <c r="AN7" s="430" t="n">
        <f aca="false">IF('APA Inputs'!$C$22="",0,(IF(AND(AN$4&gt;='APA Inputs'!$C$22,AN$4&lt;EDATE('APA Inputs'!$C$22,N('APA Inputs'!$D$22))),'APA Inputs'!$J$22,0)+IF(N('APA Inputs'!$H$22)&gt;0,IF(AN$4=EDATE('APA Inputs'!$C$22,'APA Inputs'!$H$22-1),N('APA Inputs'!$G$22),0),0))*IF('APA Inputs'!$I$22="",1,'APA Inputs'!$I$22))</f>
        <v>0</v>
      </c>
      <c r="AO7" s="430" t="n">
        <f aca="false">IF('APA Inputs'!$C$22="",0,(IF(AND(AO$4&gt;='APA Inputs'!$C$22,AO$4&lt;EDATE('APA Inputs'!$C$22,N('APA Inputs'!$D$22))),'APA Inputs'!$J$22,0)+IF(N('APA Inputs'!$H$22)&gt;0,IF(AO$4=EDATE('APA Inputs'!$C$22,'APA Inputs'!$H$22-1),N('APA Inputs'!$G$22),0),0))*IF('APA Inputs'!$I$22="",1,'APA Inputs'!$I$22))</f>
        <v>0</v>
      </c>
      <c r="AP7" s="430" t="n">
        <f aca="false">IF('APA Inputs'!$C$22="",0,(IF(AND(AP$4&gt;='APA Inputs'!$C$22,AP$4&lt;EDATE('APA Inputs'!$C$22,N('APA Inputs'!$D$22))),'APA Inputs'!$J$22,0)+IF(N('APA Inputs'!$H$22)&gt;0,IF(AP$4=EDATE('APA Inputs'!$C$22,'APA Inputs'!$H$22-1),N('APA Inputs'!$G$22),0),0))*IF('APA Inputs'!$I$22="",1,'APA Inputs'!$I$22))</f>
        <v>0</v>
      </c>
      <c r="AQ7" s="430" t="n">
        <f aca="false">IF('APA Inputs'!$C$22="",0,(IF(AND(AQ$4&gt;='APA Inputs'!$C$22,AQ$4&lt;EDATE('APA Inputs'!$C$22,N('APA Inputs'!$D$22))),'APA Inputs'!$J$22,0)+IF(N('APA Inputs'!$H$22)&gt;0,IF(AQ$4=EDATE('APA Inputs'!$C$22,'APA Inputs'!$H$22-1),N('APA Inputs'!$G$22),0),0))*IF('APA Inputs'!$I$22="",1,'APA Inputs'!$I$22))</f>
        <v>0</v>
      </c>
      <c r="AR7" s="430" t="n">
        <f aca="false">IF('APA Inputs'!$C$22="",0,(IF(AND(AR$4&gt;='APA Inputs'!$C$22,AR$4&lt;EDATE('APA Inputs'!$C$22,N('APA Inputs'!$D$22))),'APA Inputs'!$J$22,0)+IF(N('APA Inputs'!$H$22)&gt;0,IF(AR$4=EDATE('APA Inputs'!$C$22,'APA Inputs'!$H$22-1),N('APA Inputs'!$G$22),0),0))*IF('APA Inputs'!$I$22="",1,'APA Inputs'!$I$22))</f>
        <v>0</v>
      </c>
      <c r="AS7" s="430" t="n">
        <f aca="false">IF('APA Inputs'!$C$22="",0,(IF(AND(AS$4&gt;='APA Inputs'!$C$22,AS$4&lt;EDATE('APA Inputs'!$C$22,N('APA Inputs'!$D$22))),'APA Inputs'!$J$22,0)+IF(N('APA Inputs'!$H$22)&gt;0,IF(AS$4=EDATE('APA Inputs'!$C$22,'APA Inputs'!$H$22-1),N('APA Inputs'!$G$22),0),0))*IF('APA Inputs'!$I$22="",1,'APA Inputs'!$I$22))</f>
        <v>0</v>
      </c>
      <c r="AT7" s="430" t="n">
        <f aca="false">IF('APA Inputs'!$C$22="",0,(IF(AND(AT$4&gt;='APA Inputs'!$C$22,AT$4&lt;EDATE('APA Inputs'!$C$22,N('APA Inputs'!$D$22))),'APA Inputs'!$J$22,0)+IF(N('APA Inputs'!$H$22)&gt;0,IF(AT$4=EDATE('APA Inputs'!$C$22,'APA Inputs'!$H$22-1),N('APA Inputs'!$G$22),0),0))*IF('APA Inputs'!$I$22="",1,'APA Inputs'!$I$22))</f>
        <v>0</v>
      </c>
      <c r="AU7" s="430" t="n">
        <f aca="false">IF('APA Inputs'!$C$22="",0,(IF(AND(AU$4&gt;='APA Inputs'!$C$22,AU$4&lt;EDATE('APA Inputs'!$C$22,N('APA Inputs'!$D$22))),'APA Inputs'!$J$22,0)+IF(N('APA Inputs'!$H$22)&gt;0,IF(AU$4=EDATE('APA Inputs'!$C$22,'APA Inputs'!$H$22-1),N('APA Inputs'!$G$22),0),0))*IF('APA Inputs'!$I$22="",1,'APA Inputs'!$I$22))</f>
        <v>0</v>
      </c>
      <c r="AV7" s="430" t="n">
        <f aca="false">IF('APA Inputs'!$C$22="",0,(IF(AND(AV$4&gt;='APA Inputs'!$C$22,AV$4&lt;EDATE('APA Inputs'!$C$22,N('APA Inputs'!$D$22))),'APA Inputs'!$J$22,0)+IF(N('APA Inputs'!$H$22)&gt;0,IF(AV$4=EDATE('APA Inputs'!$C$22,'APA Inputs'!$H$22-1),N('APA Inputs'!$G$22),0),0))*IF('APA Inputs'!$I$22="",1,'APA Inputs'!$I$22))</f>
        <v>0</v>
      </c>
      <c r="AW7" s="430" t="n">
        <f aca="false">IF('APA Inputs'!$C$22="",0,(IF(AND(AW$4&gt;='APA Inputs'!$C$22,AW$4&lt;EDATE('APA Inputs'!$C$22,N('APA Inputs'!$D$22))),'APA Inputs'!$J$22,0)+IF(N('APA Inputs'!$H$22)&gt;0,IF(AW$4=EDATE('APA Inputs'!$C$22,'APA Inputs'!$H$22-1),N('APA Inputs'!$G$22),0),0))*IF('APA Inputs'!$I$22="",1,'APA Inputs'!$I$22))</f>
        <v>0</v>
      </c>
      <c r="AX7" s="430" t="n">
        <f aca="false">IF('APA Inputs'!$C$22="",0,(IF(AND(AX$4&gt;='APA Inputs'!$C$22,AX$4&lt;EDATE('APA Inputs'!$C$22,N('APA Inputs'!$D$22))),'APA Inputs'!$J$22,0)+IF(N('APA Inputs'!$H$22)&gt;0,IF(AX$4=EDATE('APA Inputs'!$C$22,'APA Inputs'!$H$22-1),N('APA Inputs'!$G$22),0),0))*IF('APA Inputs'!$I$22="",1,'APA Inputs'!$I$22))</f>
        <v>0</v>
      </c>
      <c r="AY7" s="430" t="n">
        <f aca="false">IF('APA Inputs'!$C$22="",0,(IF(AND(AY$4&gt;='APA Inputs'!$C$22,AY$4&lt;EDATE('APA Inputs'!$C$22,N('APA Inputs'!$D$22))),'APA Inputs'!$J$22,0)+IF(N('APA Inputs'!$H$22)&gt;0,IF(AY$4=EDATE('APA Inputs'!$C$22,'APA Inputs'!$H$22-1),N('APA Inputs'!$G$22),0),0))*IF('APA Inputs'!$I$22="",1,'APA Inputs'!$I$22))</f>
        <v>0</v>
      </c>
      <c r="AZ7" s="430" t="n">
        <f aca="false">IF('APA Inputs'!$C$22="",0,(IF(AND(AZ$4&gt;='APA Inputs'!$C$22,AZ$4&lt;EDATE('APA Inputs'!$C$22,N('APA Inputs'!$D$22))),'APA Inputs'!$J$22,0)+IF(N('APA Inputs'!$H$22)&gt;0,IF(AZ$4=EDATE('APA Inputs'!$C$22,'APA Inputs'!$H$22-1),N('APA Inputs'!$G$22),0),0))*IF('APA Inputs'!$I$22="",1,'APA Inputs'!$I$22))</f>
        <v>0</v>
      </c>
      <c r="BA7" s="430" t="n">
        <f aca="false">IF('APA Inputs'!$C$22="",0,(IF(AND(BA$4&gt;='APA Inputs'!$C$22,BA$4&lt;EDATE('APA Inputs'!$C$22,N('APA Inputs'!$D$22))),'APA Inputs'!$J$22,0)+IF(N('APA Inputs'!$H$22)&gt;0,IF(BA$4=EDATE('APA Inputs'!$C$22,'APA Inputs'!$H$22-1),N('APA Inputs'!$G$22),0),0))*IF('APA Inputs'!$I$22="",1,'APA Inputs'!$I$22))</f>
        <v>0</v>
      </c>
      <c r="BB7" s="430" t="n">
        <f aca="false">IF('APA Inputs'!$C$22="",0,(IF(AND(BB$4&gt;='APA Inputs'!$C$22,BB$4&lt;EDATE('APA Inputs'!$C$22,N('APA Inputs'!$D$22))),'APA Inputs'!$J$22,0)+IF(N('APA Inputs'!$H$22)&gt;0,IF(BB$4=EDATE('APA Inputs'!$C$22,'APA Inputs'!$H$22-1),N('APA Inputs'!$G$22),0),0))*IF('APA Inputs'!$I$22="",1,'APA Inputs'!$I$22))</f>
        <v>0</v>
      </c>
      <c r="BC7" s="430" t="n">
        <f aca="false">IF('APA Inputs'!$C$22="",0,(IF(AND(BC$4&gt;='APA Inputs'!$C$22,BC$4&lt;EDATE('APA Inputs'!$C$22,N('APA Inputs'!$D$22))),'APA Inputs'!$J$22,0)+IF(N('APA Inputs'!$H$22)&gt;0,IF(BC$4=EDATE('APA Inputs'!$C$22,'APA Inputs'!$H$22-1),N('APA Inputs'!$G$22),0),0))*IF('APA Inputs'!$I$22="",1,'APA Inputs'!$I$22))</f>
        <v>0</v>
      </c>
      <c r="BD7" s="430" t="n">
        <f aca="false">IF('APA Inputs'!$C$22="",0,(IF(AND(BD$4&gt;='APA Inputs'!$C$22,BD$4&lt;EDATE('APA Inputs'!$C$22,N('APA Inputs'!$D$22))),'APA Inputs'!$J$22,0)+IF(N('APA Inputs'!$H$22)&gt;0,IF(BD$4=EDATE('APA Inputs'!$C$22,'APA Inputs'!$H$22-1),N('APA Inputs'!$G$22),0),0))*IF('APA Inputs'!$I$22="",1,'APA Inputs'!$I$22))</f>
        <v>0</v>
      </c>
      <c r="BE7" s="430" t="n">
        <f aca="false">IF('APA Inputs'!$C$22="",0,(IF(AND(BE$4&gt;='APA Inputs'!$C$22,BE$4&lt;EDATE('APA Inputs'!$C$22,N('APA Inputs'!$D$22))),'APA Inputs'!$J$22,0)+IF(N('APA Inputs'!$H$22)&gt;0,IF(BE$4=EDATE('APA Inputs'!$C$22,'APA Inputs'!$H$22-1),N('APA Inputs'!$G$22),0),0))*IF('APA Inputs'!$I$22="",1,'APA Inputs'!$I$22))</f>
        <v>0</v>
      </c>
      <c r="BF7" s="430" t="n">
        <f aca="false">IF('APA Inputs'!$C$22="",0,(IF(AND(BF$4&gt;='APA Inputs'!$C$22,BF$4&lt;EDATE('APA Inputs'!$C$22,N('APA Inputs'!$D$22))),'APA Inputs'!$J$22,0)+IF(N('APA Inputs'!$H$22)&gt;0,IF(BF$4=EDATE('APA Inputs'!$C$22,'APA Inputs'!$H$22-1),N('APA Inputs'!$G$22),0),0))*IF('APA Inputs'!$I$22="",1,'APA Inputs'!$I$22))</f>
        <v>0</v>
      </c>
      <c r="BG7" s="430" t="n">
        <f aca="false">IF('APA Inputs'!$C$22="",0,(IF(AND(BG$4&gt;='APA Inputs'!$C$22,BG$4&lt;EDATE('APA Inputs'!$C$22,N('APA Inputs'!$D$22))),'APA Inputs'!$J$22,0)+IF(N('APA Inputs'!$H$22)&gt;0,IF(BG$4=EDATE('APA Inputs'!$C$22,'APA Inputs'!$H$22-1),N('APA Inputs'!$G$22),0),0))*IF('APA Inputs'!$I$22="",1,'APA Inputs'!$I$22))</f>
        <v>0</v>
      </c>
      <c r="BH7" s="430" t="n">
        <f aca="false">IF('APA Inputs'!$C$22="",0,(IF(AND(BH$4&gt;='APA Inputs'!$C$22,BH$4&lt;EDATE('APA Inputs'!$C$22,N('APA Inputs'!$D$22))),'APA Inputs'!$J$22,0)+IF(N('APA Inputs'!$H$22)&gt;0,IF(BH$4=EDATE('APA Inputs'!$C$22,'APA Inputs'!$H$22-1),N('APA Inputs'!$G$22),0),0))*IF('APA Inputs'!$I$22="",1,'APA Inputs'!$I$22))</f>
        <v>0</v>
      </c>
      <c r="BI7" s="430" t="n">
        <f aca="false">IF('APA Inputs'!$C$22="",0,(IF(AND(BI$4&gt;='APA Inputs'!$C$22,BI$4&lt;EDATE('APA Inputs'!$C$22,N('APA Inputs'!$D$22))),'APA Inputs'!$J$22,0)+IF(N('APA Inputs'!$H$22)&gt;0,IF(BI$4=EDATE('APA Inputs'!$C$22,'APA Inputs'!$H$22-1),N('APA Inputs'!$G$22),0),0))*IF('APA Inputs'!$I$22="",1,'APA Inputs'!$I$22))</f>
        <v>0</v>
      </c>
      <c r="BJ7" s="430" t="n">
        <f aca="false">IF('APA Inputs'!$C$22="",0,(IF(AND(BJ$4&gt;='APA Inputs'!$C$22,BJ$4&lt;EDATE('APA Inputs'!$C$22,N('APA Inputs'!$D$22))),'APA Inputs'!$J$22,0)+IF(N('APA Inputs'!$H$22)&gt;0,IF(BJ$4=EDATE('APA Inputs'!$C$22,'APA Inputs'!$H$22-1),N('APA Inputs'!$G$22),0),0))*IF('APA Inputs'!$I$22="",1,'APA Inputs'!$I$22))</f>
        <v>0</v>
      </c>
      <c r="BK7" s="430" t="n">
        <f aca="false">IF('APA Inputs'!$C$22="",0,(IF(AND(BK$4&gt;='APA Inputs'!$C$22,BK$4&lt;EDATE('APA Inputs'!$C$22,N('APA Inputs'!$D$22))),'APA Inputs'!$J$22,0)+IF(N('APA Inputs'!$H$22)&gt;0,IF(BK$4=EDATE('APA Inputs'!$C$22,'APA Inputs'!$H$22-1),N('APA Inputs'!$G$22),0),0))*IF('APA Inputs'!$I$22="",1,'APA Inputs'!$I$22))</f>
        <v>0</v>
      </c>
      <c r="BL7" s="430" t="n">
        <f aca="false">IF('APA Inputs'!$C$22="",0,(IF(AND(BL$4&gt;='APA Inputs'!$C$22,BL$4&lt;EDATE('APA Inputs'!$C$22,N('APA Inputs'!$D$22))),'APA Inputs'!$J$22,0)+IF(N('APA Inputs'!$H$22)&gt;0,IF(BL$4=EDATE('APA Inputs'!$C$22,'APA Inputs'!$H$22-1),N('APA Inputs'!$G$22),0),0))*IF('APA Inputs'!$I$22="",1,'APA Inputs'!$I$22))</f>
        <v>0</v>
      </c>
      <c r="BM7" s="430" t="n">
        <f aca="false">IF('APA Inputs'!$C$22="",0,(IF(AND(BM$4&gt;='APA Inputs'!$C$22,BM$4&lt;EDATE('APA Inputs'!$C$22,N('APA Inputs'!$D$22))),'APA Inputs'!$J$22,0)+IF(N('APA Inputs'!$H$22)&gt;0,IF(BM$4=EDATE('APA Inputs'!$C$22,'APA Inputs'!$H$22-1),N('APA Inputs'!$G$22),0),0))*IF('APA Inputs'!$I$22="",1,'APA Inputs'!$I$22))</f>
        <v>0</v>
      </c>
      <c r="BN7" s="430" t="n">
        <f aca="false">IF('APA Inputs'!$C$22="",0,(IF(AND(BN$4&gt;='APA Inputs'!$C$22,BN$4&lt;EDATE('APA Inputs'!$C$22,N('APA Inputs'!$D$22))),'APA Inputs'!$J$22,0)+IF(N('APA Inputs'!$H$22)&gt;0,IF(BN$4=EDATE('APA Inputs'!$C$22,'APA Inputs'!$H$22-1),N('APA Inputs'!$G$22),0),0))*IF('APA Inputs'!$I$22="",1,'APA Inputs'!$I$22))</f>
        <v>0</v>
      </c>
      <c r="BO7" s="430" t="n">
        <f aca="false">IF('APA Inputs'!$C$22="",0,(IF(AND(BO$4&gt;='APA Inputs'!$C$22,BO$4&lt;EDATE('APA Inputs'!$C$22,N('APA Inputs'!$D$22))),'APA Inputs'!$J$22,0)+IF(N('APA Inputs'!$H$22)&gt;0,IF(BO$4=EDATE('APA Inputs'!$C$22,'APA Inputs'!$H$22-1),N('APA Inputs'!$G$22),0),0))*IF('APA Inputs'!$I$22="",1,'APA Inputs'!$I$22))</f>
        <v>0</v>
      </c>
      <c r="BP7" s="430" t="n">
        <f aca="false">IF('APA Inputs'!$C$22="",0,(IF(AND(BP$4&gt;='APA Inputs'!$C$22,BP$4&lt;EDATE('APA Inputs'!$C$22,N('APA Inputs'!$D$22))),'APA Inputs'!$J$22,0)+IF(N('APA Inputs'!$H$22)&gt;0,IF(BP$4=EDATE('APA Inputs'!$C$22,'APA Inputs'!$H$22-1),N('APA Inputs'!$G$22),0),0))*IF('APA Inputs'!$I$22="",1,'APA Inputs'!$I$22))</f>
        <v>0</v>
      </c>
      <c r="BQ7" s="430" t="n">
        <f aca="false">IF('APA Inputs'!$C$22="",0,(IF(AND(BQ$4&gt;='APA Inputs'!$C$22,BQ$4&lt;EDATE('APA Inputs'!$C$22,N('APA Inputs'!$D$22))),'APA Inputs'!$J$22,0)+IF(N('APA Inputs'!$H$22)&gt;0,IF(BQ$4=EDATE('APA Inputs'!$C$22,'APA Inputs'!$H$22-1),N('APA Inputs'!$G$22),0),0))*IF('APA Inputs'!$I$22="",1,'APA Inputs'!$I$22))</f>
        <v>0</v>
      </c>
      <c r="BR7" s="430" t="n">
        <f aca="false">IF('APA Inputs'!$C$22="",0,(IF(AND(BR$4&gt;='APA Inputs'!$C$22,BR$4&lt;EDATE('APA Inputs'!$C$22,N('APA Inputs'!$D$22))),'APA Inputs'!$J$22,0)+IF(N('APA Inputs'!$H$22)&gt;0,IF(BR$4=EDATE('APA Inputs'!$C$22,'APA Inputs'!$H$22-1),N('APA Inputs'!$G$22),0),0))*IF('APA Inputs'!$I$22="",1,'APA Inputs'!$I$22))</f>
        <v>0</v>
      </c>
      <c r="BS7" s="430" t="n">
        <f aca="false">IF('APA Inputs'!$C$22="",0,(IF(AND(BS$4&gt;='APA Inputs'!$C$22,BS$4&lt;EDATE('APA Inputs'!$C$22,N('APA Inputs'!$D$22))),'APA Inputs'!$J$22,0)+IF(N('APA Inputs'!$H$22)&gt;0,IF(BS$4=EDATE('APA Inputs'!$C$22,'APA Inputs'!$H$22-1),N('APA Inputs'!$G$22),0),0))*IF('APA Inputs'!$I$22="",1,'APA Inputs'!$I$22))</f>
        <v>0</v>
      </c>
      <c r="BT7" s="430" t="n">
        <f aca="false">IF('APA Inputs'!$C$22="",0,(IF(AND(BT$4&gt;='APA Inputs'!$C$22,BT$4&lt;EDATE('APA Inputs'!$C$22,N('APA Inputs'!$D$22))),'APA Inputs'!$J$22,0)+IF(N('APA Inputs'!$H$22)&gt;0,IF(BT$4=EDATE('APA Inputs'!$C$22,'APA Inputs'!$H$22-1),N('APA Inputs'!$G$22),0),0))*IF('APA Inputs'!$I$22="",1,'APA Inputs'!$I$22))</f>
        <v>0</v>
      </c>
      <c r="BU7" s="430" t="n">
        <f aca="false">IF('APA Inputs'!$C$22="",0,(IF(AND(BU$4&gt;='APA Inputs'!$C$22,BU$4&lt;EDATE('APA Inputs'!$C$22,N('APA Inputs'!$D$22))),'APA Inputs'!$J$22,0)+IF(N('APA Inputs'!$H$22)&gt;0,IF(BU$4=EDATE('APA Inputs'!$C$22,'APA Inputs'!$H$22-1),N('APA Inputs'!$G$22),0),0))*IF('APA Inputs'!$I$22="",1,'APA Inputs'!$I$22))</f>
        <v>0</v>
      </c>
      <c r="BV7" s="430" t="n">
        <f aca="false">IF('APA Inputs'!$C$22="",0,(IF(AND(BV$4&gt;='APA Inputs'!$C$22,BV$4&lt;EDATE('APA Inputs'!$C$22,N('APA Inputs'!$D$22))),'APA Inputs'!$J$22,0)+IF(N('APA Inputs'!$H$22)&gt;0,IF(BV$4=EDATE('APA Inputs'!$C$22,'APA Inputs'!$H$22-1),N('APA Inputs'!$G$22),0),0))*IF('APA Inputs'!$I$22="",1,'APA Inputs'!$I$22))</f>
        <v>0</v>
      </c>
      <c r="BW7" s="430" t="n">
        <f aca="false">IF('APA Inputs'!$C$22="",0,(IF(AND(BW$4&gt;='APA Inputs'!$C$22,BW$4&lt;EDATE('APA Inputs'!$C$22,N('APA Inputs'!$D$22))),'APA Inputs'!$J$22,0)+IF(N('APA Inputs'!$H$22)&gt;0,IF(BW$4=EDATE('APA Inputs'!$C$22,'APA Inputs'!$H$22-1),N('APA Inputs'!$G$22),0),0))*IF('APA Inputs'!$I$22="",1,'APA Inputs'!$I$22))</f>
        <v>0</v>
      </c>
      <c r="BX7" s="430" t="n">
        <f aca="false">IF('APA Inputs'!$C$22="",0,(IF(AND(BX$4&gt;='APA Inputs'!$C$22,BX$4&lt;EDATE('APA Inputs'!$C$22,N('APA Inputs'!$D$22))),'APA Inputs'!$J$22,0)+IF(N('APA Inputs'!$H$22)&gt;0,IF(BX$4=EDATE('APA Inputs'!$C$22,'APA Inputs'!$H$22-1),N('APA Inputs'!$G$22),0),0))*IF('APA Inputs'!$I$22="",1,'APA Inputs'!$I$22))</f>
        <v>0</v>
      </c>
      <c r="BY7" s="430" t="n">
        <f aca="false">IF('APA Inputs'!$C$22="",0,(IF(AND(BY$4&gt;='APA Inputs'!$C$22,BY$4&lt;EDATE('APA Inputs'!$C$22,N('APA Inputs'!$D$22))),'APA Inputs'!$J$22,0)+IF(N('APA Inputs'!$H$22)&gt;0,IF(BY$4=EDATE('APA Inputs'!$C$22,'APA Inputs'!$H$22-1),N('APA Inputs'!$G$22),0),0))*IF('APA Inputs'!$I$22="",1,'APA Inputs'!$I$22))</f>
        <v>0</v>
      </c>
      <c r="BZ7" s="430" t="n">
        <f aca="false">IF('APA Inputs'!$C$22="",0,(IF(AND(BZ$4&gt;='APA Inputs'!$C$22,BZ$4&lt;EDATE('APA Inputs'!$C$22,N('APA Inputs'!$D$22))),'APA Inputs'!$J$22,0)+IF(N('APA Inputs'!$H$22)&gt;0,IF(BZ$4=EDATE('APA Inputs'!$C$22,'APA Inputs'!$H$22-1),N('APA Inputs'!$G$22),0),0))*IF('APA Inputs'!$I$22="",1,'APA Inputs'!$I$22))</f>
        <v>0</v>
      </c>
      <c r="CA7" s="430" t="n">
        <f aca="false">IF('APA Inputs'!$C$22="",0,(IF(AND(CA$4&gt;='APA Inputs'!$C$22,CA$4&lt;EDATE('APA Inputs'!$C$22,N('APA Inputs'!$D$22))),'APA Inputs'!$J$22,0)+IF(N('APA Inputs'!$H$22)&gt;0,IF(CA$4=EDATE('APA Inputs'!$C$22,'APA Inputs'!$H$22-1),N('APA Inputs'!$G$22),0),0))*IF('APA Inputs'!$I$22="",1,'APA Inputs'!$I$22))</f>
        <v>0</v>
      </c>
      <c r="CB7" s="430" t="n">
        <f aca="false">IF('APA Inputs'!$C$22="",0,(IF(AND(CB$4&gt;='APA Inputs'!$C$22,CB$4&lt;EDATE('APA Inputs'!$C$22,N('APA Inputs'!$D$22))),'APA Inputs'!$J$22,0)+IF(N('APA Inputs'!$H$22)&gt;0,IF(CB$4=EDATE('APA Inputs'!$C$22,'APA Inputs'!$H$22-1),N('APA Inputs'!$G$22),0),0))*IF('APA Inputs'!$I$22="",1,'APA Inputs'!$I$22))</f>
        <v>0</v>
      </c>
      <c r="CC7" s="430" t="n">
        <f aca="false">IF('APA Inputs'!$C$22="",0,(IF(AND(CC$4&gt;='APA Inputs'!$C$22,CC$4&lt;EDATE('APA Inputs'!$C$22,N('APA Inputs'!$D$22))),'APA Inputs'!$J$22,0)+IF(N('APA Inputs'!$H$22)&gt;0,IF(CC$4=EDATE('APA Inputs'!$C$22,'APA Inputs'!$H$22-1),N('APA Inputs'!$G$22),0),0))*IF('APA Inputs'!$I$22="",1,'APA Inputs'!$I$22))</f>
        <v>0</v>
      </c>
      <c r="CD7" s="430" t="n">
        <f aca="false">IF('APA Inputs'!$C$22="",0,(IF(AND(CD$4&gt;='APA Inputs'!$C$22,CD$4&lt;EDATE('APA Inputs'!$C$22,N('APA Inputs'!$D$22))),'APA Inputs'!$J$22,0)+IF(N('APA Inputs'!$H$22)&gt;0,IF(CD$4=EDATE('APA Inputs'!$C$22,'APA Inputs'!$H$22-1),N('APA Inputs'!$G$22),0),0))*IF('APA Inputs'!$I$22="",1,'APA Inputs'!$I$22))</f>
        <v>0</v>
      </c>
      <c r="CE7" s="430" t="n">
        <f aca="false">IF('APA Inputs'!$C$22="",0,(IF(AND(CE$4&gt;='APA Inputs'!$C$22,CE$4&lt;EDATE('APA Inputs'!$C$22,N('APA Inputs'!$D$22))),'APA Inputs'!$J$22,0)+IF(N('APA Inputs'!$H$22)&gt;0,IF(CE$4=EDATE('APA Inputs'!$C$22,'APA Inputs'!$H$22-1),N('APA Inputs'!$G$22),0),0))*IF('APA Inputs'!$I$22="",1,'APA Inputs'!$I$22))</f>
        <v>0</v>
      </c>
      <c r="CF7" s="430" t="n">
        <f aca="false">IF('APA Inputs'!$C$22="",0,(IF(AND(CF$4&gt;='APA Inputs'!$C$22,CF$4&lt;EDATE('APA Inputs'!$C$22,N('APA Inputs'!$D$22))),'APA Inputs'!$J$22,0)+IF(N('APA Inputs'!$H$22)&gt;0,IF(CF$4=EDATE('APA Inputs'!$C$22,'APA Inputs'!$H$22-1),N('APA Inputs'!$G$22),0),0))*IF('APA Inputs'!$I$22="",1,'APA Inputs'!$I$22))</f>
        <v>0</v>
      </c>
      <c r="CG7" s="430" t="n">
        <f aca="false">IF('APA Inputs'!$C$22="",0,(IF(AND(CG$4&gt;='APA Inputs'!$C$22,CG$4&lt;EDATE('APA Inputs'!$C$22,N('APA Inputs'!$D$22))),'APA Inputs'!$J$22,0)+IF(N('APA Inputs'!$H$22)&gt;0,IF(CG$4=EDATE('APA Inputs'!$C$22,'APA Inputs'!$H$22-1),N('APA Inputs'!$G$22),0),0))*IF('APA Inputs'!$I$22="",1,'APA Inputs'!$I$22))</f>
        <v>0</v>
      </c>
      <c r="CH7" s="430" t="n">
        <f aca="false">IF('APA Inputs'!$C$22="",0,(IF(AND(CH$4&gt;='APA Inputs'!$C$22,CH$4&lt;EDATE('APA Inputs'!$C$22,N('APA Inputs'!$D$22))),'APA Inputs'!$J$22,0)+IF(N('APA Inputs'!$H$22)&gt;0,IF(CH$4=EDATE('APA Inputs'!$C$22,'APA Inputs'!$H$22-1),N('APA Inputs'!$G$22),0),0))*IF('APA Inputs'!$I$22="",1,'APA Inputs'!$I$22))</f>
        <v>0</v>
      </c>
      <c r="CI7" s="430" t="n">
        <f aca="false">IF('APA Inputs'!$C$22="",0,(IF(AND(CI$4&gt;='APA Inputs'!$C$22,CI$4&lt;EDATE('APA Inputs'!$C$22,N('APA Inputs'!$D$22))),'APA Inputs'!$J$22,0)+IF(N('APA Inputs'!$H$22)&gt;0,IF(CI$4=EDATE('APA Inputs'!$C$22,'APA Inputs'!$H$22-1),N('APA Inputs'!$G$22),0),0))*IF('APA Inputs'!$I$22="",1,'APA Inputs'!$I$22))</f>
        <v>0</v>
      </c>
      <c r="CJ7" s="430" t="n">
        <f aca="false">IF('APA Inputs'!$C$22="",0,(IF(AND(CJ$4&gt;='APA Inputs'!$C$22,CJ$4&lt;EDATE('APA Inputs'!$C$22,N('APA Inputs'!$D$22))),'APA Inputs'!$J$22,0)+IF(N('APA Inputs'!$H$22)&gt;0,IF(CJ$4=EDATE('APA Inputs'!$C$22,'APA Inputs'!$H$22-1),N('APA Inputs'!$G$22),0),0))*IF('APA Inputs'!$I$22="",1,'APA Inputs'!$I$22))</f>
        <v>0</v>
      </c>
      <c r="CK7" s="430" t="n">
        <f aca="false">IF('APA Inputs'!$C$22="",0,(IF(AND(CK$4&gt;='APA Inputs'!$C$22,CK$4&lt;EDATE('APA Inputs'!$C$22,N('APA Inputs'!$D$22))),'APA Inputs'!$J$22,0)+IF(N('APA Inputs'!$H$22)&gt;0,IF(CK$4=EDATE('APA Inputs'!$C$22,'APA Inputs'!$H$22-1),N('APA Inputs'!$G$22),0),0))*IF('APA Inputs'!$I$22="",1,'APA Inputs'!$I$22))</f>
        <v>0</v>
      </c>
      <c r="CL7" s="430" t="n">
        <f aca="false">IF('APA Inputs'!$C$22="",0,(IF(AND(CL$4&gt;='APA Inputs'!$C$22,CL$4&lt;EDATE('APA Inputs'!$C$22,N('APA Inputs'!$D$22))),'APA Inputs'!$J$22,0)+IF(N('APA Inputs'!$H$22)&gt;0,IF(CL$4=EDATE('APA Inputs'!$C$22,'APA Inputs'!$H$22-1),N('APA Inputs'!$G$22),0),0))*IF('APA Inputs'!$I$22="",1,'APA Inputs'!$I$22))</f>
        <v>0</v>
      </c>
      <c r="CM7" s="430" t="n">
        <f aca="false">IF('APA Inputs'!$C$22="",0,(IF(AND(CM$4&gt;='APA Inputs'!$C$22,CM$4&lt;EDATE('APA Inputs'!$C$22,N('APA Inputs'!$D$22))),'APA Inputs'!$J$22,0)+IF(N('APA Inputs'!$H$22)&gt;0,IF(CM$4=EDATE('APA Inputs'!$C$22,'APA Inputs'!$H$22-1),N('APA Inputs'!$G$22),0),0))*IF('APA Inputs'!$I$22="",1,'APA Inputs'!$I$22))</f>
        <v>0</v>
      </c>
      <c r="CN7" s="430" t="n">
        <f aca="false">IF('APA Inputs'!$C$22="",0,(IF(AND(CN$4&gt;='APA Inputs'!$C$22,CN$4&lt;EDATE('APA Inputs'!$C$22,N('APA Inputs'!$D$22))),'APA Inputs'!$J$22,0)+IF(N('APA Inputs'!$H$22)&gt;0,IF(CN$4=EDATE('APA Inputs'!$C$22,'APA Inputs'!$H$22-1),N('APA Inputs'!$G$22),0),0))*IF('APA Inputs'!$I$22="",1,'APA Inputs'!$I$22))</f>
        <v>0</v>
      </c>
      <c r="CO7" s="430" t="n">
        <f aca="false">IF('APA Inputs'!$C$22="",0,(IF(AND(CO$4&gt;='APA Inputs'!$C$22,CO$4&lt;EDATE('APA Inputs'!$C$22,N('APA Inputs'!$D$22))),'APA Inputs'!$J$22,0)+IF(N('APA Inputs'!$H$22)&gt;0,IF(CO$4=EDATE('APA Inputs'!$C$22,'APA Inputs'!$H$22-1),N('APA Inputs'!$G$22),0),0))*IF('APA Inputs'!$I$22="",1,'APA Inputs'!$I$22))</f>
        <v>0</v>
      </c>
      <c r="CP7" s="430" t="n">
        <f aca="false">IF('APA Inputs'!$C$22="",0,(IF(AND(CP$4&gt;='APA Inputs'!$C$22,CP$4&lt;EDATE('APA Inputs'!$C$22,N('APA Inputs'!$D$22))),'APA Inputs'!$J$22,0)+IF(N('APA Inputs'!$H$22)&gt;0,IF(CP$4=EDATE('APA Inputs'!$C$22,'APA Inputs'!$H$22-1),N('APA Inputs'!$G$22),0),0))*IF('APA Inputs'!$I$22="",1,'APA Inputs'!$I$22))</f>
        <v>0</v>
      </c>
      <c r="CQ7" s="430" t="n">
        <f aca="false">IF('APA Inputs'!$C$22="",0,(IF(AND(CQ$4&gt;='APA Inputs'!$C$22,CQ$4&lt;EDATE('APA Inputs'!$C$22,N('APA Inputs'!$D$22))),'APA Inputs'!$J$22,0)+IF(N('APA Inputs'!$H$22)&gt;0,IF(CQ$4=EDATE('APA Inputs'!$C$22,'APA Inputs'!$H$22-1),N('APA Inputs'!$G$22),0),0))*IF('APA Inputs'!$I$22="",1,'APA Inputs'!$I$22))</f>
        <v>0</v>
      </c>
      <c r="CR7" s="430" t="n">
        <f aca="false">IF('APA Inputs'!$C$22="",0,(IF(AND(CR$4&gt;='APA Inputs'!$C$22,CR$4&lt;EDATE('APA Inputs'!$C$22,N('APA Inputs'!$D$22))),'APA Inputs'!$J$22,0)+IF(N('APA Inputs'!$H$22)&gt;0,IF(CR$4=EDATE('APA Inputs'!$C$22,'APA Inputs'!$H$22-1),N('APA Inputs'!$G$22),0),0))*IF('APA Inputs'!$I$22="",1,'APA Inputs'!$I$22))</f>
        <v>0</v>
      </c>
      <c r="CS7" s="430" t="n">
        <f aca="false">IF('APA Inputs'!$C$22="",0,(IF(AND(CS$4&gt;='APA Inputs'!$C$22,CS$4&lt;EDATE('APA Inputs'!$C$22,N('APA Inputs'!$D$22))),'APA Inputs'!$J$22,0)+IF(N('APA Inputs'!$H$22)&gt;0,IF(CS$4=EDATE('APA Inputs'!$C$22,'APA Inputs'!$H$22-1),N('APA Inputs'!$G$22),0),0))*IF('APA Inputs'!$I$22="",1,'APA Inputs'!$I$22))</f>
        <v>0</v>
      </c>
      <c r="CT7" s="430" t="n">
        <f aca="false">IF('APA Inputs'!$C$22="",0,(IF(AND(CT$4&gt;='APA Inputs'!$C$22,CT$4&lt;EDATE('APA Inputs'!$C$22,N('APA Inputs'!$D$22))),'APA Inputs'!$J$22,0)+IF(N('APA Inputs'!$H$22)&gt;0,IF(CT$4=EDATE('APA Inputs'!$C$22,'APA Inputs'!$H$22-1),N('APA Inputs'!$G$22),0),0))*IF('APA Inputs'!$I$22="",1,'APA Inputs'!$I$22))</f>
        <v>0</v>
      </c>
      <c r="CU7" s="430" t="n">
        <f aca="false">IF('APA Inputs'!$C$22="",0,(IF(AND(CU$4&gt;='APA Inputs'!$C$22,CU$4&lt;EDATE('APA Inputs'!$C$22,N('APA Inputs'!$D$22))),'APA Inputs'!$J$22,0)+IF(N('APA Inputs'!$H$22)&gt;0,IF(CU$4=EDATE('APA Inputs'!$C$22,'APA Inputs'!$H$22-1),N('APA Inputs'!$G$22),0),0))*IF('APA Inputs'!$I$22="",1,'APA Inputs'!$I$22))</f>
        <v>0</v>
      </c>
      <c r="CV7" s="430" t="n">
        <f aca="false">IF('APA Inputs'!$C$22="",0,(IF(AND(CV$4&gt;='APA Inputs'!$C$22,CV$4&lt;EDATE('APA Inputs'!$C$22,N('APA Inputs'!$D$22))),'APA Inputs'!$J$22,0)+IF(N('APA Inputs'!$H$22)&gt;0,IF(CV$4=EDATE('APA Inputs'!$C$22,'APA Inputs'!$H$22-1),N('APA Inputs'!$G$22),0),0))*IF('APA Inputs'!$I$22="",1,'APA Inputs'!$I$22))</f>
        <v>0</v>
      </c>
      <c r="CW7" s="430" t="n">
        <f aca="false">IF('APA Inputs'!$C$22="",0,(IF(AND(CW$4&gt;='APA Inputs'!$C$22,CW$4&lt;EDATE('APA Inputs'!$C$22,N('APA Inputs'!$D$22))),'APA Inputs'!$J$22,0)+IF(N('APA Inputs'!$H$22)&gt;0,IF(CW$4=EDATE('APA Inputs'!$C$22,'APA Inputs'!$H$22-1),N('APA Inputs'!$G$22),0),0))*IF('APA Inputs'!$I$22="",1,'APA Inputs'!$I$22))</f>
        <v>0</v>
      </c>
      <c r="CX7" s="430" t="n">
        <f aca="false">IF('APA Inputs'!$C$22="",0,(IF(AND(CX$4&gt;='APA Inputs'!$C$22,CX$4&lt;EDATE('APA Inputs'!$C$22,N('APA Inputs'!$D$22))),'APA Inputs'!$J$22,0)+IF(N('APA Inputs'!$H$22)&gt;0,IF(CX$4=EDATE('APA Inputs'!$C$22,'APA Inputs'!$H$22-1),N('APA Inputs'!$G$22),0),0))*IF('APA Inputs'!$I$22="",1,'APA Inputs'!$I$22))</f>
        <v>0</v>
      </c>
      <c r="CY7" s="430" t="n">
        <f aca="false">IF('APA Inputs'!$C$22="",0,(IF(AND(CY$4&gt;='APA Inputs'!$C$22,CY$4&lt;EDATE('APA Inputs'!$C$22,N('APA Inputs'!$D$22))),'APA Inputs'!$J$22,0)+IF(N('APA Inputs'!$H$22)&gt;0,IF(CY$4=EDATE('APA Inputs'!$C$22,'APA Inputs'!$H$22-1),N('APA Inputs'!$G$22),0),0))*IF('APA Inputs'!$I$22="",1,'APA Inputs'!$I$22))</f>
        <v>0</v>
      </c>
      <c r="CZ7" s="430" t="n">
        <f aca="false">IF('APA Inputs'!$C$22="",0,(IF(AND(CZ$4&gt;='APA Inputs'!$C$22,CZ$4&lt;EDATE('APA Inputs'!$C$22,N('APA Inputs'!$D$22))),'APA Inputs'!$J$22,0)+IF(N('APA Inputs'!$H$22)&gt;0,IF(CZ$4=EDATE('APA Inputs'!$C$22,'APA Inputs'!$H$22-1),N('APA Inputs'!$G$22),0),0))*IF('APA Inputs'!$I$22="",1,'APA Inputs'!$I$22))</f>
        <v>0</v>
      </c>
      <c r="DA7" s="430" t="n">
        <f aca="false">IF('APA Inputs'!$C$22="",0,(IF(AND(DA$4&gt;='APA Inputs'!$C$22,DA$4&lt;EDATE('APA Inputs'!$C$22,N('APA Inputs'!$D$22))),'APA Inputs'!$J$22,0)+IF(N('APA Inputs'!$H$22)&gt;0,IF(DA$4=EDATE('APA Inputs'!$C$22,'APA Inputs'!$H$22-1),N('APA Inputs'!$G$22),0),0))*IF('APA Inputs'!$I$22="",1,'APA Inputs'!$I$22))</f>
        <v>0</v>
      </c>
      <c r="DB7" s="430" t="n">
        <f aca="false">IF('APA Inputs'!$C$22="",0,(IF(AND(DB$4&gt;='APA Inputs'!$C$22,DB$4&lt;EDATE('APA Inputs'!$C$22,N('APA Inputs'!$D$22))),'APA Inputs'!$J$22,0)+IF(N('APA Inputs'!$H$22)&gt;0,IF(DB$4=EDATE('APA Inputs'!$C$22,'APA Inputs'!$H$22-1),N('APA Inputs'!$G$22),0),0))*IF('APA Inputs'!$I$22="",1,'APA Inputs'!$I$22))</f>
        <v>0</v>
      </c>
      <c r="DC7" s="430" t="n">
        <f aca="false">IF('APA Inputs'!$C$22="",0,(IF(AND(DC$4&gt;='APA Inputs'!$C$22,DC$4&lt;EDATE('APA Inputs'!$C$22,N('APA Inputs'!$D$22))),'APA Inputs'!$J$22,0)+IF(N('APA Inputs'!$H$22)&gt;0,IF(DC$4=EDATE('APA Inputs'!$C$22,'APA Inputs'!$H$22-1),N('APA Inputs'!$G$22),0),0))*IF('APA Inputs'!$I$22="",1,'APA Inputs'!$I$22))</f>
        <v>0</v>
      </c>
      <c r="DD7" s="430" t="n">
        <f aca="false">IF('APA Inputs'!$C$22="",0,(IF(AND(DD$4&gt;='APA Inputs'!$C$22,DD$4&lt;EDATE('APA Inputs'!$C$22,N('APA Inputs'!$D$22))),'APA Inputs'!$J$22,0)+IF(N('APA Inputs'!$H$22)&gt;0,IF(DD$4=EDATE('APA Inputs'!$C$22,'APA Inputs'!$H$22-1),N('APA Inputs'!$G$22),0),0))*IF('APA Inputs'!$I$22="",1,'APA Inputs'!$I$22))</f>
        <v>0</v>
      </c>
      <c r="DE7" s="430"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30" t="n">
        <f aca="false">IF('APA Inputs'!$C$23="",0,(IF(AND(B$4&gt;='APA Inputs'!$C$23,B$4&lt;EDATE('APA Inputs'!$C$23,N('APA Inputs'!$D$23))),'APA Inputs'!$J$23,0)+IF(N('APA Inputs'!$H$23)&gt;0,IF(B$4=EDATE('APA Inputs'!$C$23,'APA Inputs'!$H$23-1),N('APA Inputs'!$G$23),0),0))*IF('APA Inputs'!$I$23="",1,'APA Inputs'!$I$23))</f>
        <v>0</v>
      </c>
      <c r="C8" s="430" t="n">
        <f aca="false">IF('APA Inputs'!$C$23="",0,(IF(AND(C$4&gt;='APA Inputs'!$C$23,C$4&lt;EDATE('APA Inputs'!$C$23,N('APA Inputs'!$D$23))),'APA Inputs'!$J$23,0)+IF(N('APA Inputs'!$H$23)&gt;0,IF(C$4=EDATE('APA Inputs'!$C$23,'APA Inputs'!$H$23-1),N('APA Inputs'!$G$23),0),0))*IF('APA Inputs'!$I$23="",1,'APA Inputs'!$I$23))</f>
        <v>0</v>
      </c>
      <c r="D8" s="430" t="n">
        <f aca="false">IF('APA Inputs'!$C$23="",0,(IF(AND(D$4&gt;='APA Inputs'!$C$23,D$4&lt;EDATE('APA Inputs'!$C$23,N('APA Inputs'!$D$23))),'APA Inputs'!$J$23,0)+IF(N('APA Inputs'!$H$23)&gt;0,IF(D$4=EDATE('APA Inputs'!$C$23,'APA Inputs'!$H$23-1),N('APA Inputs'!$G$23),0),0))*IF('APA Inputs'!$I$23="",1,'APA Inputs'!$I$23))</f>
        <v>0</v>
      </c>
      <c r="E8" s="430" t="n">
        <f aca="false">IF('APA Inputs'!$C$23="",0,(IF(AND(E$4&gt;='APA Inputs'!$C$23,E$4&lt;EDATE('APA Inputs'!$C$23,N('APA Inputs'!$D$23))),'APA Inputs'!$J$23,0)+IF(N('APA Inputs'!$H$23)&gt;0,IF(E$4=EDATE('APA Inputs'!$C$23,'APA Inputs'!$H$23-1),N('APA Inputs'!$G$23),0),0))*IF('APA Inputs'!$I$23="",1,'APA Inputs'!$I$23))</f>
        <v>0</v>
      </c>
      <c r="F8" s="430" t="n">
        <f aca="false">IF('APA Inputs'!$C$23="",0,(IF(AND(F$4&gt;='APA Inputs'!$C$23,F$4&lt;EDATE('APA Inputs'!$C$23,N('APA Inputs'!$D$23))),'APA Inputs'!$J$23,0)+IF(N('APA Inputs'!$H$23)&gt;0,IF(F$4=EDATE('APA Inputs'!$C$23,'APA Inputs'!$H$23-1),N('APA Inputs'!$G$23),0),0))*IF('APA Inputs'!$I$23="",1,'APA Inputs'!$I$23))</f>
        <v>0</v>
      </c>
      <c r="G8" s="430" t="n">
        <f aca="false">IF('APA Inputs'!$C$23="",0,(IF(AND(G$4&gt;='APA Inputs'!$C$23,G$4&lt;EDATE('APA Inputs'!$C$23,N('APA Inputs'!$D$23))),'APA Inputs'!$J$23,0)+IF(N('APA Inputs'!$H$23)&gt;0,IF(G$4=EDATE('APA Inputs'!$C$23,'APA Inputs'!$H$23-1),N('APA Inputs'!$G$23),0),0))*IF('APA Inputs'!$I$23="",1,'APA Inputs'!$I$23))</f>
        <v>0</v>
      </c>
      <c r="H8" s="430" t="n">
        <f aca="false">IF('APA Inputs'!$C$23="",0,(IF(AND(H$4&gt;='APA Inputs'!$C$23,H$4&lt;EDATE('APA Inputs'!$C$23,N('APA Inputs'!$D$23))),'APA Inputs'!$J$23,0)+IF(N('APA Inputs'!$H$23)&gt;0,IF(H$4=EDATE('APA Inputs'!$C$23,'APA Inputs'!$H$23-1),N('APA Inputs'!$G$23),0),0))*IF('APA Inputs'!$I$23="",1,'APA Inputs'!$I$23))</f>
        <v>0</v>
      </c>
      <c r="I8" s="430" t="n">
        <f aca="false">IF('APA Inputs'!$C$23="",0,(IF(AND(I$4&gt;='APA Inputs'!$C$23,I$4&lt;EDATE('APA Inputs'!$C$23,N('APA Inputs'!$D$23))),'APA Inputs'!$J$23,0)+IF(N('APA Inputs'!$H$23)&gt;0,IF(I$4=EDATE('APA Inputs'!$C$23,'APA Inputs'!$H$23-1),N('APA Inputs'!$G$23),0),0))*IF('APA Inputs'!$I$23="",1,'APA Inputs'!$I$23))</f>
        <v>4166.66</v>
      </c>
      <c r="J8" s="430" t="n">
        <f aca="false">IF('APA Inputs'!$C$23="",0,(IF(AND(J$4&gt;='APA Inputs'!$C$23,J$4&lt;EDATE('APA Inputs'!$C$23,N('APA Inputs'!$D$23))),'APA Inputs'!$J$23,0)+IF(N('APA Inputs'!$H$23)&gt;0,IF(J$4=EDATE('APA Inputs'!$C$23,'APA Inputs'!$H$23-1),N('APA Inputs'!$G$23),0),0))*IF('APA Inputs'!$I$23="",1,'APA Inputs'!$I$23))</f>
        <v>4166.66</v>
      </c>
      <c r="K8" s="430" t="n">
        <f aca="false">IF('APA Inputs'!$C$23="",0,(IF(AND(K$4&gt;='APA Inputs'!$C$23,K$4&lt;EDATE('APA Inputs'!$C$23,N('APA Inputs'!$D$23))),'APA Inputs'!$J$23,0)+IF(N('APA Inputs'!$H$23)&gt;0,IF(K$4=EDATE('APA Inputs'!$C$23,'APA Inputs'!$H$23-1),N('APA Inputs'!$G$23),0),0))*IF('APA Inputs'!$I$23="",1,'APA Inputs'!$I$23))</f>
        <v>4166.66</v>
      </c>
      <c r="L8" s="430" t="n">
        <f aca="false">IF('APA Inputs'!$C$23="",0,(IF(AND(L$4&gt;='APA Inputs'!$C$23,L$4&lt;EDATE('APA Inputs'!$C$23,N('APA Inputs'!$D$23))),'APA Inputs'!$J$23,0)+IF(N('APA Inputs'!$H$23)&gt;0,IF(L$4=EDATE('APA Inputs'!$C$23,'APA Inputs'!$H$23-1),N('APA Inputs'!$G$23),0),0))*IF('APA Inputs'!$I$23="",1,'APA Inputs'!$I$23))</f>
        <v>4166.66</v>
      </c>
      <c r="M8" s="430" t="n">
        <f aca="false">IF('APA Inputs'!$C$23="",0,(IF(AND(M$4&gt;='APA Inputs'!$C$23,M$4&lt;EDATE('APA Inputs'!$C$23,N('APA Inputs'!$D$23))),'APA Inputs'!$J$23,0)+IF(N('APA Inputs'!$H$23)&gt;0,IF(M$4=EDATE('APA Inputs'!$C$23,'APA Inputs'!$H$23-1),N('APA Inputs'!$G$23),0),0))*IF('APA Inputs'!$I$23="",1,'APA Inputs'!$I$23))</f>
        <v>4166.66</v>
      </c>
      <c r="N8" s="430" t="n">
        <f aca="false">IF('APA Inputs'!$C$23="",0,(IF(AND(N$4&gt;='APA Inputs'!$C$23,N$4&lt;EDATE('APA Inputs'!$C$23,N('APA Inputs'!$D$23))),'APA Inputs'!$J$23,0)+IF(N('APA Inputs'!$H$23)&gt;0,IF(N$4=EDATE('APA Inputs'!$C$23,'APA Inputs'!$H$23-1),N('APA Inputs'!$G$23),0),0))*IF('APA Inputs'!$I$23="",1,'APA Inputs'!$I$23))</f>
        <v>4166.66</v>
      </c>
      <c r="O8" s="430" t="n">
        <f aca="false">IF('APA Inputs'!$C$23="",0,(IF(AND(O$4&gt;='APA Inputs'!$C$23,O$4&lt;EDATE('APA Inputs'!$C$23,N('APA Inputs'!$D$23))),'APA Inputs'!$J$23,0)+IF(N('APA Inputs'!$H$23)&gt;0,IF(O$4=EDATE('APA Inputs'!$C$23,'APA Inputs'!$H$23-1),N('APA Inputs'!$G$23),0),0))*IF('APA Inputs'!$I$23="",1,'APA Inputs'!$I$23))</f>
        <v>4166.66</v>
      </c>
      <c r="P8" s="430" t="n">
        <f aca="false">IF('APA Inputs'!$C$23="",0,(IF(AND(P$4&gt;='APA Inputs'!$C$23,P$4&lt;EDATE('APA Inputs'!$C$23,N('APA Inputs'!$D$23))),'APA Inputs'!$J$23,0)+IF(N('APA Inputs'!$H$23)&gt;0,IF(P$4=EDATE('APA Inputs'!$C$23,'APA Inputs'!$H$23-1),N('APA Inputs'!$G$23),0),0))*IF('APA Inputs'!$I$23="",1,'APA Inputs'!$I$23))</f>
        <v>4166.66</v>
      </c>
      <c r="Q8" s="430" t="n">
        <f aca="false">IF('APA Inputs'!$C$23="",0,(IF(AND(Q$4&gt;='APA Inputs'!$C$23,Q$4&lt;EDATE('APA Inputs'!$C$23,N('APA Inputs'!$D$23))),'APA Inputs'!$J$23,0)+IF(N('APA Inputs'!$H$23)&gt;0,IF(Q$4=EDATE('APA Inputs'!$C$23,'APA Inputs'!$H$23-1),N('APA Inputs'!$G$23),0),0))*IF('APA Inputs'!$I$23="",1,'APA Inputs'!$I$23))</f>
        <v>4166.66</v>
      </c>
      <c r="R8" s="430" t="n">
        <f aca="false">IF('APA Inputs'!$C$23="",0,(IF(AND(R$4&gt;='APA Inputs'!$C$23,R$4&lt;EDATE('APA Inputs'!$C$23,N('APA Inputs'!$D$23))),'APA Inputs'!$J$23,0)+IF(N('APA Inputs'!$H$23)&gt;0,IF(R$4=EDATE('APA Inputs'!$C$23,'APA Inputs'!$H$23-1),N('APA Inputs'!$G$23),0),0))*IF('APA Inputs'!$I$23="",1,'APA Inputs'!$I$23))</f>
        <v>4166.66</v>
      </c>
      <c r="S8" s="430" t="n">
        <f aca="false">IF('APA Inputs'!$C$23="",0,(IF(AND(S$4&gt;='APA Inputs'!$C$23,S$4&lt;EDATE('APA Inputs'!$C$23,N('APA Inputs'!$D$23))),'APA Inputs'!$J$23,0)+IF(N('APA Inputs'!$H$23)&gt;0,IF(S$4=EDATE('APA Inputs'!$C$23,'APA Inputs'!$H$23-1),N('APA Inputs'!$G$23),0),0))*IF('APA Inputs'!$I$23="",1,'APA Inputs'!$I$23))</f>
        <v>4166.66</v>
      </c>
      <c r="T8" s="430" t="n">
        <f aca="false">IF('APA Inputs'!$C$23="",0,(IF(AND(T$4&gt;='APA Inputs'!$C$23,T$4&lt;EDATE('APA Inputs'!$C$23,N('APA Inputs'!$D$23))),'APA Inputs'!$J$23,0)+IF(N('APA Inputs'!$H$23)&gt;0,IF(T$4=EDATE('APA Inputs'!$C$23,'APA Inputs'!$H$23-1),N('APA Inputs'!$G$23),0),0))*IF('APA Inputs'!$I$23="",1,'APA Inputs'!$I$23))</f>
        <v>29891.66</v>
      </c>
      <c r="U8" s="430" t="n">
        <f aca="false">IF('APA Inputs'!$C$23="",0,(IF(AND(U$4&gt;='APA Inputs'!$C$23,U$4&lt;EDATE('APA Inputs'!$C$23,N('APA Inputs'!$D$23))),'APA Inputs'!$J$23,0)+IF(N('APA Inputs'!$H$23)&gt;0,IF(U$4=EDATE('APA Inputs'!$C$23,'APA Inputs'!$H$23-1),N('APA Inputs'!$G$23),0),0))*IF('APA Inputs'!$I$23="",1,'APA Inputs'!$I$23))</f>
        <v>4166.66</v>
      </c>
      <c r="V8" s="430" t="n">
        <f aca="false">IF('APA Inputs'!$C$23="",0,(IF(AND(V$4&gt;='APA Inputs'!$C$23,V$4&lt;EDATE('APA Inputs'!$C$23,N('APA Inputs'!$D$23))),'APA Inputs'!$J$23,0)+IF(N('APA Inputs'!$H$23)&gt;0,IF(V$4=EDATE('APA Inputs'!$C$23,'APA Inputs'!$H$23-1),N('APA Inputs'!$G$23),0),0))*IF('APA Inputs'!$I$23="",1,'APA Inputs'!$I$23))</f>
        <v>4166.66</v>
      </c>
      <c r="W8" s="430" t="n">
        <f aca="false">IF('APA Inputs'!$C$23="",0,(IF(AND(W$4&gt;='APA Inputs'!$C$23,W$4&lt;EDATE('APA Inputs'!$C$23,N('APA Inputs'!$D$23))),'APA Inputs'!$J$23,0)+IF(N('APA Inputs'!$H$23)&gt;0,IF(W$4=EDATE('APA Inputs'!$C$23,'APA Inputs'!$H$23-1),N('APA Inputs'!$G$23),0),0))*IF('APA Inputs'!$I$23="",1,'APA Inputs'!$I$23))</f>
        <v>4166.66</v>
      </c>
      <c r="X8" s="430" t="n">
        <f aca="false">IF('APA Inputs'!$C$23="",0,(IF(AND(X$4&gt;='APA Inputs'!$C$23,X$4&lt;EDATE('APA Inputs'!$C$23,N('APA Inputs'!$D$23))),'APA Inputs'!$J$23,0)+IF(N('APA Inputs'!$H$23)&gt;0,IF(X$4=EDATE('APA Inputs'!$C$23,'APA Inputs'!$H$23-1),N('APA Inputs'!$G$23),0),0))*IF('APA Inputs'!$I$23="",1,'APA Inputs'!$I$23))</f>
        <v>4166.66</v>
      </c>
      <c r="Y8" s="430" t="n">
        <f aca="false">IF('APA Inputs'!$C$23="",0,(IF(AND(Y$4&gt;='APA Inputs'!$C$23,Y$4&lt;EDATE('APA Inputs'!$C$23,N('APA Inputs'!$D$23))),'APA Inputs'!$J$23,0)+IF(N('APA Inputs'!$H$23)&gt;0,IF(Y$4=EDATE('APA Inputs'!$C$23,'APA Inputs'!$H$23-1),N('APA Inputs'!$G$23),0),0))*IF('APA Inputs'!$I$23="",1,'APA Inputs'!$I$23))</f>
        <v>4166.66</v>
      </c>
      <c r="Z8" s="430" t="n">
        <f aca="false">IF('APA Inputs'!$C$23="",0,(IF(AND(Z$4&gt;='APA Inputs'!$C$23,Z$4&lt;EDATE('APA Inputs'!$C$23,N('APA Inputs'!$D$23))),'APA Inputs'!$J$23,0)+IF(N('APA Inputs'!$H$23)&gt;0,IF(Z$4=EDATE('APA Inputs'!$C$23,'APA Inputs'!$H$23-1),N('APA Inputs'!$G$23),0),0))*IF('APA Inputs'!$I$23="",1,'APA Inputs'!$I$23))</f>
        <v>4166.66</v>
      </c>
      <c r="AA8" s="430" t="n">
        <f aca="false">IF('APA Inputs'!$C$23="",0,(IF(AND(AA$4&gt;='APA Inputs'!$C$23,AA$4&lt;EDATE('APA Inputs'!$C$23,N('APA Inputs'!$D$23))),'APA Inputs'!$J$23,0)+IF(N('APA Inputs'!$H$23)&gt;0,IF(AA$4=EDATE('APA Inputs'!$C$23,'APA Inputs'!$H$23-1),N('APA Inputs'!$G$23),0),0))*IF('APA Inputs'!$I$23="",1,'APA Inputs'!$I$23))</f>
        <v>4166.66</v>
      </c>
      <c r="AB8" s="430" t="n">
        <f aca="false">IF('APA Inputs'!$C$23="",0,(IF(AND(AB$4&gt;='APA Inputs'!$C$23,AB$4&lt;EDATE('APA Inputs'!$C$23,N('APA Inputs'!$D$23))),'APA Inputs'!$J$23,0)+IF(N('APA Inputs'!$H$23)&gt;0,IF(AB$4=EDATE('APA Inputs'!$C$23,'APA Inputs'!$H$23-1),N('APA Inputs'!$G$23),0),0))*IF('APA Inputs'!$I$23="",1,'APA Inputs'!$I$23))</f>
        <v>4166.66</v>
      </c>
      <c r="AC8" s="430" t="n">
        <f aca="false">IF('APA Inputs'!$C$23="",0,(IF(AND(AC$4&gt;='APA Inputs'!$C$23,AC$4&lt;EDATE('APA Inputs'!$C$23,N('APA Inputs'!$D$23))),'APA Inputs'!$J$23,0)+IF(N('APA Inputs'!$H$23)&gt;0,IF(AC$4=EDATE('APA Inputs'!$C$23,'APA Inputs'!$H$23-1),N('APA Inputs'!$G$23),0),0))*IF('APA Inputs'!$I$23="",1,'APA Inputs'!$I$23))</f>
        <v>4166.66</v>
      </c>
      <c r="AD8" s="430" t="n">
        <f aca="false">IF('APA Inputs'!$C$23="",0,(IF(AND(AD$4&gt;='APA Inputs'!$C$23,AD$4&lt;EDATE('APA Inputs'!$C$23,N('APA Inputs'!$D$23))),'APA Inputs'!$J$23,0)+IF(N('APA Inputs'!$H$23)&gt;0,IF(AD$4=EDATE('APA Inputs'!$C$23,'APA Inputs'!$H$23-1),N('APA Inputs'!$G$23),0),0))*IF('APA Inputs'!$I$23="",1,'APA Inputs'!$I$23))</f>
        <v>4166.66</v>
      </c>
      <c r="AE8" s="430" t="n">
        <f aca="false">IF('APA Inputs'!$C$23="",0,(IF(AND(AE$4&gt;='APA Inputs'!$C$23,AE$4&lt;EDATE('APA Inputs'!$C$23,N('APA Inputs'!$D$23))),'APA Inputs'!$J$23,0)+IF(N('APA Inputs'!$H$23)&gt;0,IF(AE$4=EDATE('APA Inputs'!$C$23,'APA Inputs'!$H$23-1),N('APA Inputs'!$G$23),0),0))*IF('APA Inputs'!$I$23="",1,'APA Inputs'!$I$23))</f>
        <v>4166.66</v>
      </c>
      <c r="AF8" s="430" t="n">
        <f aca="false">IF('APA Inputs'!$C$23="",0,(IF(AND(AF$4&gt;='APA Inputs'!$C$23,AF$4&lt;EDATE('APA Inputs'!$C$23,N('APA Inputs'!$D$23))),'APA Inputs'!$J$23,0)+IF(N('APA Inputs'!$H$23)&gt;0,IF(AF$4=EDATE('APA Inputs'!$C$23,'APA Inputs'!$H$23-1),N('APA Inputs'!$G$23),0),0))*IF('APA Inputs'!$I$23="",1,'APA Inputs'!$I$23))</f>
        <v>4166.66</v>
      </c>
      <c r="AG8" s="430" t="n">
        <f aca="false">IF('APA Inputs'!$C$23="",0,(IF(AND(AG$4&gt;='APA Inputs'!$C$23,AG$4&lt;EDATE('APA Inputs'!$C$23,N('APA Inputs'!$D$23))),'APA Inputs'!$J$23,0)+IF(N('APA Inputs'!$H$23)&gt;0,IF(AG$4=EDATE('APA Inputs'!$C$23,'APA Inputs'!$H$23-1),N('APA Inputs'!$G$23),0),0))*IF('APA Inputs'!$I$23="",1,'APA Inputs'!$I$23))</f>
        <v>0</v>
      </c>
      <c r="AH8" s="430" t="n">
        <f aca="false">IF('APA Inputs'!$C$23="",0,(IF(AND(AH$4&gt;='APA Inputs'!$C$23,AH$4&lt;EDATE('APA Inputs'!$C$23,N('APA Inputs'!$D$23))),'APA Inputs'!$J$23,0)+IF(N('APA Inputs'!$H$23)&gt;0,IF(AH$4=EDATE('APA Inputs'!$C$23,'APA Inputs'!$H$23-1),N('APA Inputs'!$G$23),0),0))*IF('APA Inputs'!$I$23="",1,'APA Inputs'!$I$23))</f>
        <v>0</v>
      </c>
      <c r="AI8" s="430" t="n">
        <f aca="false">IF('APA Inputs'!$C$23="",0,(IF(AND(AI$4&gt;='APA Inputs'!$C$23,AI$4&lt;EDATE('APA Inputs'!$C$23,N('APA Inputs'!$D$23))),'APA Inputs'!$J$23,0)+IF(N('APA Inputs'!$H$23)&gt;0,IF(AI$4=EDATE('APA Inputs'!$C$23,'APA Inputs'!$H$23-1),N('APA Inputs'!$G$23),0),0))*IF('APA Inputs'!$I$23="",1,'APA Inputs'!$I$23))</f>
        <v>0</v>
      </c>
      <c r="AJ8" s="430" t="n">
        <f aca="false">IF('APA Inputs'!$C$23="",0,(IF(AND(AJ$4&gt;='APA Inputs'!$C$23,AJ$4&lt;EDATE('APA Inputs'!$C$23,N('APA Inputs'!$D$23))),'APA Inputs'!$J$23,0)+IF(N('APA Inputs'!$H$23)&gt;0,IF(AJ$4=EDATE('APA Inputs'!$C$23,'APA Inputs'!$H$23-1),N('APA Inputs'!$G$23),0),0))*IF('APA Inputs'!$I$23="",1,'APA Inputs'!$I$23))</f>
        <v>0</v>
      </c>
      <c r="AK8" s="430" t="n">
        <f aca="false">IF('APA Inputs'!$C$23="",0,(IF(AND(AK$4&gt;='APA Inputs'!$C$23,AK$4&lt;EDATE('APA Inputs'!$C$23,N('APA Inputs'!$D$23))),'APA Inputs'!$J$23,0)+IF(N('APA Inputs'!$H$23)&gt;0,IF(AK$4=EDATE('APA Inputs'!$C$23,'APA Inputs'!$H$23-1),N('APA Inputs'!$G$23),0),0))*IF('APA Inputs'!$I$23="",1,'APA Inputs'!$I$23))</f>
        <v>0</v>
      </c>
      <c r="AL8" s="430" t="n">
        <f aca="false">IF('APA Inputs'!$C$23="",0,(IF(AND(AL$4&gt;='APA Inputs'!$C$23,AL$4&lt;EDATE('APA Inputs'!$C$23,N('APA Inputs'!$D$23))),'APA Inputs'!$J$23,0)+IF(N('APA Inputs'!$H$23)&gt;0,IF(AL$4=EDATE('APA Inputs'!$C$23,'APA Inputs'!$H$23-1),N('APA Inputs'!$G$23),0),0))*IF('APA Inputs'!$I$23="",1,'APA Inputs'!$I$23))</f>
        <v>0</v>
      </c>
      <c r="AM8" s="430" t="n">
        <f aca="false">IF('APA Inputs'!$C$23="",0,(IF(AND(AM$4&gt;='APA Inputs'!$C$23,AM$4&lt;EDATE('APA Inputs'!$C$23,N('APA Inputs'!$D$23))),'APA Inputs'!$J$23,0)+IF(N('APA Inputs'!$H$23)&gt;0,IF(AM$4=EDATE('APA Inputs'!$C$23,'APA Inputs'!$H$23-1),N('APA Inputs'!$G$23),0),0))*IF('APA Inputs'!$I$23="",1,'APA Inputs'!$I$23))</f>
        <v>0</v>
      </c>
      <c r="AN8" s="430" t="n">
        <f aca="false">IF('APA Inputs'!$C$23="",0,(IF(AND(AN$4&gt;='APA Inputs'!$C$23,AN$4&lt;EDATE('APA Inputs'!$C$23,N('APA Inputs'!$D$23))),'APA Inputs'!$J$23,0)+IF(N('APA Inputs'!$H$23)&gt;0,IF(AN$4=EDATE('APA Inputs'!$C$23,'APA Inputs'!$H$23-1),N('APA Inputs'!$G$23),0),0))*IF('APA Inputs'!$I$23="",1,'APA Inputs'!$I$23))</f>
        <v>0</v>
      </c>
      <c r="AO8" s="430" t="n">
        <f aca="false">IF('APA Inputs'!$C$23="",0,(IF(AND(AO$4&gt;='APA Inputs'!$C$23,AO$4&lt;EDATE('APA Inputs'!$C$23,N('APA Inputs'!$D$23))),'APA Inputs'!$J$23,0)+IF(N('APA Inputs'!$H$23)&gt;0,IF(AO$4=EDATE('APA Inputs'!$C$23,'APA Inputs'!$H$23-1),N('APA Inputs'!$G$23),0),0))*IF('APA Inputs'!$I$23="",1,'APA Inputs'!$I$23))</f>
        <v>0</v>
      </c>
      <c r="AP8" s="430" t="n">
        <f aca="false">IF('APA Inputs'!$C$23="",0,(IF(AND(AP$4&gt;='APA Inputs'!$C$23,AP$4&lt;EDATE('APA Inputs'!$C$23,N('APA Inputs'!$D$23))),'APA Inputs'!$J$23,0)+IF(N('APA Inputs'!$H$23)&gt;0,IF(AP$4=EDATE('APA Inputs'!$C$23,'APA Inputs'!$H$23-1),N('APA Inputs'!$G$23),0),0))*IF('APA Inputs'!$I$23="",1,'APA Inputs'!$I$23))</f>
        <v>0</v>
      </c>
      <c r="AQ8" s="430" t="n">
        <f aca="false">IF('APA Inputs'!$C$23="",0,(IF(AND(AQ$4&gt;='APA Inputs'!$C$23,AQ$4&lt;EDATE('APA Inputs'!$C$23,N('APA Inputs'!$D$23))),'APA Inputs'!$J$23,0)+IF(N('APA Inputs'!$H$23)&gt;0,IF(AQ$4=EDATE('APA Inputs'!$C$23,'APA Inputs'!$H$23-1),N('APA Inputs'!$G$23),0),0))*IF('APA Inputs'!$I$23="",1,'APA Inputs'!$I$23))</f>
        <v>0</v>
      </c>
      <c r="AR8" s="430" t="n">
        <f aca="false">IF('APA Inputs'!$C$23="",0,(IF(AND(AR$4&gt;='APA Inputs'!$C$23,AR$4&lt;EDATE('APA Inputs'!$C$23,N('APA Inputs'!$D$23))),'APA Inputs'!$J$23,0)+IF(N('APA Inputs'!$H$23)&gt;0,IF(AR$4=EDATE('APA Inputs'!$C$23,'APA Inputs'!$H$23-1),N('APA Inputs'!$G$23),0),0))*IF('APA Inputs'!$I$23="",1,'APA Inputs'!$I$23))</f>
        <v>0</v>
      </c>
      <c r="AS8" s="430" t="n">
        <f aca="false">IF('APA Inputs'!$C$23="",0,(IF(AND(AS$4&gt;='APA Inputs'!$C$23,AS$4&lt;EDATE('APA Inputs'!$C$23,N('APA Inputs'!$D$23))),'APA Inputs'!$J$23,0)+IF(N('APA Inputs'!$H$23)&gt;0,IF(AS$4=EDATE('APA Inputs'!$C$23,'APA Inputs'!$H$23-1),N('APA Inputs'!$G$23),0),0))*IF('APA Inputs'!$I$23="",1,'APA Inputs'!$I$23))</f>
        <v>0</v>
      </c>
      <c r="AT8" s="430" t="n">
        <f aca="false">IF('APA Inputs'!$C$23="",0,(IF(AND(AT$4&gt;='APA Inputs'!$C$23,AT$4&lt;EDATE('APA Inputs'!$C$23,N('APA Inputs'!$D$23))),'APA Inputs'!$J$23,0)+IF(N('APA Inputs'!$H$23)&gt;0,IF(AT$4=EDATE('APA Inputs'!$C$23,'APA Inputs'!$H$23-1),N('APA Inputs'!$G$23),0),0))*IF('APA Inputs'!$I$23="",1,'APA Inputs'!$I$23))</f>
        <v>0</v>
      </c>
      <c r="AU8" s="430" t="n">
        <f aca="false">IF('APA Inputs'!$C$23="",0,(IF(AND(AU$4&gt;='APA Inputs'!$C$23,AU$4&lt;EDATE('APA Inputs'!$C$23,N('APA Inputs'!$D$23))),'APA Inputs'!$J$23,0)+IF(N('APA Inputs'!$H$23)&gt;0,IF(AU$4=EDATE('APA Inputs'!$C$23,'APA Inputs'!$H$23-1),N('APA Inputs'!$G$23),0),0))*IF('APA Inputs'!$I$23="",1,'APA Inputs'!$I$23))</f>
        <v>0</v>
      </c>
      <c r="AV8" s="430" t="n">
        <f aca="false">IF('APA Inputs'!$C$23="",0,(IF(AND(AV$4&gt;='APA Inputs'!$C$23,AV$4&lt;EDATE('APA Inputs'!$C$23,N('APA Inputs'!$D$23))),'APA Inputs'!$J$23,0)+IF(N('APA Inputs'!$H$23)&gt;0,IF(AV$4=EDATE('APA Inputs'!$C$23,'APA Inputs'!$H$23-1),N('APA Inputs'!$G$23),0),0))*IF('APA Inputs'!$I$23="",1,'APA Inputs'!$I$23))</f>
        <v>0</v>
      </c>
      <c r="AW8" s="430" t="n">
        <f aca="false">IF('APA Inputs'!$C$23="",0,(IF(AND(AW$4&gt;='APA Inputs'!$C$23,AW$4&lt;EDATE('APA Inputs'!$C$23,N('APA Inputs'!$D$23))),'APA Inputs'!$J$23,0)+IF(N('APA Inputs'!$H$23)&gt;0,IF(AW$4=EDATE('APA Inputs'!$C$23,'APA Inputs'!$H$23-1),N('APA Inputs'!$G$23),0),0))*IF('APA Inputs'!$I$23="",1,'APA Inputs'!$I$23))</f>
        <v>0</v>
      </c>
      <c r="AX8" s="430" t="n">
        <f aca="false">IF('APA Inputs'!$C$23="",0,(IF(AND(AX$4&gt;='APA Inputs'!$C$23,AX$4&lt;EDATE('APA Inputs'!$C$23,N('APA Inputs'!$D$23))),'APA Inputs'!$J$23,0)+IF(N('APA Inputs'!$H$23)&gt;0,IF(AX$4=EDATE('APA Inputs'!$C$23,'APA Inputs'!$H$23-1),N('APA Inputs'!$G$23),0),0))*IF('APA Inputs'!$I$23="",1,'APA Inputs'!$I$23))</f>
        <v>0</v>
      </c>
      <c r="AY8" s="430" t="n">
        <f aca="false">IF('APA Inputs'!$C$23="",0,(IF(AND(AY$4&gt;='APA Inputs'!$C$23,AY$4&lt;EDATE('APA Inputs'!$C$23,N('APA Inputs'!$D$23))),'APA Inputs'!$J$23,0)+IF(N('APA Inputs'!$H$23)&gt;0,IF(AY$4=EDATE('APA Inputs'!$C$23,'APA Inputs'!$H$23-1),N('APA Inputs'!$G$23),0),0))*IF('APA Inputs'!$I$23="",1,'APA Inputs'!$I$23))</f>
        <v>0</v>
      </c>
      <c r="AZ8" s="430" t="n">
        <f aca="false">IF('APA Inputs'!$C$23="",0,(IF(AND(AZ$4&gt;='APA Inputs'!$C$23,AZ$4&lt;EDATE('APA Inputs'!$C$23,N('APA Inputs'!$D$23))),'APA Inputs'!$J$23,0)+IF(N('APA Inputs'!$H$23)&gt;0,IF(AZ$4=EDATE('APA Inputs'!$C$23,'APA Inputs'!$H$23-1),N('APA Inputs'!$G$23),0),0))*IF('APA Inputs'!$I$23="",1,'APA Inputs'!$I$23))</f>
        <v>0</v>
      </c>
      <c r="BA8" s="430" t="n">
        <f aca="false">IF('APA Inputs'!$C$23="",0,(IF(AND(BA$4&gt;='APA Inputs'!$C$23,BA$4&lt;EDATE('APA Inputs'!$C$23,N('APA Inputs'!$D$23))),'APA Inputs'!$J$23,0)+IF(N('APA Inputs'!$H$23)&gt;0,IF(BA$4=EDATE('APA Inputs'!$C$23,'APA Inputs'!$H$23-1),N('APA Inputs'!$G$23),0),0))*IF('APA Inputs'!$I$23="",1,'APA Inputs'!$I$23))</f>
        <v>0</v>
      </c>
      <c r="BB8" s="430" t="n">
        <f aca="false">IF('APA Inputs'!$C$23="",0,(IF(AND(BB$4&gt;='APA Inputs'!$C$23,BB$4&lt;EDATE('APA Inputs'!$C$23,N('APA Inputs'!$D$23))),'APA Inputs'!$J$23,0)+IF(N('APA Inputs'!$H$23)&gt;0,IF(BB$4=EDATE('APA Inputs'!$C$23,'APA Inputs'!$H$23-1),N('APA Inputs'!$G$23),0),0))*IF('APA Inputs'!$I$23="",1,'APA Inputs'!$I$23))</f>
        <v>0</v>
      </c>
      <c r="BC8" s="430" t="n">
        <f aca="false">IF('APA Inputs'!$C$23="",0,(IF(AND(BC$4&gt;='APA Inputs'!$C$23,BC$4&lt;EDATE('APA Inputs'!$C$23,N('APA Inputs'!$D$23))),'APA Inputs'!$J$23,0)+IF(N('APA Inputs'!$H$23)&gt;0,IF(BC$4=EDATE('APA Inputs'!$C$23,'APA Inputs'!$H$23-1),N('APA Inputs'!$G$23),0),0))*IF('APA Inputs'!$I$23="",1,'APA Inputs'!$I$23))</f>
        <v>0</v>
      </c>
      <c r="BD8" s="430" t="n">
        <f aca="false">IF('APA Inputs'!$C$23="",0,(IF(AND(BD$4&gt;='APA Inputs'!$C$23,BD$4&lt;EDATE('APA Inputs'!$C$23,N('APA Inputs'!$D$23))),'APA Inputs'!$J$23,0)+IF(N('APA Inputs'!$H$23)&gt;0,IF(BD$4=EDATE('APA Inputs'!$C$23,'APA Inputs'!$H$23-1),N('APA Inputs'!$G$23),0),0))*IF('APA Inputs'!$I$23="",1,'APA Inputs'!$I$23))</f>
        <v>0</v>
      </c>
      <c r="BE8" s="430" t="n">
        <f aca="false">IF('APA Inputs'!$C$23="",0,(IF(AND(BE$4&gt;='APA Inputs'!$C$23,BE$4&lt;EDATE('APA Inputs'!$C$23,N('APA Inputs'!$D$23))),'APA Inputs'!$J$23,0)+IF(N('APA Inputs'!$H$23)&gt;0,IF(BE$4=EDATE('APA Inputs'!$C$23,'APA Inputs'!$H$23-1),N('APA Inputs'!$G$23),0),0))*IF('APA Inputs'!$I$23="",1,'APA Inputs'!$I$23))</f>
        <v>0</v>
      </c>
      <c r="BF8" s="430" t="n">
        <f aca="false">IF('APA Inputs'!$C$23="",0,(IF(AND(BF$4&gt;='APA Inputs'!$C$23,BF$4&lt;EDATE('APA Inputs'!$C$23,N('APA Inputs'!$D$23))),'APA Inputs'!$J$23,0)+IF(N('APA Inputs'!$H$23)&gt;0,IF(BF$4=EDATE('APA Inputs'!$C$23,'APA Inputs'!$H$23-1),N('APA Inputs'!$G$23),0),0))*IF('APA Inputs'!$I$23="",1,'APA Inputs'!$I$23))</f>
        <v>0</v>
      </c>
      <c r="BG8" s="430" t="n">
        <f aca="false">IF('APA Inputs'!$C$23="",0,(IF(AND(BG$4&gt;='APA Inputs'!$C$23,BG$4&lt;EDATE('APA Inputs'!$C$23,N('APA Inputs'!$D$23))),'APA Inputs'!$J$23,0)+IF(N('APA Inputs'!$H$23)&gt;0,IF(BG$4=EDATE('APA Inputs'!$C$23,'APA Inputs'!$H$23-1),N('APA Inputs'!$G$23),0),0))*IF('APA Inputs'!$I$23="",1,'APA Inputs'!$I$23))</f>
        <v>0</v>
      </c>
      <c r="BH8" s="430" t="n">
        <f aca="false">IF('APA Inputs'!$C$23="",0,(IF(AND(BH$4&gt;='APA Inputs'!$C$23,BH$4&lt;EDATE('APA Inputs'!$C$23,N('APA Inputs'!$D$23))),'APA Inputs'!$J$23,0)+IF(N('APA Inputs'!$H$23)&gt;0,IF(BH$4=EDATE('APA Inputs'!$C$23,'APA Inputs'!$H$23-1),N('APA Inputs'!$G$23),0),0))*IF('APA Inputs'!$I$23="",1,'APA Inputs'!$I$23))</f>
        <v>0</v>
      </c>
      <c r="BI8" s="430" t="n">
        <f aca="false">IF('APA Inputs'!$C$23="",0,(IF(AND(BI$4&gt;='APA Inputs'!$C$23,BI$4&lt;EDATE('APA Inputs'!$C$23,N('APA Inputs'!$D$23))),'APA Inputs'!$J$23,0)+IF(N('APA Inputs'!$H$23)&gt;0,IF(BI$4=EDATE('APA Inputs'!$C$23,'APA Inputs'!$H$23-1),N('APA Inputs'!$G$23),0),0))*IF('APA Inputs'!$I$23="",1,'APA Inputs'!$I$23))</f>
        <v>0</v>
      </c>
      <c r="BJ8" s="430" t="n">
        <f aca="false">IF('APA Inputs'!$C$23="",0,(IF(AND(BJ$4&gt;='APA Inputs'!$C$23,BJ$4&lt;EDATE('APA Inputs'!$C$23,N('APA Inputs'!$D$23))),'APA Inputs'!$J$23,0)+IF(N('APA Inputs'!$H$23)&gt;0,IF(BJ$4=EDATE('APA Inputs'!$C$23,'APA Inputs'!$H$23-1),N('APA Inputs'!$G$23),0),0))*IF('APA Inputs'!$I$23="",1,'APA Inputs'!$I$23))</f>
        <v>0</v>
      </c>
      <c r="BK8" s="430" t="n">
        <f aca="false">IF('APA Inputs'!$C$23="",0,(IF(AND(BK$4&gt;='APA Inputs'!$C$23,BK$4&lt;EDATE('APA Inputs'!$C$23,N('APA Inputs'!$D$23))),'APA Inputs'!$J$23,0)+IF(N('APA Inputs'!$H$23)&gt;0,IF(BK$4=EDATE('APA Inputs'!$C$23,'APA Inputs'!$H$23-1),N('APA Inputs'!$G$23),0),0))*IF('APA Inputs'!$I$23="",1,'APA Inputs'!$I$23))</f>
        <v>0</v>
      </c>
      <c r="BL8" s="430" t="n">
        <f aca="false">IF('APA Inputs'!$C$23="",0,(IF(AND(BL$4&gt;='APA Inputs'!$C$23,BL$4&lt;EDATE('APA Inputs'!$C$23,N('APA Inputs'!$D$23))),'APA Inputs'!$J$23,0)+IF(N('APA Inputs'!$H$23)&gt;0,IF(BL$4=EDATE('APA Inputs'!$C$23,'APA Inputs'!$H$23-1),N('APA Inputs'!$G$23),0),0))*IF('APA Inputs'!$I$23="",1,'APA Inputs'!$I$23))</f>
        <v>0</v>
      </c>
      <c r="BM8" s="430" t="n">
        <f aca="false">IF('APA Inputs'!$C$23="",0,(IF(AND(BM$4&gt;='APA Inputs'!$C$23,BM$4&lt;EDATE('APA Inputs'!$C$23,N('APA Inputs'!$D$23))),'APA Inputs'!$J$23,0)+IF(N('APA Inputs'!$H$23)&gt;0,IF(BM$4=EDATE('APA Inputs'!$C$23,'APA Inputs'!$H$23-1),N('APA Inputs'!$G$23),0),0))*IF('APA Inputs'!$I$23="",1,'APA Inputs'!$I$23))</f>
        <v>0</v>
      </c>
      <c r="BN8" s="430" t="n">
        <f aca="false">IF('APA Inputs'!$C$23="",0,(IF(AND(BN$4&gt;='APA Inputs'!$C$23,BN$4&lt;EDATE('APA Inputs'!$C$23,N('APA Inputs'!$D$23))),'APA Inputs'!$J$23,0)+IF(N('APA Inputs'!$H$23)&gt;0,IF(BN$4=EDATE('APA Inputs'!$C$23,'APA Inputs'!$H$23-1),N('APA Inputs'!$G$23),0),0))*IF('APA Inputs'!$I$23="",1,'APA Inputs'!$I$23))</f>
        <v>0</v>
      </c>
      <c r="BO8" s="430" t="n">
        <f aca="false">IF('APA Inputs'!$C$23="",0,(IF(AND(BO$4&gt;='APA Inputs'!$C$23,BO$4&lt;EDATE('APA Inputs'!$C$23,N('APA Inputs'!$D$23))),'APA Inputs'!$J$23,0)+IF(N('APA Inputs'!$H$23)&gt;0,IF(BO$4=EDATE('APA Inputs'!$C$23,'APA Inputs'!$H$23-1),N('APA Inputs'!$G$23),0),0))*IF('APA Inputs'!$I$23="",1,'APA Inputs'!$I$23))</f>
        <v>0</v>
      </c>
      <c r="BP8" s="430" t="n">
        <f aca="false">IF('APA Inputs'!$C$23="",0,(IF(AND(BP$4&gt;='APA Inputs'!$C$23,BP$4&lt;EDATE('APA Inputs'!$C$23,N('APA Inputs'!$D$23))),'APA Inputs'!$J$23,0)+IF(N('APA Inputs'!$H$23)&gt;0,IF(BP$4=EDATE('APA Inputs'!$C$23,'APA Inputs'!$H$23-1),N('APA Inputs'!$G$23),0),0))*IF('APA Inputs'!$I$23="",1,'APA Inputs'!$I$23))</f>
        <v>0</v>
      </c>
      <c r="BQ8" s="430" t="n">
        <f aca="false">IF('APA Inputs'!$C$23="",0,(IF(AND(BQ$4&gt;='APA Inputs'!$C$23,BQ$4&lt;EDATE('APA Inputs'!$C$23,N('APA Inputs'!$D$23))),'APA Inputs'!$J$23,0)+IF(N('APA Inputs'!$H$23)&gt;0,IF(BQ$4=EDATE('APA Inputs'!$C$23,'APA Inputs'!$H$23-1),N('APA Inputs'!$G$23),0),0))*IF('APA Inputs'!$I$23="",1,'APA Inputs'!$I$23))</f>
        <v>0</v>
      </c>
      <c r="BR8" s="430" t="n">
        <f aca="false">IF('APA Inputs'!$C$23="",0,(IF(AND(BR$4&gt;='APA Inputs'!$C$23,BR$4&lt;EDATE('APA Inputs'!$C$23,N('APA Inputs'!$D$23))),'APA Inputs'!$J$23,0)+IF(N('APA Inputs'!$H$23)&gt;0,IF(BR$4=EDATE('APA Inputs'!$C$23,'APA Inputs'!$H$23-1),N('APA Inputs'!$G$23),0),0))*IF('APA Inputs'!$I$23="",1,'APA Inputs'!$I$23))</f>
        <v>0</v>
      </c>
      <c r="BS8" s="430" t="n">
        <f aca="false">IF('APA Inputs'!$C$23="",0,(IF(AND(BS$4&gt;='APA Inputs'!$C$23,BS$4&lt;EDATE('APA Inputs'!$C$23,N('APA Inputs'!$D$23))),'APA Inputs'!$J$23,0)+IF(N('APA Inputs'!$H$23)&gt;0,IF(BS$4=EDATE('APA Inputs'!$C$23,'APA Inputs'!$H$23-1),N('APA Inputs'!$G$23),0),0))*IF('APA Inputs'!$I$23="",1,'APA Inputs'!$I$23))</f>
        <v>0</v>
      </c>
      <c r="BT8" s="430" t="n">
        <f aca="false">IF('APA Inputs'!$C$23="",0,(IF(AND(BT$4&gt;='APA Inputs'!$C$23,BT$4&lt;EDATE('APA Inputs'!$C$23,N('APA Inputs'!$D$23))),'APA Inputs'!$J$23,0)+IF(N('APA Inputs'!$H$23)&gt;0,IF(BT$4=EDATE('APA Inputs'!$C$23,'APA Inputs'!$H$23-1),N('APA Inputs'!$G$23),0),0))*IF('APA Inputs'!$I$23="",1,'APA Inputs'!$I$23))</f>
        <v>0</v>
      </c>
      <c r="BU8" s="430" t="n">
        <f aca="false">IF('APA Inputs'!$C$23="",0,(IF(AND(BU$4&gt;='APA Inputs'!$C$23,BU$4&lt;EDATE('APA Inputs'!$C$23,N('APA Inputs'!$D$23))),'APA Inputs'!$J$23,0)+IF(N('APA Inputs'!$H$23)&gt;0,IF(BU$4=EDATE('APA Inputs'!$C$23,'APA Inputs'!$H$23-1),N('APA Inputs'!$G$23),0),0))*IF('APA Inputs'!$I$23="",1,'APA Inputs'!$I$23))</f>
        <v>0</v>
      </c>
      <c r="BV8" s="430" t="n">
        <f aca="false">IF('APA Inputs'!$C$23="",0,(IF(AND(BV$4&gt;='APA Inputs'!$C$23,BV$4&lt;EDATE('APA Inputs'!$C$23,N('APA Inputs'!$D$23))),'APA Inputs'!$J$23,0)+IF(N('APA Inputs'!$H$23)&gt;0,IF(BV$4=EDATE('APA Inputs'!$C$23,'APA Inputs'!$H$23-1),N('APA Inputs'!$G$23),0),0))*IF('APA Inputs'!$I$23="",1,'APA Inputs'!$I$23))</f>
        <v>0</v>
      </c>
      <c r="BW8" s="430" t="n">
        <f aca="false">IF('APA Inputs'!$C$23="",0,(IF(AND(BW$4&gt;='APA Inputs'!$C$23,BW$4&lt;EDATE('APA Inputs'!$C$23,N('APA Inputs'!$D$23))),'APA Inputs'!$J$23,0)+IF(N('APA Inputs'!$H$23)&gt;0,IF(BW$4=EDATE('APA Inputs'!$C$23,'APA Inputs'!$H$23-1),N('APA Inputs'!$G$23),0),0))*IF('APA Inputs'!$I$23="",1,'APA Inputs'!$I$23))</f>
        <v>0</v>
      </c>
      <c r="BX8" s="430" t="n">
        <f aca="false">IF('APA Inputs'!$C$23="",0,(IF(AND(BX$4&gt;='APA Inputs'!$C$23,BX$4&lt;EDATE('APA Inputs'!$C$23,N('APA Inputs'!$D$23))),'APA Inputs'!$J$23,0)+IF(N('APA Inputs'!$H$23)&gt;0,IF(BX$4=EDATE('APA Inputs'!$C$23,'APA Inputs'!$H$23-1),N('APA Inputs'!$G$23),0),0))*IF('APA Inputs'!$I$23="",1,'APA Inputs'!$I$23))</f>
        <v>0</v>
      </c>
      <c r="BY8" s="430" t="n">
        <f aca="false">IF('APA Inputs'!$C$23="",0,(IF(AND(BY$4&gt;='APA Inputs'!$C$23,BY$4&lt;EDATE('APA Inputs'!$C$23,N('APA Inputs'!$D$23))),'APA Inputs'!$J$23,0)+IF(N('APA Inputs'!$H$23)&gt;0,IF(BY$4=EDATE('APA Inputs'!$C$23,'APA Inputs'!$H$23-1),N('APA Inputs'!$G$23),0),0))*IF('APA Inputs'!$I$23="",1,'APA Inputs'!$I$23))</f>
        <v>0</v>
      </c>
      <c r="BZ8" s="430" t="n">
        <f aca="false">IF('APA Inputs'!$C$23="",0,(IF(AND(BZ$4&gt;='APA Inputs'!$C$23,BZ$4&lt;EDATE('APA Inputs'!$C$23,N('APA Inputs'!$D$23))),'APA Inputs'!$J$23,0)+IF(N('APA Inputs'!$H$23)&gt;0,IF(BZ$4=EDATE('APA Inputs'!$C$23,'APA Inputs'!$H$23-1),N('APA Inputs'!$G$23),0),0))*IF('APA Inputs'!$I$23="",1,'APA Inputs'!$I$23))</f>
        <v>0</v>
      </c>
      <c r="CA8" s="430" t="n">
        <f aca="false">IF('APA Inputs'!$C$23="",0,(IF(AND(CA$4&gt;='APA Inputs'!$C$23,CA$4&lt;EDATE('APA Inputs'!$C$23,N('APA Inputs'!$D$23))),'APA Inputs'!$J$23,0)+IF(N('APA Inputs'!$H$23)&gt;0,IF(CA$4=EDATE('APA Inputs'!$C$23,'APA Inputs'!$H$23-1),N('APA Inputs'!$G$23),0),0))*IF('APA Inputs'!$I$23="",1,'APA Inputs'!$I$23))</f>
        <v>0</v>
      </c>
      <c r="CB8" s="430" t="n">
        <f aca="false">IF('APA Inputs'!$C$23="",0,(IF(AND(CB$4&gt;='APA Inputs'!$C$23,CB$4&lt;EDATE('APA Inputs'!$C$23,N('APA Inputs'!$D$23))),'APA Inputs'!$J$23,0)+IF(N('APA Inputs'!$H$23)&gt;0,IF(CB$4=EDATE('APA Inputs'!$C$23,'APA Inputs'!$H$23-1),N('APA Inputs'!$G$23),0),0))*IF('APA Inputs'!$I$23="",1,'APA Inputs'!$I$23))</f>
        <v>0</v>
      </c>
      <c r="CC8" s="430" t="n">
        <f aca="false">IF('APA Inputs'!$C$23="",0,(IF(AND(CC$4&gt;='APA Inputs'!$C$23,CC$4&lt;EDATE('APA Inputs'!$C$23,N('APA Inputs'!$D$23))),'APA Inputs'!$J$23,0)+IF(N('APA Inputs'!$H$23)&gt;0,IF(CC$4=EDATE('APA Inputs'!$C$23,'APA Inputs'!$H$23-1),N('APA Inputs'!$G$23),0),0))*IF('APA Inputs'!$I$23="",1,'APA Inputs'!$I$23))</f>
        <v>0</v>
      </c>
      <c r="CD8" s="430" t="n">
        <f aca="false">IF('APA Inputs'!$C$23="",0,(IF(AND(CD$4&gt;='APA Inputs'!$C$23,CD$4&lt;EDATE('APA Inputs'!$C$23,N('APA Inputs'!$D$23))),'APA Inputs'!$J$23,0)+IF(N('APA Inputs'!$H$23)&gt;0,IF(CD$4=EDATE('APA Inputs'!$C$23,'APA Inputs'!$H$23-1),N('APA Inputs'!$G$23),0),0))*IF('APA Inputs'!$I$23="",1,'APA Inputs'!$I$23))</f>
        <v>0</v>
      </c>
      <c r="CE8" s="430" t="n">
        <f aca="false">IF('APA Inputs'!$C$23="",0,(IF(AND(CE$4&gt;='APA Inputs'!$C$23,CE$4&lt;EDATE('APA Inputs'!$C$23,N('APA Inputs'!$D$23))),'APA Inputs'!$J$23,0)+IF(N('APA Inputs'!$H$23)&gt;0,IF(CE$4=EDATE('APA Inputs'!$C$23,'APA Inputs'!$H$23-1),N('APA Inputs'!$G$23),0),0))*IF('APA Inputs'!$I$23="",1,'APA Inputs'!$I$23))</f>
        <v>0</v>
      </c>
      <c r="CF8" s="430" t="n">
        <f aca="false">IF('APA Inputs'!$C$23="",0,(IF(AND(CF$4&gt;='APA Inputs'!$C$23,CF$4&lt;EDATE('APA Inputs'!$C$23,N('APA Inputs'!$D$23))),'APA Inputs'!$J$23,0)+IF(N('APA Inputs'!$H$23)&gt;0,IF(CF$4=EDATE('APA Inputs'!$C$23,'APA Inputs'!$H$23-1),N('APA Inputs'!$G$23),0),0))*IF('APA Inputs'!$I$23="",1,'APA Inputs'!$I$23))</f>
        <v>0</v>
      </c>
      <c r="CG8" s="430" t="n">
        <f aca="false">IF('APA Inputs'!$C$23="",0,(IF(AND(CG$4&gt;='APA Inputs'!$C$23,CG$4&lt;EDATE('APA Inputs'!$C$23,N('APA Inputs'!$D$23))),'APA Inputs'!$J$23,0)+IF(N('APA Inputs'!$H$23)&gt;0,IF(CG$4=EDATE('APA Inputs'!$C$23,'APA Inputs'!$H$23-1),N('APA Inputs'!$G$23),0),0))*IF('APA Inputs'!$I$23="",1,'APA Inputs'!$I$23))</f>
        <v>0</v>
      </c>
      <c r="CH8" s="430" t="n">
        <f aca="false">IF('APA Inputs'!$C$23="",0,(IF(AND(CH$4&gt;='APA Inputs'!$C$23,CH$4&lt;EDATE('APA Inputs'!$C$23,N('APA Inputs'!$D$23))),'APA Inputs'!$J$23,0)+IF(N('APA Inputs'!$H$23)&gt;0,IF(CH$4=EDATE('APA Inputs'!$C$23,'APA Inputs'!$H$23-1),N('APA Inputs'!$G$23),0),0))*IF('APA Inputs'!$I$23="",1,'APA Inputs'!$I$23))</f>
        <v>0</v>
      </c>
      <c r="CI8" s="430" t="n">
        <f aca="false">IF('APA Inputs'!$C$23="",0,(IF(AND(CI$4&gt;='APA Inputs'!$C$23,CI$4&lt;EDATE('APA Inputs'!$C$23,N('APA Inputs'!$D$23))),'APA Inputs'!$J$23,0)+IF(N('APA Inputs'!$H$23)&gt;0,IF(CI$4=EDATE('APA Inputs'!$C$23,'APA Inputs'!$H$23-1),N('APA Inputs'!$G$23),0),0))*IF('APA Inputs'!$I$23="",1,'APA Inputs'!$I$23))</f>
        <v>0</v>
      </c>
      <c r="CJ8" s="430" t="n">
        <f aca="false">IF('APA Inputs'!$C$23="",0,(IF(AND(CJ$4&gt;='APA Inputs'!$C$23,CJ$4&lt;EDATE('APA Inputs'!$C$23,N('APA Inputs'!$D$23))),'APA Inputs'!$J$23,0)+IF(N('APA Inputs'!$H$23)&gt;0,IF(CJ$4=EDATE('APA Inputs'!$C$23,'APA Inputs'!$H$23-1),N('APA Inputs'!$G$23),0),0))*IF('APA Inputs'!$I$23="",1,'APA Inputs'!$I$23))</f>
        <v>0</v>
      </c>
      <c r="CK8" s="430" t="n">
        <f aca="false">IF('APA Inputs'!$C$23="",0,(IF(AND(CK$4&gt;='APA Inputs'!$C$23,CK$4&lt;EDATE('APA Inputs'!$C$23,N('APA Inputs'!$D$23))),'APA Inputs'!$J$23,0)+IF(N('APA Inputs'!$H$23)&gt;0,IF(CK$4=EDATE('APA Inputs'!$C$23,'APA Inputs'!$H$23-1),N('APA Inputs'!$G$23),0),0))*IF('APA Inputs'!$I$23="",1,'APA Inputs'!$I$23))</f>
        <v>0</v>
      </c>
      <c r="CL8" s="430" t="n">
        <f aca="false">IF('APA Inputs'!$C$23="",0,(IF(AND(CL$4&gt;='APA Inputs'!$C$23,CL$4&lt;EDATE('APA Inputs'!$C$23,N('APA Inputs'!$D$23))),'APA Inputs'!$J$23,0)+IF(N('APA Inputs'!$H$23)&gt;0,IF(CL$4=EDATE('APA Inputs'!$C$23,'APA Inputs'!$H$23-1),N('APA Inputs'!$G$23),0),0))*IF('APA Inputs'!$I$23="",1,'APA Inputs'!$I$23))</f>
        <v>0</v>
      </c>
      <c r="CM8" s="430" t="n">
        <f aca="false">IF('APA Inputs'!$C$23="",0,(IF(AND(CM$4&gt;='APA Inputs'!$C$23,CM$4&lt;EDATE('APA Inputs'!$C$23,N('APA Inputs'!$D$23))),'APA Inputs'!$J$23,0)+IF(N('APA Inputs'!$H$23)&gt;0,IF(CM$4=EDATE('APA Inputs'!$C$23,'APA Inputs'!$H$23-1),N('APA Inputs'!$G$23),0),0))*IF('APA Inputs'!$I$23="",1,'APA Inputs'!$I$23))</f>
        <v>0</v>
      </c>
      <c r="CN8" s="430" t="n">
        <f aca="false">IF('APA Inputs'!$C$23="",0,(IF(AND(CN$4&gt;='APA Inputs'!$C$23,CN$4&lt;EDATE('APA Inputs'!$C$23,N('APA Inputs'!$D$23))),'APA Inputs'!$J$23,0)+IF(N('APA Inputs'!$H$23)&gt;0,IF(CN$4=EDATE('APA Inputs'!$C$23,'APA Inputs'!$H$23-1),N('APA Inputs'!$G$23),0),0))*IF('APA Inputs'!$I$23="",1,'APA Inputs'!$I$23))</f>
        <v>0</v>
      </c>
      <c r="CO8" s="430" t="n">
        <f aca="false">IF('APA Inputs'!$C$23="",0,(IF(AND(CO$4&gt;='APA Inputs'!$C$23,CO$4&lt;EDATE('APA Inputs'!$C$23,N('APA Inputs'!$D$23))),'APA Inputs'!$J$23,0)+IF(N('APA Inputs'!$H$23)&gt;0,IF(CO$4=EDATE('APA Inputs'!$C$23,'APA Inputs'!$H$23-1),N('APA Inputs'!$G$23),0),0))*IF('APA Inputs'!$I$23="",1,'APA Inputs'!$I$23))</f>
        <v>0</v>
      </c>
      <c r="CP8" s="430" t="n">
        <f aca="false">IF('APA Inputs'!$C$23="",0,(IF(AND(CP$4&gt;='APA Inputs'!$C$23,CP$4&lt;EDATE('APA Inputs'!$C$23,N('APA Inputs'!$D$23))),'APA Inputs'!$J$23,0)+IF(N('APA Inputs'!$H$23)&gt;0,IF(CP$4=EDATE('APA Inputs'!$C$23,'APA Inputs'!$H$23-1),N('APA Inputs'!$G$23),0),0))*IF('APA Inputs'!$I$23="",1,'APA Inputs'!$I$23))</f>
        <v>0</v>
      </c>
      <c r="CQ8" s="430" t="n">
        <f aca="false">IF('APA Inputs'!$C$23="",0,(IF(AND(CQ$4&gt;='APA Inputs'!$C$23,CQ$4&lt;EDATE('APA Inputs'!$C$23,N('APA Inputs'!$D$23))),'APA Inputs'!$J$23,0)+IF(N('APA Inputs'!$H$23)&gt;0,IF(CQ$4=EDATE('APA Inputs'!$C$23,'APA Inputs'!$H$23-1),N('APA Inputs'!$G$23),0),0))*IF('APA Inputs'!$I$23="",1,'APA Inputs'!$I$23))</f>
        <v>0</v>
      </c>
      <c r="CR8" s="430" t="n">
        <f aca="false">IF('APA Inputs'!$C$23="",0,(IF(AND(CR$4&gt;='APA Inputs'!$C$23,CR$4&lt;EDATE('APA Inputs'!$C$23,N('APA Inputs'!$D$23))),'APA Inputs'!$J$23,0)+IF(N('APA Inputs'!$H$23)&gt;0,IF(CR$4=EDATE('APA Inputs'!$C$23,'APA Inputs'!$H$23-1),N('APA Inputs'!$G$23),0),0))*IF('APA Inputs'!$I$23="",1,'APA Inputs'!$I$23))</f>
        <v>0</v>
      </c>
      <c r="CS8" s="430" t="n">
        <f aca="false">IF('APA Inputs'!$C$23="",0,(IF(AND(CS$4&gt;='APA Inputs'!$C$23,CS$4&lt;EDATE('APA Inputs'!$C$23,N('APA Inputs'!$D$23))),'APA Inputs'!$J$23,0)+IF(N('APA Inputs'!$H$23)&gt;0,IF(CS$4=EDATE('APA Inputs'!$C$23,'APA Inputs'!$H$23-1),N('APA Inputs'!$G$23),0),0))*IF('APA Inputs'!$I$23="",1,'APA Inputs'!$I$23))</f>
        <v>0</v>
      </c>
      <c r="CT8" s="430" t="n">
        <f aca="false">IF('APA Inputs'!$C$23="",0,(IF(AND(CT$4&gt;='APA Inputs'!$C$23,CT$4&lt;EDATE('APA Inputs'!$C$23,N('APA Inputs'!$D$23))),'APA Inputs'!$J$23,0)+IF(N('APA Inputs'!$H$23)&gt;0,IF(CT$4=EDATE('APA Inputs'!$C$23,'APA Inputs'!$H$23-1),N('APA Inputs'!$G$23),0),0))*IF('APA Inputs'!$I$23="",1,'APA Inputs'!$I$23))</f>
        <v>0</v>
      </c>
      <c r="CU8" s="430" t="n">
        <f aca="false">IF('APA Inputs'!$C$23="",0,(IF(AND(CU$4&gt;='APA Inputs'!$C$23,CU$4&lt;EDATE('APA Inputs'!$C$23,N('APA Inputs'!$D$23))),'APA Inputs'!$J$23,0)+IF(N('APA Inputs'!$H$23)&gt;0,IF(CU$4=EDATE('APA Inputs'!$C$23,'APA Inputs'!$H$23-1),N('APA Inputs'!$G$23),0),0))*IF('APA Inputs'!$I$23="",1,'APA Inputs'!$I$23))</f>
        <v>0</v>
      </c>
      <c r="CV8" s="430" t="n">
        <f aca="false">IF('APA Inputs'!$C$23="",0,(IF(AND(CV$4&gt;='APA Inputs'!$C$23,CV$4&lt;EDATE('APA Inputs'!$C$23,N('APA Inputs'!$D$23))),'APA Inputs'!$J$23,0)+IF(N('APA Inputs'!$H$23)&gt;0,IF(CV$4=EDATE('APA Inputs'!$C$23,'APA Inputs'!$H$23-1),N('APA Inputs'!$G$23),0),0))*IF('APA Inputs'!$I$23="",1,'APA Inputs'!$I$23))</f>
        <v>0</v>
      </c>
      <c r="CW8" s="430" t="n">
        <f aca="false">IF('APA Inputs'!$C$23="",0,(IF(AND(CW$4&gt;='APA Inputs'!$C$23,CW$4&lt;EDATE('APA Inputs'!$C$23,N('APA Inputs'!$D$23))),'APA Inputs'!$J$23,0)+IF(N('APA Inputs'!$H$23)&gt;0,IF(CW$4=EDATE('APA Inputs'!$C$23,'APA Inputs'!$H$23-1),N('APA Inputs'!$G$23),0),0))*IF('APA Inputs'!$I$23="",1,'APA Inputs'!$I$23))</f>
        <v>0</v>
      </c>
      <c r="CX8" s="430" t="n">
        <f aca="false">IF('APA Inputs'!$C$23="",0,(IF(AND(CX$4&gt;='APA Inputs'!$C$23,CX$4&lt;EDATE('APA Inputs'!$C$23,N('APA Inputs'!$D$23))),'APA Inputs'!$J$23,0)+IF(N('APA Inputs'!$H$23)&gt;0,IF(CX$4=EDATE('APA Inputs'!$C$23,'APA Inputs'!$H$23-1),N('APA Inputs'!$G$23),0),0))*IF('APA Inputs'!$I$23="",1,'APA Inputs'!$I$23))</f>
        <v>0</v>
      </c>
      <c r="CY8" s="430" t="n">
        <f aca="false">IF('APA Inputs'!$C$23="",0,(IF(AND(CY$4&gt;='APA Inputs'!$C$23,CY$4&lt;EDATE('APA Inputs'!$C$23,N('APA Inputs'!$D$23))),'APA Inputs'!$J$23,0)+IF(N('APA Inputs'!$H$23)&gt;0,IF(CY$4=EDATE('APA Inputs'!$C$23,'APA Inputs'!$H$23-1),N('APA Inputs'!$G$23),0),0))*IF('APA Inputs'!$I$23="",1,'APA Inputs'!$I$23))</f>
        <v>0</v>
      </c>
      <c r="CZ8" s="430" t="n">
        <f aca="false">IF('APA Inputs'!$C$23="",0,(IF(AND(CZ$4&gt;='APA Inputs'!$C$23,CZ$4&lt;EDATE('APA Inputs'!$C$23,N('APA Inputs'!$D$23))),'APA Inputs'!$J$23,0)+IF(N('APA Inputs'!$H$23)&gt;0,IF(CZ$4=EDATE('APA Inputs'!$C$23,'APA Inputs'!$H$23-1),N('APA Inputs'!$G$23),0),0))*IF('APA Inputs'!$I$23="",1,'APA Inputs'!$I$23))</f>
        <v>0</v>
      </c>
      <c r="DA8" s="430" t="n">
        <f aca="false">IF('APA Inputs'!$C$23="",0,(IF(AND(DA$4&gt;='APA Inputs'!$C$23,DA$4&lt;EDATE('APA Inputs'!$C$23,N('APA Inputs'!$D$23))),'APA Inputs'!$J$23,0)+IF(N('APA Inputs'!$H$23)&gt;0,IF(DA$4=EDATE('APA Inputs'!$C$23,'APA Inputs'!$H$23-1),N('APA Inputs'!$G$23),0),0))*IF('APA Inputs'!$I$23="",1,'APA Inputs'!$I$23))</f>
        <v>0</v>
      </c>
      <c r="DB8" s="430" t="n">
        <f aca="false">IF('APA Inputs'!$C$23="",0,(IF(AND(DB$4&gt;='APA Inputs'!$C$23,DB$4&lt;EDATE('APA Inputs'!$C$23,N('APA Inputs'!$D$23))),'APA Inputs'!$J$23,0)+IF(N('APA Inputs'!$H$23)&gt;0,IF(DB$4=EDATE('APA Inputs'!$C$23,'APA Inputs'!$H$23-1),N('APA Inputs'!$G$23),0),0))*IF('APA Inputs'!$I$23="",1,'APA Inputs'!$I$23))</f>
        <v>0</v>
      </c>
      <c r="DC8" s="430" t="n">
        <f aca="false">IF('APA Inputs'!$C$23="",0,(IF(AND(DC$4&gt;='APA Inputs'!$C$23,DC$4&lt;EDATE('APA Inputs'!$C$23,N('APA Inputs'!$D$23))),'APA Inputs'!$J$23,0)+IF(N('APA Inputs'!$H$23)&gt;0,IF(DC$4=EDATE('APA Inputs'!$C$23,'APA Inputs'!$H$23-1),N('APA Inputs'!$G$23),0),0))*IF('APA Inputs'!$I$23="",1,'APA Inputs'!$I$23))</f>
        <v>0</v>
      </c>
      <c r="DD8" s="430" t="n">
        <f aca="false">IF('APA Inputs'!$C$23="",0,(IF(AND(DD$4&gt;='APA Inputs'!$C$23,DD$4&lt;EDATE('APA Inputs'!$C$23,N('APA Inputs'!$D$23))),'APA Inputs'!$J$23,0)+IF(N('APA Inputs'!$H$23)&gt;0,IF(DD$4=EDATE('APA Inputs'!$C$23,'APA Inputs'!$H$23-1),N('APA Inputs'!$G$23),0),0))*IF('APA Inputs'!$I$23="",1,'APA Inputs'!$I$23))</f>
        <v>0</v>
      </c>
      <c r="DE8" s="430"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30" t="n">
        <f aca="false">IF('APA Inputs'!$C$24="",0,(IF(AND(B$4&gt;='APA Inputs'!$C$24,B$4&lt;EDATE('APA Inputs'!$C$24,N('APA Inputs'!$D$24))),'APA Inputs'!$J$24,0)+IF(N('APA Inputs'!$H$24)&gt;0,IF(B$4=EDATE('APA Inputs'!$C$24,'APA Inputs'!$H$24-1),N('APA Inputs'!$G$24),0),0))*IF('APA Inputs'!$I$24="",1,'APA Inputs'!$I$24))</f>
        <v>0</v>
      </c>
      <c r="C9" s="430" t="n">
        <f aca="false">IF('APA Inputs'!$C$24="",0,(IF(AND(C$4&gt;='APA Inputs'!$C$24,C$4&lt;EDATE('APA Inputs'!$C$24,N('APA Inputs'!$D$24))),'APA Inputs'!$J$24,0)+IF(N('APA Inputs'!$H$24)&gt;0,IF(C$4=EDATE('APA Inputs'!$C$24,'APA Inputs'!$H$24-1),N('APA Inputs'!$G$24),0),0))*IF('APA Inputs'!$I$24="",1,'APA Inputs'!$I$24))</f>
        <v>0</v>
      </c>
      <c r="D9" s="430" t="n">
        <f aca="false">IF('APA Inputs'!$C$24="",0,(IF(AND(D$4&gt;='APA Inputs'!$C$24,D$4&lt;EDATE('APA Inputs'!$C$24,N('APA Inputs'!$D$24))),'APA Inputs'!$J$24,0)+IF(N('APA Inputs'!$H$24)&gt;0,IF(D$4=EDATE('APA Inputs'!$C$24,'APA Inputs'!$H$24-1),N('APA Inputs'!$G$24),0),0))*IF('APA Inputs'!$I$24="",1,'APA Inputs'!$I$24))</f>
        <v>0</v>
      </c>
      <c r="E9" s="430" t="n">
        <f aca="false">IF('APA Inputs'!$C$24="",0,(IF(AND(E$4&gt;='APA Inputs'!$C$24,E$4&lt;EDATE('APA Inputs'!$C$24,N('APA Inputs'!$D$24))),'APA Inputs'!$J$24,0)+IF(N('APA Inputs'!$H$24)&gt;0,IF(E$4=EDATE('APA Inputs'!$C$24,'APA Inputs'!$H$24-1),N('APA Inputs'!$G$24),0),0))*IF('APA Inputs'!$I$24="",1,'APA Inputs'!$I$24))</f>
        <v>0</v>
      </c>
      <c r="F9" s="430" t="n">
        <f aca="false">IF('APA Inputs'!$C$24="",0,(IF(AND(F$4&gt;='APA Inputs'!$C$24,F$4&lt;EDATE('APA Inputs'!$C$24,N('APA Inputs'!$D$24))),'APA Inputs'!$J$24,0)+IF(N('APA Inputs'!$H$24)&gt;0,IF(F$4=EDATE('APA Inputs'!$C$24,'APA Inputs'!$H$24-1),N('APA Inputs'!$G$24),0),0))*IF('APA Inputs'!$I$24="",1,'APA Inputs'!$I$24))</f>
        <v>0</v>
      </c>
      <c r="G9" s="430" t="n">
        <f aca="false">IF('APA Inputs'!$C$24="",0,(IF(AND(G$4&gt;='APA Inputs'!$C$24,G$4&lt;EDATE('APA Inputs'!$C$24,N('APA Inputs'!$D$24))),'APA Inputs'!$J$24,0)+IF(N('APA Inputs'!$H$24)&gt;0,IF(G$4=EDATE('APA Inputs'!$C$24,'APA Inputs'!$H$24-1),N('APA Inputs'!$G$24),0),0))*IF('APA Inputs'!$I$24="",1,'APA Inputs'!$I$24))</f>
        <v>0</v>
      </c>
      <c r="H9" s="430" t="n">
        <f aca="false">IF('APA Inputs'!$C$24="",0,(IF(AND(H$4&gt;='APA Inputs'!$C$24,H$4&lt;EDATE('APA Inputs'!$C$24,N('APA Inputs'!$D$24))),'APA Inputs'!$J$24,0)+IF(N('APA Inputs'!$H$24)&gt;0,IF(H$4=EDATE('APA Inputs'!$C$24,'APA Inputs'!$H$24-1),N('APA Inputs'!$G$24),0),0))*IF('APA Inputs'!$I$24="",1,'APA Inputs'!$I$24))</f>
        <v>0</v>
      </c>
      <c r="I9" s="430" t="n">
        <f aca="false">IF('APA Inputs'!$C$24="",0,(IF(AND(I$4&gt;='APA Inputs'!$C$24,I$4&lt;EDATE('APA Inputs'!$C$24,N('APA Inputs'!$D$24))),'APA Inputs'!$J$24,0)+IF(N('APA Inputs'!$H$24)&gt;0,IF(I$4=EDATE('APA Inputs'!$C$24,'APA Inputs'!$H$24-1),N('APA Inputs'!$G$24),0),0))*IF('APA Inputs'!$I$24="",1,'APA Inputs'!$I$24))</f>
        <v>0</v>
      </c>
      <c r="J9" s="430" t="n">
        <f aca="false">IF('APA Inputs'!$C$24="",0,(IF(AND(J$4&gt;='APA Inputs'!$C$24,J$4&lt;EDATE('APA Inputs'!$C$24,N('APA Inputs'!$D$24))),'APA Inputs'!$J$24,0)+IF(N('APA Inputs'!$H$24)&gt;0,IF(J$4=EDATE('APA Inputs'!$C$24,'APA Inputs'!$H$24-1),N('APA Inputs'!$G$24),0),0))*IF('APA Inputs'!$I$24="",1,'APA Inputs'!$I$24))</f>
        <v>3332.72</v>
      </c>
      <c r="K9" s="430" t="n">
        <f aca="false">IF('APA Inputs'!$C$24="",0,(IF(AND(K$4&gt;='APA Inputs'!$C$24,K$4&lt;EDATE('APA Inputs'!$C$24,N('APA Inputs'!$D$24))),'APA Inputs'!$J$24,0)+IF(N('APA Inputs'!$H$24)&gt;0,IF(K$4=EDATE('APA Inputs'!$C$24,'APA Inputs'!$H$24-1),N('APA Inputs'!$G$24),0),0))*IF('APA Inputs'!$I$24="",1,'APA Inputs'!$I$24))</f>
        <v>3332.72</v>
      </c>
      <c r="L9" s="430" t="n">
        <f aca="false">IF('APA Inputs'!$C$24="",0,(IF(AND(L$4&gt;='APA Inputs'!$C$24,L$4&lt;EDATE('APA Inputs'!$C$24,N('APA Inputs'!$D$24))),'APA Inputs'!$J$24,0)+IF(N('APA Inputs'!$H$24)&gt;0,IF(L$4=EDATE('APA Inputs'!$C$24,'APA Inputs'!$H$24-1),N('APA Inputs'!$G$24),0),0))*IF('APA Inputs'!$I$24="",1,'APA Inputs'!$I$24))</f>
        <v>3332.72</v>
      </c>
      <c r="M9" s="430" t="n">
        <f aca="false">IF('APA Inputs'!$C$24="",0,(IF(AND(M$4&gt;='APA Inputs'!$C$24,M$4&lt;EDATE('APA Inputs'!$C$24,N('APA Inputs'!$D$24))),'APA Inputs'!$J$24,0)+IF(N('APA Inputs'!$H$24)&gt;0,IF(M$4=EDATE('APA Inputs'!$C$24,'APA Inputs'!$H$24-1),N('APA Inputs'!$G$24),0),0))*IF('APA Inputs'!$I$24="",1,'APA Inputs'!$I$24))</f>
        <v>3332.72</v>
      </c>
      <c r="N9" s="430" t="n">
        <f aca="false">IF('APA Inputs'!$C$24="",0,(IF(AND(N$4&gt;='APA Inputs'!$C$24,N$4&lt;EDATE('APA Inputs'!$C$24,N('APA Inputs'!$D$24))),'APA Inputs'!$J$24,0)+IF(N('APA Inputs'!$H$24)&gt;0,IF(N$4=EDATE('APA Inputs'!$C$24,'APA Inputs'!$H$24-1),N('APA Inputs'!$G$24),0),0))*IF('APA Inputs'!$I$24="",1,'APA Inputs'!$I$24))</f>
        <v>3332.72</v>
      </c>
      <c r="O9" s="430" t="n">
        <f aca="false">IF('APA Inputs'!$C$24="",0,(IF(AND(O$4&gt;='APA Inputs'!$C$24,O$4&lt;EDATE('APA Inputs'!$C$24,N('APA Inputs'!$D$24))),'APA Inputs'!$J$24,0)+IF(N('APA Inputs'!$H$24)&gt;0,IF(O$4=EDATE('APA Inputs'!$C$24,'APA Inputs'!$H$24-1),N('APA Inputs'!$G$24),0),0))*IF('APA Inputs'!$I$24="",1,'APA Inputs'!$I$24))</f>
        <v>3332.72</v>
      </c>
      <c r="P9" s="430" t="n">
        <f aca="false">IF('APA Inputs'!$C$24="",0,(IF(AND(P$4&gt;='APA Inputs'!$C$24,P$4&lt;EDATE('APA Inputs'!$C$24,N('APA Inputs'!$D$24))),'APA Inputs'!$J$24,0)+IF(N('APA Inputs'!$H$24)&gt;0,IF(P$4=EDATE('APA Inputs'!$C$24,'APA Inputs'!$H$24-1),N('APA Inputs'!$G$24),0),0))*IF('APA Inputs'!$I$24="",1,'APA Inputs'!$I$24))</f>
        <v>3332.72</v>
      </c>
      <c r="Q9" s="430" t="n">
        <f aca="false">IF('APA Inputs'!$C$24="",0,(IF(AND(Q$4&gt;='APA Inputs'!$C$24,Q$4&lt;EDATE('APA Inputs'!$C$24,N('APA Inputs'!$D$24))),'APA Inputs'!$J$24,0)+IF(N('APA Inputs'!$H$24)&gt;0,IF(Q$4=EDATE('APA Inputs'!$C$24,'APA Inputs'!$H$24-1),N('APA Inputs'!$G$24),0),0))*IF('APA Inputs'!$I$24="",1,'APA Inputs'!$I$24))</f>
        <v>3332.72</v>
      </c>
      <c r="R9" s="430" t="n">
        <f aca="false">IF('APA Inputs'!$C$24="",0,(IF(AND(R$4&gt;='APA Inputs'!$C$24,R$4&lt;EDATE('APA Inputs'!$C$24,N('APA Inputs'!$D$24))),'APA Inputs'!$J$24,0)+IF(N('APA Inputs'!$H$24)&gt;0,IF(R$4=EDATE('APA Inputs'!$C$24,'APA Inputs'!$H$24-1),N('APA Inputs'!$G$24),0),0))*IF('APA Inputs'!$I$24="",1,'APA Inputs'!$I$24))</f>
        <v>3332.72</v>
      </c>
      <c r="S9" s="430" t="n">
        <f aca="false">IF('APA Inputs'!$C$24="",0,(IF(AND(S$4&gt;='APA Inputs'!$C$24,S$4&lt;EDATE('APA Inputs'!$C$24,N('APA Inputs'!$D$24))),'APA Inputs'!$J$24,0)+IF(N('APA Inputs'!$H$24)&gt;0,IF(S$4=EDATE('APA Inputs'!$C$24,'APA Inputs'!$H$24-1),N('APA Inputs'!$G$24),0),0))*IF('APA Inputs'!$I$24="",1,'APA Inputs'!$I$24))</f>
        <v>3332.72</v>
      </c>
      <c r="T9" s="430" t="n">
        <f aca="false">IF('APA Inputs'!$C$24="",0,(IF(AND(T$4&gt;='APA Inputs'!$C$24,T$4&lt;EDATE('APA Inputs'!$C$24,N('APA Inputs'!$D$24))),'APA Inputs'!$J$24,0)+IF(N('APA Inputs'!$H$24)&gt;0,IF(T$4=EDATE('APA Inputs'!$C$24,'APA Inputs'!$H$24-1),N('APA Inputs'!$G$24),0),0))*IF('APA Inputs'!$I$24="",1,'APA Inputs'!$I$24))</f>
        <v>3332.72</v>
      </c>
      <c r="U9" s="430" t="n">
        <f aca="false">IF('APA Inputs'!$C$24="",0,(IF(AND(U$4&gt;='APA Inputs'!$C$24,U$4&lt;EDATE('APA Inputs'!$C$24,N('APA Inputs'!$D$24))),'APA Inputs'!$J$24,0)+IF(N('APA Inputs'!$H$24)&gt;0,IF(U$4=EDATE('APA Inputs'!$C$24,'APA Inputs'!$H$24-1),N('APA Inputs'!$G$24),0),0))*IF('APA Inputs'!$I$24="",1,'APA Inputs'!$I$24))</f>
        <v>3332.72</v>
      </c>
      <c r="V9" s="430" t="n">
        <f aca="false">IF('APA Inputs'!$C$24="",0,(IF(AND(V$4&gt;='APA Inputs'!$C$24,V$4&lt;EDATE('APA Inputs'!$C$24,N('APA Inputs'!$D$24))),'APA Inputs'!$J$24,0)+IF(N('APA Inputs'!$H$24)&gt;0,IF(V$4=EDATE('APA Inputs'!$C$24,'APA Inputs'!$H$24-1),N('APA Inputs'!$G$24),0),0))*IF('APA Inputs'!$I$24="",1,'APA Inputs'!$I$24))</f>
        <v>0</v>
      </c>
      <c r="W9" s="430" t="n">
        <f aca="false">IF('APA Inputs'!$C$24="",0,(IF(AND(W$4&gt;='APA Inputs'!$C$24,W$4&lt;EDATE('APA Inputs'!$C$24,N('APA Inputs'!$D$24))),'APA Inputs'!$J$24,0)+IF(N('APA Inputs'!$H$24)&gt;0,IF(W$4=EDATE('APA Inputs'!$C$24,'APA Inputs'!$H$24-1),N('APA Inputs'!$G$24),0),0))*IF('APA Inputs'!$I$24="",1,'APA Inputs'!$I$24))</f>
        <v>0</v>
      </c>
      <c r="X9" s="430" t="n">
        <f aca="false">IF('APA Inputs'!$C$24="",0,(IF(AND(X$4&gt;='APA Inputs'!$C$24,X$4&lt;EDATE('APA Inputs'!$C$24,N('APA Inputs'!$D$24))),'APA Inputs'!$J$24,0)+IF(N('APA Inputs'!$H$24)&gt;0,IF(X$4=EDATE('APA Inputs'!$C$24,'APA Inputs'!$H$24-1),N('APA Inputs'!$G$24),0),0))*IF('APA Inputs'!$I$24="",1,'APA Inputs'!$I$24))</f>
        <v>0</v>
      </c>
      <c r="Y9" s="430" t="n">
        <f aca="false">IF('APA Inputs'!$C$24="",0,(IF(AND(Y$4&gt;='APA Inputs'!$C$24,Y$4&lt;EDATE('APA Inputs'!$C$24,N('APA Inputs'!$D$24))),'APA Inputs'!$J$24,0)+IF(N('APA Inputs'!$H$24)&gt;0,IF(Y$4=EDATE('APA Inputs'!$C$24,'APA Inputs'!$H$24-1),N('APA Inputs'!$G$24),0),0))*IF('APA Inputs'!$I$24="",1,'APA Inputs'!$I$24))</f>
        <v>0</v>
      </c>
      <c r="Z9" s="430" t="n">
        <f aca="false">IF('APA Inputs'!$C$24="",0,(IF(AND(Z$4&gt;='APA Inputs'!$C$24,Z$4&lt;EDATE('APA Inputs'!$C$24,N('APA Inputs'!$D$24))),'APA Inputs'!$J$24,0)+IF(N('APA Inputs'!$H$24)&gt;0,IF(Z$4=EDATE('APA Inputs'!$C$24,'APA Inputs'!$H$24-1),N('APA Inputs'!$G$24),0),0))*IF('APA Inputs'!$I$24="",1,'APA Inputs'!$I$24))</f>
        <v>0</v>
      </c>
      <c r="AA9" s="430" t="n">
        <f aca="false">IF('APA Inputs'!$C$24="",0,(IF(AND(AA$4&gt;='APA Inputs'!$C$24,AA$4&lt;EDATE('APA Inputs'!$C$24,N('APA Inputs'!$D$24))),'APA Inputs'!$J$24,0)+IF(N('APA Inputs'!$H$24)&gt;0,IF(AA$4=EDATE('APA Inputs'!$C$24,'APA Inputs'!$H$24-1),N('APA Inputs'!$G$24),0),0))*IF('APA Inputs'!$I$24="",1,'APA Inputs'!$I$24))</f>
        <v>0</v>
      </c>
      <c r="AB9" s="430" t="n">
        <f aca="false">IF('APA Inputs'!$C$24="",0,(IF(AND(AB$4&gt;='APA Inputs'!$C$24,AB$4&lt;EDATE('APA Inputs'!$C$24,N('APA Inputs'!$D$24))),'APA Inputs'!$J$24,0)+IF(N('APA Inputs'!$H$24)&gt;0,IF(AB$4=EDATE('APA Inputs'!$C$24,'APA Inputs'!$H$24-1),N('APA Inputs'!$G$24),0),0))*IF('APA Inputs'!$I$24="",1,'APA Inputs'!$I$24))</f>
        <v>0</v>
      </c>
      <c r="AC9" s="430" t="n">
        <f aca="false">IF('APA Inputs'!$C$24="",0,(IF(AND(AC$4&gt;='APA Inputs'!$C$24,AC$4&lt;EDATE('APA Inputs'!$C$24,N('APA Inputs'!$D$24))),'APA Inputs'!$J$24,0)+IF(N('APA Inputs'!$H$24)&gt;0,IF(AC$4=EDATE('APA Inputs'!$C$24,'APA Inputs'!$H$24-1),N('APA Inputs'!$G$24),0),0))*IF('APA Inputs'!$I$24="",1,'APA Inputs'!$I$24))</f>
        <v>0</v>
      </c>
      <c r="AD9" s="430" t="n">
        <f aca="false">IF('APA Inputs'!$C$24="",0,(IF(AND(AD$4&gt;='APA Inputs'!$C$24,AD$4&lt;EDATE('APA Inputs'!$C$24,N('APA Inputs'!$D$24))),'APA Inputs'!$J$24,0)+IF(N('APA Inputs'!$H$24)&gt;0,IF(AD$4=EDATE('APA Inputs'!$C$24,'APA Inputs'!$H$24-1),N('APA Inputs'!$G$24),0),0))*IF('APA Inputs'!$I$24="",1,'APA Inputs'!$I$24))</f>
        <v>0</v>
      </c>
      <c r="AE9" s="430" t="n">
        <f aca="false">IF('APA Inputs'!$C$24="",0,(IF(AND(AE$4&gt;='APA Inputs'!$C$24,AE$4&lt;EDATE('APA Inputs'!$C$24,N('APA Inputs'!$D$24))),'APA Inputs'!$J$24,0)+IF(N('APA Inputs'!$H$24)&gt;0,IF(AE$4=EDATE('APA Inputs'!$C$24,'APA Inputs'!$H$24-1),N('APA Inputs'!$G$24),0),0))*IF('APA Inputs'!$I$24="",1,'APA Inputs'!$I$24))</f>
        <v>0</v>
      </c>
      <c r="AF9" s="430" t="n">
        <f aca="false">IF('APA Inputs'!$C$24="",0,(IF(AND(AF$4&gt;='APA Inputs'!$C$24,AF$4&lt;EDATE('APA Inputs'!$C$24,N('APA Inputs'!$D$24))),'APA Inputs'!$J$24,0)+IF(N('APA Inputs'!$H$24)&gt;0,IF(AF$4=EDATE('APA Inputs'!$C$24,'APA Inputs'!$H$24-1),N('APA Inputs'!$G$24),0),0))*IF('APA Inputs'!$I$24="",1,'APA Inputs'!$I$24))</f>
        <v>0</v>
      </c>
      <c r="AG9" s="430" t="n">
        <f aca="false">IF('APA Inputs'!$C$24="",0,(IF(AND(AG$4&gt;='APA Inputs'!$C$24,AG$4&lt;EDATE('APA Inputs'!$C$24,N('APA Inputs'!$D$24))),'APA Inputs'!$J$24,0)+IF(N('APA Inputs'!$H$24)&gt;0,IF(AG$4=EDATE('APA Inputs'!$C$24,'APA Inputs'!$H$24-1),N('APA Inputs'!$G$24),0),0))*IF('APA Inputs'!$I$24="",1,'APA Inputs'!$I$24))</f>
        <v>0</v>
      </c>
      <c r="AH9" s="430" t="n">
        <f aca="false">IF('APA Inputs'!$C$24="",0,(IF(AND(AH$4&gt;='APA Inputs'!$C$24,AH$4&lt;EDATE('APA Inputs'!$C$24,N('APA Inputs'!$D$24))),'APA Inputs'!$J$24,0)+IF(N('APA Inputs'!$H$24)&gt;0,IF(AH$4=EDATE('APA Inputs'!$C$24,'APA Inputs'!$H$24-1),N('APA Inputs'!$G$24),0),0))*IF('APA Inputs'!$I$24="",1,'APA Inputs'!$I$24))</f>
        <v>0</v>
      </c>
      <c r="AI9" s="430" t="n">
        <f aca="false">IF('APA Inputs'!$C$24="",0,(IF(AND(AI$4&gt;='APA Inputs'!$C$24,AI$4&lt;EDATE('APA Inputs'!$C$24,N('APA Inputs'!$D$24))),'APA Inputs'!$J$24,0)+IF(N('APA Inputs'!$H$24)&gt;0,IF(AI$4=EDATE('APA Inputs'!$C$24,'APA Inputs'!$H$24-1),N('APA Inputs'!$G$24),0),0))*IF('APA Inputs'!$I$24="",1,'APA Inputs'!$I$24))</f>
        <v>0</v>
      </c>
      <c r="AJ9" s="430" t="n">
        <f aca="false">IF('APA Inputs'!$C$24="",0,(IF(AND(AJ$4&gt;='APA Inputs'!$C$24,AJ$4&lt;EDATE('APA Inputs'!$C$24,N('APA Inputs'!$D$24))),'APA Inputs'!$J$24,0)+IF(N('APA Inputs'!$H$24)&gt;0,IF(AJ$4=EDATE('APA Inputs'!$C$24,'APA Inputs'!$H$24-1),N('APA Inputs'!$G$24),0),0))*IF('APA Inputs'!$I$24="",1,'APA Inputs'!$I$24))</f>
        <v>0</v>
      </c>
      <c r="AK9" s="430" t="n">
        <f aca="false">IF('APA Inputs'!$C$24="",0,(IF(AND(AK$4&gt;='APA Inputs'!$C$24,AK$4&lt;EDATE('APA Inputs'!$C$24,N('APA Inputs'!$D$24))),'APA Inputs'!$J$24,0)+IF(N('APA Inputs'!$H$24)&gt;0,IF(AK$4=EDATE('APA Inputs'!$C$24,'APA Inputs'!$H$24-1),N('APA Inputs'!$G$24),0),0))*IF('APA Inputs'!$I$24="",1,'APA Inputs'!$I$24))</f>
        <v>0</v>
      </c>
      <c r="AL9" s="430" t="n">
        <f aca="false">IF('APA Inputs'!$C$24="",0,(IF(AND(AL$4&gt;='APA Inputs'!$C$24,AL$4&lt;EDATE('APA Inputs'!$C$24,N('APA Inputs'!$D$24))),'APA Inputs'!$J$24,0)+IF(N('APA Inputs'!$H$24)&gt;0,IF(AL$4=EDATE('APA Inputs'!$C$24,'APA Inputs'!$H$24-1),N('APA Inputs'!$G$24),0),0))*IF('APA Inputs'!$I$24="",1,'APA Inputs'!$I$24))</f>
        <v>0</v>
      </c>
      <c r="AM9" s="430" t="n">
        <f aca="false">IF('APA Inputs'!$C$24="",0,(IF(AND(AM$4&gt;='APA Inputs'!$C$24,AM$4&lt;EDATE('APA Inputs'!$C$24,N('APA Inputs'!$D$24))),'APA Inputs'!$J$24,0)+IF(N('APA Inputs'!$H$24)&gt;0,IF(AM$4=EDATE('APA Inputs'!$C$24,'APA Inputs'!$H$24-1),N('APA Inputs'!$G$24),0),0))*IF('APA Inputs'!$I$24="",1,'APA Inputs'!$I$24))</f>
        <v>0</v>
      </c>
      <c r="AN9" s="430" t="n">
        <f aca="false">IF('APA Inputs'!$C$24="",0,(IF(AND(AN$4&gt;='APA Inputs'!$C$24,AN$4&lt;EDATE('APA Inputs'!$C$24,N('APA Inputs'!$D$24))),'APA Inputs'!$J$24,0)+IF(N('APA Inputs'!$H$24)&gt;0,IF(AN$4=EDATE('APA Inputs'!$C$24,'APA Inputs'!$H$24-1),N('APA Inputs'!$G$24),0),0))*IF('APA Inputs'!$I$24="",1,'APA Inputs'!$I$24))</f>
        <v>0</v>
      </c>
      <c r="AO9" s="430" t="n">
        <f aca="false">IF('APA Inputs'!$C$24="",0,(IF(AND(AO$4&gt;='APA Inputs'!$C$24,AO$4&lt;EDATE('APA Inputs'!$C$24,N('APA Inputs'!$D$24))),'APA Inputs'!$J$24,0)+IF(N('APA Inputs'!$H$24)&gt;0,IF(AO$4=EDATE('APA Inputs'!$C$24,'APA Inputs'!$H$24-1),N('APA Inputs'!$G$24),0),0))*IF('APA Inputs'!$I$24="",1,'APA Inputs'!$I$24))</f>
        <v>0</v>
      </c>
      <c r="AP9" s="430" t="n">
        <f aca="false">IF('APA Inputs'!$C$24="",0,(IF(AND(AP$4&gt;='APA Inputs'!$C$24,AP$4&lt;EDATE('APA Inputs'!$C$24,N('APA Inputs'!$D$24))),'APA Inputs'!$J$24,0)+IF(N('APA Inputs'!$H$24)&gt;0,IF(AP$4=EDATE('APA Inputs'!$C$24,'APA Inputs'!$H$24-1),N('APA Inputs'!$G$24),0),0))*IF('APA Inputs'!$I$24="",1,'APA Inputs'!$I$24))</f>
        <v>0</v>
      </c>
      <c r="AQ9" s="430" t="n">
        <f aca="false">IF('APA Inputs'!$C$24="",0,(IF(AND(AQ$4&gt;='APA Inputs'!$C$24,AQ$4&lt;EDATE('APA Inputs'!$C$24,N('APA Inputs'!$D$24))),'APA Inputs'!$J$24,0)+IF(N('APA Inputs'!$H$24)&gt;0,IF(AQ$4=EDATE('APA Inputs'!$C$24,'APA Inputs'!$H$24-1),N('APA Inputs'!$G$24),0),0))*IF('APA Inputs'!$I$24="",1,'APA Inputs'!$I$24))</f>
        <v>0</v>
      </c>
      <c r="AR9" s="430" t="n">
        <f aca="false">IF('APA Inputs'!$C$24="",0,(IF(AND(AR$4&gt;='APA Inputs'!$C$24,AR$4&lt;EDATE('APA Inputs'!$C$24,N('APA Inputs'!$D$24))),'APA Inputs'!$J$24,0)+IF(N('APA Inputs'!$H$24)&gt;0,IF(AR$4=EDATE('APA Inputs'!$C$24,'APA Inputs'!$H$24-1),N('APA Inputs'!$G$24),0),0))*IF('APA Inputs'!$I$24="",1,'APA Inputs'!$I$24))</f>
        <v>0</v>
      </c>
      <c r="AS9" s="430" t="n">
        <f aca="false">IF('APA Inputs'!$C$24="",0,(IF(AND(AS$4&gt;='APA Inputs'!$C$24,AS$4&lt;EDATE('APA Inputs'!$C$24,N('APA Inputs'!$D$24))),'APA Inputs'!$J$24,0)+IF(N('APA Inputs'!$H$24)&gt;0,IF(AS$4=EDATE('APA Inputs'!$C$24,'APA Inputs'!$H$24-1),N('APA Inputs'!$G$24),0),0))*IF('APA Inputs'!$I$24="",1,'APA Inputs'!$I$24))</f>
        <v>0</v>
      </c>
      <c r="AT9" s="430" t="n">
        <f aca="false">IF('APA Inputs'!$C$24="",0,(IF(AND(AT$4&gt;='APA Inputs'!$C$24,AT$4&lt;EDATE('APA Inputs'!$C$24,N('APA Inputs'!$D$24))),'APA Inputs'!$J$24,0)+IF(N('APA Inputs'!$H$24)&gt;0,IF(AT$4=EDATE('APA Inputs'!$C$24,'APA Inputs'!$H$24-1),N('APA Inputs'!$G$24),0),0))*IF('APA Inputs'!$I$24="",1,'APA Inputs'!$I$24))</f>
        <v>0</v>
      </c>
      <c r="AU9" s="430" t="n">
        <f aca="false">IF('APA Inputs'!$C$24="",0,(IF(AND(AU$4&gt;='APA Inputs'!$C$24,AU$4&lt;EDATE('APA Inputs'!$C$24,N('APA Inputs'!$D$24))),'APA Inputs'!$J$24,0)+IF(N('APA Inputs'!$H$24)&gt;0,IF(AU$4=EDATE('APA Inputs'!$C$24,'APA Inputs'!$H$24-1),N('APA Inputs'!$G$24),0),0))*IF('APA Inputs'!$I$24="",1,'APA Inputs'!$I$24))</f>
        <v>0</v>
      </c>
      <c r="AV9" s="430" t="n">
        <f aca="false">IF('APA Inputs'!$C$24="",0,(IF(AND(AV$4&gt;='APA Inputs'!$C$24,AV$4&lt;EDATE('APA Inputs'!$C$24,N('APA Inputs'!$D$24))),'APA Inputs'!$J$24,0)+IF(N('APA Inputs'!$H$24)&gt;0,IF(AV$4=EDATE('APA Inputs'!$C$24,'APA Inputs'!$H$24-1),N('APA Inputs'!$G$24),0),0))*IF('APA Inputs'!$I$24="",1,'APA Inputs'!$I$24))</f>
        <v>0</v>
      </c>
      <c r="AW9" s="430" t="n">
        <f aca="false">IF('APA Inputs'!$C$24="",0,(IF(AND(AW$4&gt;='APA Inputs'!$C$24,AW$4&lt;EDATE('APA Inputs'!$C$24,N('APA Inputs'!$D$24))),'APA Inputs'!$J$24,0)+IF(N('APA Inputs'!$H$24)&gt;0,IF(AW$4=EDATE('APA Inputs'!$C$24,'APA Inputs'!$H$24-1),N('APA Inputs'!$G$24),0),0))*IF('APA Inputs'!$I$24="",1,'APA Inputs'!$I$24))</f>
        <v>0</v>
      </c>
      <c r="AX9" s="430" t="n">
        <f aca="false">IF('APA Inputs'!$C$24="",0,(IF(AND(AX$4&gt;='APA Inputs'!$C$24,AX$4&lt;EDATE('APA Inputs'!$C$24,N('APA Inputs'!$D$24))),'APA Inputs'!$J$24,0)+IF(N('APA Inputs'!$H$24)&gt;0,IF(AX$4=EDATE('APA Inputs'!$C$24,'APA Inputs'!$H$24-1),N('APA Inputs'!$G$24),0),0))*IF('APA Inputs'!$I$24="",1,'APA Inputs'!$I$24))</f>
        <v>0</v>
      </c>
      <c r="AY9" s="430" t="n">
        <f aca="false">IF('APA Inputs'!$C$24="",0,(IF(AND(AY$4&gt;='APA Inputs'!$C$24,AY$4&lt;EDATE('APA Inputs'!$C$24,N('APA Inputs'!$D$24))),'APA Inputs'!$J$24,0)+IF(N('APA Inputs'!$H$24)&gt;0,IF(AY$4=EDATE('APA Inputs'!$C$24,'APA Inputs'!$H$24-1),N('APA Inputs'!$G$24),0),0))*IF('APA Inputs'!$I$24="",1,'APA Inputs'!$I$24))</f>
        <v>0</v>
      </c>
      <c r="AZ9" s="430" t="n">
        <f aca="false">IF('APA Inputs'!$C$24="",0,(IF(AND(AZ$4&gt;='APA Inputs'!$C$24,AZ$4&lt;EDATE('APA Inputs'!$C$24,N('APA Inputs'!$D$24))),'APA Inputs'!$J$24,0)+IF(N('APA Inputs'!$H$24)&gt;0,IF(AZ$4=EDATE('APA Inputs'!$C$24,'APA Inputs'!$H$24-1),N('APA Inputs'!$G$24),0),0))*IF('APA Inputs'!$I$24="",1,'APA Inputs'!$I$24))</f>
        <v>0</v>
      </c>
      <c r="BA9" s="430" t="n">
        <f aca="false">IF('APA Inputs'!$C$24="",0,(IF(AND(BA$4&gt;='APA Inputs'!$C$24,BA$4&lt;EDATE('APA Inputs'!$C$24,N('APA Inputs'!$D$24))),'APA Inputs'!$J$24,0)+IF(N('APA Inputs'!$H$24)&gt;0,IF(BA$4=EDATE('APA Inputs'!$C$24,'APA Inputs'!$H$24-1),N('APA Inputs'!$G$24),0),0))*IF('APA Inputs'!$I$24="",1,'APA Inputs'!$I$24))</f>
        <v>0</v>
      </c>
      <c r="BB9" s="430" t="n">
        <f aca="false">IF('APA Inputs'!$C$24="",0,(IF(AND(BB$4&gt;='APA Inputs'!$C$24,BB$4&lt;EDATE('APA Inputs'!$C$24,N('APA Inputs'!$D$24))),'APA Inputs'!$J$24,0)+IF(N('APA Inputs'!$H$24)&gt;0,IF(BB$4=EDATE('APA Inputs'!$C$24,'APA Inputs'!$H$24-1),N('APA Inputs'!$G$24),0),0))*IF('APA Inputs'!$I$24="",1,'APA Inputs'!$I$24))</f>
        <v>0</v>
      </c>
      <c r="BC9" s="430" t="n">
        <f aca="false">IF('APA Inputs'!$C$24="",0,(IF(AND(BC$4&gt;='APA Inputs'!$C$24,BC$4&lt;EDATE('APA Inputs'!$C$24,N('APA Inputs'!$D$24))),'APA Inputs'!$J$24,0)+IF(N('APA Inputs'!$H$24)&gt;0,IF(BC$4=EDATE('APA Inputs'!$C$24,'APA Inputs'!$H$24-1),N('APA Inputs'!$G$24),0),0))*IF('APA Inputs'!$I$24="",1,'APA Inputs'!$I$24))</f>
        <v>0</v>
      </c>
      <c r="BD9" s="430" t="n">
        <f aca="false">IF('APA Inputs'!$C$24="",0,(IF(AND(BD$4&gt;='APA Inputs'!$C$24,BD$4&lt;EDATE('APA Inputs'!$C$24,N('APA Inputs'!$D$24))),'APA Inputs'!$J$24,0)+IF(N('APA Inputs'!$H$24)&gt;0,IF(BD$4=EDATE('APA Inputs'!$C$24,'APA Inputs'!$H$24-1),N('APA Inputs'!$G$24),0),0))*IF('APA Inputs'!$I$24="",1,'APA Inputs'!$I$24))</f>
        <v>0</v>
      </c>
      <c r="BE9" s="430" t="n">
        <f aca="false">IF('APA Inputs'!$C$24="",0,(IF(AND(BE$4&gt;='APA Inputs'!$C$24,BE$4&lt;EDATE('APA Inputs'!$C$24,N('APA Inputs'!$D$24))),'APA Inputs'!$J$24,0)+IF(N('APA Inputs'!$H$24)&gt;0,IF(BE$4=EDATE('APA Inputs'!$C$24,'APA Inputs'!$H$24-1),N('APA Inputs'!$G$24),0),0))*IF('APA Inputs'!$I$24="",1,'APA Inputs'!$I$24))</f>
        <v>0</v>
      </c>
      <c r="BF9" s="430" t="n">
        <f aca="false">IF('APA Inputs'!$C$24="",0,(IF(AND(BF$4&gt;='APA Inputs'!$C$24,BF$4&lt;EDATE('APA Inputs'!$C$24,N('APA Inputs'!$D$24))),'APA Inputs'!$J$24,0)+IF(N('APA Inputs'!$H$24)&gt;0,IF(BF$4=EDATE('APA Inputs'!$C$24,'APA Inputs'!$H$24-1),N('APA Inputs'!$G$24),0),0))*IF('APA Inputs'!$I$24="",1,'APA Inputs'!$I$24))</f>
        <v>0</v>
      </c>
      <c r="BG9" s="430" t="n">
        <f aca="false">IF('APA Inputs'!$C$24="",0,(IF(AND(BG$4&gt;='APA Inputs'!$C$24,BG$4&lt;EDATE('APA Inputs'!$C$24,N('APA Inputs'!$D$24))),'APA Inputs'!$J$24,0)+IF(N('APA Inputs'!$H$24)&gt;0,IF(BG$4=EDATE('APA Inputs'!$C$24,'APA Inputs'!$H$24-1),N('APA Inputs'!$G$24),0),0))*IF('APA Inputs'!$I$24="",1,'APA Inputs'!$I$24))</f>
        <v>0</v>
      </c>
      <c r="BH9" s="430" t="n">
        <f aca="false">IF('APA Inputs'!$C$24="",0,(IF(AND(BH$4&gt;='APA Inputs'!$C$24,BH$4&lt;EDATE('APA Inputs'!$C$24,N('APA Inputs'!$D$24))),'APA Inputs'!$J$24,0)+IF(N('APA Inputs'!$H$24)&gt;0,IF(BH$4=EDATE('APA Inputs'!$C$24,'APA Inputs'!$H$24-1),N('APA Inputs'!$G$24),0),0))*IF('APA Inputs'!$I$24="",1,'APA Inputs'!$I$24))</f>
        <v>0</v>
      </c>
      <c r="BI9" s="430" t="n">
        <f aca="false">IF('APA Inputs'!$C$24="",0,(IF(AND(BI$4&gt;='APA Inputs'!$C$24,BI$4&lt;EDATE('APA Inputs'!$C$24,N('APA Inputs'!$D$24))),'APA Inputs'!$J$24,0)+IF(N('APA Inputs'!$H$24)&gt;0,IF(BI$4=EDATE('APA Inputs'!$C$24,'APA Inputs'!$H$24-1),N('APA Inputs'!$G$24),0),0))*IF('APA Inputs'!$I$24="",1,'APA Inputs'!$I$24))</f>
        <v>0</v>
      </c>
      <c r="BJ9" s="430" t="n">
        <f aca="false">IF('APA Inputs'!$C$24="",0,(IF(AND(BJ$4&gt;='APA Inputs'!$C$24,BJ$4&lt;EDATE('APA Inputs'!$C$24,N('APA Inputs'!$D$24))),'APA Inputs'!$J$24,0)+IF(N('APA Inputs'!$H$24)&gt;0,IF(BJ$4=EDATE('APA Inputs'!$C$24,'APA Inputs'!$H$24-1),N('APA Inputs'!$G$24),0),0))*IF('APA Inputs'!$I$24="",1,'APA Inputs'!$I$24))</f>
        <v>0</v>
      </c>
      <c r="BK9" s="430" t="n">
        <f aca="false">IF('APA Inputs'!$C$24="",0,(IF(AND(BK$4&gt;='APA Inputs'!$C$24,BK$4&lt;EDATE('APA Inputs'!$C$24,N('APA Inputs'!$D$24))),'APA Inputs'!$J$24,0)+IF(N('APA Inputs'!$H$24)&gt;0,IF(BK$4=EDATE('APA Inputs'!$C$24,'APA Inputs'!$H$24-1),N('APA Inputs'!$G$24),0),0))*IF('APA Inputs'!$I$24="",1,'APA Inputs'!$I$24))</f>
        <v>0</v>
      </c>
      <c r="BL9" s="430" t="n">
        <f aca="false">IF('APA Inputs'!$C$24="",0,(IF(AND(BL$4&gt;='APA Inputs'!$C$24,BL$4&lt;EDATE('APA Inputs'!$C$24,N('APA Inputs'!$D$24))),'APA Inputs'!$J$24,0)+IF(N('APA Inputs'!$H$24)&gt;0,IF(BL$4=EDATE('APA Inputs'!$C$24,'APA Inputs'!$H$24-1),N('APA Inputs'!$G$24),0),0))*IF('APA Inputs'!$I$24="",1,'APA Inputs'!$I$24))</f>
        <v>0</v>
      </c>
      <c r="BM9" s="430" t="n">
        <f aca="false">IF('APA Inputs'!$C$24="",0,(IF(AND(BM$4&gt;='APA Inputs'!$C$24,BM$4&lt;EDATE('APA Inputs'!$C$24,N('APA Inputs'!$D$24))),'APA Inputs'!$J$24,0)+IF(N('APA Inputs'!$H$24)&gt;0,IF(BM$4=EDATE('APA Inputs'!$C$24,'APA Inputs'!$H$24-1),N('APA Inputs'!$G$24),0),0))*IF('APA Inputs'!$I$24="",1,'APA Inputs'!$I$24))</f>
        <v>0</v>
      </c>
      <c r="BN9" s="430" t="n">
        <f aca="false">IF('APA Inputs'!$C$24="",0,(IF(AND(BN$4&gt;='APA Inputs'!$C$24,BN$4&lt;EDATE('APA Inputs'!$C$24,N('APA Inputs'!$D$24))),'APA Inputs'!$J$24,0)+IF(N('APA Inputs'!$H$24)&gt;0,IF(BN$4=EDATE('APA Inputs'!$C$24,'APA Inputs'!$H$24-1),N('APA Inputs'!$G$24),0),0))*IF('APA Inputs'!$I$24="",1,'APA Inputs'!$I$24))</f>
        <v>0</v>
      </c>
      <c r="BO9" s="430" t="n">
        <f aca="false">IF('APA Inputs'!$C$24="",0,(IF(AND(BO$4&gt;='APA Inputs'!$C$24,BO$4&lt;EDATE('APA Inputs'!$C$24,N('APA Inputs'!$D$24))),'APA Inputs'!$J$24,0)+IF(N('APA Inputs'!$H$24)&gt;0,IF(BO$4=EDATE('APA Inputs'!$C$24,'APA Inputs'!$H$24-1),N('APA Inputs'!$G$24),0),0))*IF('APA Inputs'!$I$24="",1,'APA Inputs'!$I$24))</f>
        <v>0</v>
      </c>
      <c r="BP9" s="430" t="n">
        <f aca="false">IF('APA Inputs'!$C$24="",0,(IF(AND(BP$4&gt;='APA Inputs'!$C$24,BP$4&lt;EDATE('APA Inputs'!$C$24,N('APA Inputs'!$D$24))),'APA Inputs'!$J$24,0)+IF(N('APA Inputs'!$H$24)&gt;0,IF(BP$4=EDATE('APA Inputs'!$C$24,'APA Inputs'!$H$24-1),N('APA Inputs'!$G$24),0),0))*IF('APA Inputs'!$I$24="",1,'APA Inputs'!$I$24))</f>
        <v>0</v>
      </c>
      <c r="BQ9" s="430" t="n">
        <f aca="false">IF('APA Inputs'!$C$24="",0,(IF(AND(BQ$4&gt;='APA Inputs'!$C$24,BQ$4&lt;EDATE('APA Inputs'!$C$24,N('APA Inputs'!$D$24))),'APA Inputs'!$J$24,0)+IF(N('APA Inputs'!$H$24)&gt;0,IF(BQ$4=EDATE('APA Inputs'!$C$24,'APA Inputs'!$H$24-1),N('APA Inputs'!$G$24),0),0))*IF('APA Inputs'!$I$24="",1,'APA Inputs'!$I$24))</f>
        <v>0</v>
      </c>
      <c r="BR9" s="430" t="n">
        <f aca="false">IF('APA Inputs'!$C$24="",0,(IF(AND(BR$4&gt;='APA Inputs'!$C$24,BR$4&lt;EDATE('APA Inputs'!$C$24,N('APA Inputs'!$D$24))),'APA Inputs'!$J$24,0)+IF(N('APA Inputs'!$H$24)&gt;0,IF(BR$4=EDATE('APA Inputs'!$C$24,'APA Inputs'!$H$24-1),N('APA Inputs'!$G$24),0),0))*IF('APA Inputs'!$I$24="",1,'APA Inputs'!$I$24))</f>
        <v>0</v>
      </c>
      <c r="BS9" s="430" t="n">
        <f aca="false">IF('APA Inputs'!$C$24="",0,(IF(AND(BS$4&gt;='APA Inputs'!$C$24,BS$4&lt;EDATE('APA Inputs'!$C$24,N('APA Inputs'!$D$24))),'APA Inputs'!$J$24,0)+IF(N('APA Inputs'!$H$24)&gt;0,IF(BS$4=EDATE('APA Inputs'!$C$24,'APA Inputs'!$H$24-1),N('APA Inputs'!$G$24),0),0))*IF('APA Inputs'!$I$24="",1,'APA Inputs'!$I$24))</f>
        <v>0</v>
      </c>
      <c r="BT9" s="430" t="n">
        <f aca="false">IF('APA Inputs'!$C$24="",0,(IF(AND(BT$4&gt;='APA Inputs'!$C$24,BT$4&lt;EDATE('APA Inputs'!$C$24,N('APA Inputs'!$D$24))),'APA Inputs'!$J$24,0)+IF(N('APA Inputs'!$H$24)&gt;0,IF(BT$4=EDATE('APA Inputs'!$C$24,'APA Inputs'!$H$24-1),N('APA Inputs'!$G$24),0),0))*IF('APA Inputs'!$I$24="",1,'APA Inputs'!$I$24))</f>
        <v>0</v>
      </c>
      <c r="BU9" s="430" t="n">
        <f aca="false">IF('APA Inputs'!$C$24="",0,(IF(AND(BU$4&gt;='APA Inputs'!$C$24,BU$4&lt;EDATE('APA Inputs'!$C$24,N('APA Inputs'!$D$24))),'APA Inputs'!$J$24,0)+IF(N('APA Inputs'!$H$24)&gt;0,IF(BU$4=EDATE('APA Inputs'!$C$24,'APA Inputs'!$H$24-1),N('APA Inputs'!$G$24),0),0))*IF('APA Inputs'!$I$24="",1,'APA Inputs'!$I$24))</f>
        <v>0</v>
      </c>
      <c r="BV9" s="430" t="n">
        <f aca="false">IF('APA Inputs'!$C$24="",0,(IF(AND(BV$4&gt;='APA Inputs'!$C$24,BV$4&lt;EDATE('APA Inputs'!$C$24,N('APA Inputs'!$D$24))),'APA Inputs'!$J$24,0)+IF(N('APA Inputs'!$H$24)&gt;0,IF(BV$4=EDATE('APA Inputs'!$C$24,'APA Inputs'!$H$24-1),N('APA Inputs'!$G$24),0),0))*IF('APA Inputs'!$I$24="",1,'APA Inputs'!$I$24))</f>
        <v>0</v>
      </c>
      <c r="BW9" s="430" t="n">
        <f aca="false">IF('APA Inputs'!$C$24="",0,(IF(AND(BW$4&gt;='APA Inputs'!$C$24,BW$4&lt;EDATE('APA Inputs'!$C$24,N('APA Inputs'!$D$24))),'APA Inputs'!$J$24,0)+IF(N('APA Inputs'!$H$24)&gt;0,IF(BW$4=EDATE('APA Inputs'!$C$24,'APA Inputs'!$H$24-1),N('APA Inputs'!$G$24),0),0))*IF('APA Inputs'!$I$24="",1,'APA Inputs'!$I$24))</f>
        <v>0</v>
      </c>
      <c r="BX9" s="430" t="n">
        <f aca="false">IF('APA Inputs'!$C$24="",0,(IF(AND(BX$4&gt;='APA Inputs'!$C$24,BX$4&lt;EDATE('APA Inputs'!$C$24,N('APA Inputs'!$D$24))),'APA Inputs'!$J$24,0)+IF(N('APA Inputs'!$H$24)&gt;0,IF(BX$4=EDATE('APA Inputs'!$C$24,'APA Inputs'!$H$24-1),N('APA Inputs'!$G$24),0),0))*IF('APA Inputs'!$I$24="",1,'APA Inputs'!$I$24))</f>
        <v>0</v>
      </c>
      <c r="BY9" s="430" t="n">
        <f aca="false">IF('APA Inputs'!$C$24="",0,(IF(AND(BY$4&gt;='APA Inputs'!$C$24,BY$4&lt;EDATE('APA Inputs'!$C$24,N('APA Inputs'!$D$24))),'APA Inputs'!$J$24,0)+IF(N('APA Inputs'!$H$24)&gt;0,IF(BY$4=EDATE('APA Inputs'!$C$24,'APA Inputs'!$H$24-1),N('APA Inputs'!$G$24),0),0))*IF('APA Inputs'!$I$24="",1,'APA Inputs'!$I$24))</f>
        <v>0</v>
      </c>
      <c r="BZ9" s="430" t="n">
        <f aca="false">IF('APA Inputs'!$C$24="",0,(IF(AND(BZ$4&gt;='APA Inputs'!$C$24,BZ$4&lt;EDATE('APA Inputs'!$C$24,N('APA Inputs'!$D$24))),'APA Inputs'!$J$24,0)+IF(N('APA Inputs'!$H$24)&gt;0,IF(BZ$4=EDATE('APA Inputs'!$C$24,'APA Inputs'!$H$24-1),N('APA Inputs'!$G$24),0),0))*IF('APA Inputs'!$I$24="",1,'APA Inputs'!$I$24))</f>
        <v>0</v>
      </c>
      <c r="CA9" s="430" t="n">
        <f aca="false">IF('APA Inputs'!$C$24="",0,(IF(AND(CA$4&gt;='APA Inputs'!$C$24,CA$4&lt;EDATE('APA Inputs'!$C$24,N('APA Inputs'!$D$24))),'APA Inputs'!$J$24,0)+IF(N('APA Inputs'!$H$24)&gt;0,IF(CA$4=EDATE('APA Inputs'!$C$24,'APA Inputs'!$H$24-1),N('APA Inputs'!$G$24),0),0))*IF('APA Inputs'!$I$24="",1,'APA Inputs'!$I$24))</f>
        <v>0</v>
      </c>
      <c r="CB9" s="430" t="n">
        <f aca="false">IF('APA Inputs'!$C$24="",0,(IF(AND(CB$4&gt;='APA Inputs'!$C$24,CB$4&lt;EDATE('APA Inputs'!$C$24,N('APA Inputs'!$D$24))),'APA Inputs'!$J$24,0)+IF(N('APA Inputs'!$H$24)&gt;0,IF(CB$4=EDATE('APA Inputs'!$C$24,'APA Inputs'!$H$24-1),N('APA Inputs'!$G$24),0),0))*IF('APA Inputs'!$I$24="",1,'APA Inputs'!$I$24))</f>
        <v>0</v>
      </c>
      <c r="CC9" s="430" t="n">
        <f aca="false">IF('APA Inputs'!$C$24="",0,(IF(AND(CC$4&gt;='APA Inputs'!$C$24,CC$4&lt;EDATE('APA Inputs'!$C$24,N('APA Inputs'!$D$24))),'APA Inputs'!$J$24,0)+IF(N('APA Inputs'!$H$24)&gt;0,IF(CC$4=EDATE('APA Inputs'!$C$24,'APA Inputs'!$H$24-1),N('APA Inputs'!$G$24),0),0))*IF('APA Inputs'!$I$24="",1,'APA Inputs'!$I$24))</f>
        <v>0</v>
      </c>
      <c r="CD9" s="430" t="n">
        <f aca="false">IF('APA Inputs'!$C$24="",0,(IF(AND(CD$4&gt;='APA Inputs'!$C$24,CD$4&lt;EDATE('APA Inputs'!$C$24,N('APA Inputs'!$D$24))),'APA Inputs'!$J$24,0)+IF(N('APA Inputs'!$H$24)&gt;0,IF(CD$4=EDATE('APA Inputs'!$C$24,'APA Inputs'!$H$24-1),N('APA Inputs'!$G$24),0),0))*IF('APA Inputs'!$I$24="",1,'APA Inputs'!$I$24))</f>
        <v>0</v>
      </c>
      <c r="CE9" s="430" t="n">
        <f aca="false">IF('APA Inputs'!$C$24="",0,(IF(AND(CE$4&gt;='APA Inputs'!$C$24,CE$4&lt;EDATE('APA Inputs'!$C$24,N('APA Inputs'!$D$24))),'APA Inputs'!$J$24,0)+IF(N('APA Inputs'!$H$24)&gt;0,IF(CE$4=EDATE('APA Inputs'!$C$24,'APA Inputs'!$H$24-1),N('APA Inputs'!$G$24),0),0))*IF('APA Inputs'!$I$24="",1,'APA Inputs'!$I$24))</f>
        <v>0</v>
      </c>
      <c r="CF9" s="430" t="n">
        <f aca="false">IF('APA Inputs'!$C$24="",0,(IF(AND(CF$4&gt;='APA Inputs'!$C$24,CF$4&lt;EDATE('APA Inputs'!$C$24,N('APA Inputs'!$D$24))),'APA Inputs'!$J$24,0)+IF(N('APA Inputs'!$H$24)&gt;0,IF(CF$4=EDATE('APA Inputs'!$C$24,'APA Inputs'!$H$24-1),N('APA Inputs'!$G$24),0),0))*IF('APA Inputs'!$I$24="",1,'APA Inputs'!$I$24))</f>
        <v>0</v>
      </c>
      <c r="CG9" s="430" t="n">
        <f aca="false">IF('APA Inputs'!$C$24="",0,(IF(AND(CG$4&gt;='APA Inputs'!$C$24,CG$4&lt;EDATE('APA Inputs'!$C$24,N('APA Inputs'!$D$24))),'APA Inputs'!$J$24,0)+IF(N('APA Inputs'!$H$24)&gt;0,IF(CG$4=EDATE('APA Inputs'!$C$24,'APA Inputs'!$H$24-1),N('APA Inputs'!$G$24),0),0))*IF('APA Inputs'!$I$24="",1,'APA Inputs'!$I$24))</f>
        <v>0</v>
      </c>
      <c r="CH9" s="430" t="n">
        <f aca="false">IF('APA Inputs'!$C$24="",0,(IF(AND(CH$4&gt;='APA Inputs'!$C$24,CH$4&lt;EDATE('APA Inputs'!$C$24,N('APA Inputs'!$D$24))),'APA Inputs'!$J$24,0)+IF(N('APA Inputs'!$H$24)&gt;0,IF(CH$4=EDATE('APA Inputs'!$C$24,'APA Inputs'!$H$24-1),N('APA Inputs'!$G$24),0),0))*IF('APA Inputs'!$I$24="",1,'APA Inputs'!$I$24))</f>
        <v>0</v>
      </c>
      <c r="CI9" s="430" t="n">
        <f aca="false">IF('APA Inputs'!$C$24="",0,(IF(AND(CI$4&gt;='APA Inputs'!$C$24,CI$4&lt;EDATE('APA Inputs'!$C$24,N('APA Inputs'!$D$24))),'APA Inputs'!$J$24,0)+IF(N('APA Inputs'!$H$24)&gt;0,IF(CI$4=EDATE('APA Inputs'!$C$24,'APA Inputs'!$H$24-1),N('APA Inputs'!$G$24),0),0))*IF('APA Inputs'!$I$24="",1,'APA Inputs'!$I$24))</f>
        <v>0</v>
      </c>
      <c r="CJ9" s="430" t="n">
        <f aca="false">IF('APA Inputs'!$C$24="",0,(IF(AND(CJ$4&gt;='APA Inputs'!$C$24,CJ$4&lt;EDATE('APA Inputs'!$C$24,N('APA Inputs'!$D$24))),'APA Inputs'!$J$24,0)+IF(N('APA Inputs'!$H$24)&gt;0,IF(CJ$4=EDATE('APA Inputs'!$C$24,'APA Inputs'!$H$24-1),N('APA Inputs'!$G$24),0),0))*IF('APA Inputs'!$I$24="",1,'APA Inputs'!$I$24))</f>
        <v>0</v>
      </c>
      <c r="CK9" s="430" t="n">
        <f aca="false">IF('APA Inputs'!$C$24="",0,(IF(AND(CK$4&gt;='APA Inputs'!$C$24,CK$4&lt;EDATE('APA Inputs'!$C$24,N('APA Inputs'!$D$24))),'APA Inputs'!$J$24,0)+IF(N('APA Inputs'!$H$24)&gt;0,IF(CK$4=EDATE('APA Inputs'!$C$24,'APA Inputs'!$H$24-1),N('APA Inputs'!$G$24),0),0))*IF('APA Inputs'!$I$24="",1,'APA Inputs'!$I$24))</f>
        <v>0</v>
      </c>
      <c r="CL9" s="430" t="n">
        <f aca="false">IF('APA Inputs'!$C$24="",0,(IF(AND(CL$4&gt;='APA Inputs'!$C$24,CL$4&lt;EDATE('APA Inputs'!$C$24,N('APA Inputs'!$D$24))),'APA Inputs'!$J$24,0)+IF(N('APA Inputs'!$H$24)&gt;0,IF(CL$4=EDATE('APA Inputs'!$C$24,'APA Inputs'!$H$24-1),N('APA Inputs'!$G$24),0),0))*IF('APA Inputs'!$I$24="",1,'APA Inputs'!$I$24))</f>
        <v>0</v>
      </c>
      <c r="CM9" s="430" t="n">
        <f aca="false">IF('APA Inputs'!$C$24="",0,(IF(AND(CM$4&gt;='APA Inputs'!$C$24,CM$4&lt;EDATE('APA Inputs'!$C$24,N('APA Inputs'!$D$24))),'APA Inputs'!$J$24,0)+IF(N('APA Inputs'!$H$24)&gt;0,IF(CM$4=EDATE('APA Inputs'!$C$24,'APA Inputs'!$H$24-1),N('APA Inputs'!$G$24),0),0))*IF('APA Inputs'!$I$24="",1,'APA Inputs'!$I$24))</f>
        <v>0</v>
      </c>
      <c r="CN9" s="430" t="n">
        <f aca="false">IF('APA Inputs'!$C$24="",0,(IF(AND(CN$4&gt;='APA Inputs'!$C$24,CN$4&lt;EDATE('APA Inputs'!$C$24,N('APA Inputs'!$D$24))),'APA Inputs'!$J$24,0)+IF(N('APA Inputs'!$H$24)&gt;0,IF(CN$4=EDATE('APA Inputs'!$C$24,'APA Inputs'!$H$24-1),N('APA Inputs'!$G$24),0),0))*IF('APA Inputs'!$I$24="",1,'APA Inputs'!$I$24))</f>
        <v>0</v>
      </c>
      <c r="CO9" s="430" t="n">
        <f aca="false">IF('APA Inputs'!$C$24="",0,(IF(AND(CO$4&gt;='APA Inputs'!$C$24,CO$4&lt;EDATE('APA Inputs'!$C$24,N('APA Inputs'!$D$24))),'APA Inputs'!$J$24,0)+IF(N('APA Inputs'!$H$24)&gt;0,IF(CO$4=EDATE('APA Inputs'!$C$24,'APA Inputs'!$H$24-1),N('APA Inputs'!$G$24),0),0))*IF('APA Inputs'!$I$24="",1,'APA Inputs'!$I$24))</f>
        <v>0</v>
      </c>
      <c r="CP9" s="430" t="n">
        <f aca="false">IF('APA Inputs'!$C$24="",0,(IF(AND(CP$4&gt;='APA Inputs'!$C$24,CP$4&lt;EDATE('APA Inputs'!$C$24,N('APA Inputs'!$D$24))),'APA Inputs'!$J$24,0)+IF(N('APA Inputs'!$H$24)&gt;0,IF(CP$4=EDATE('APA Inputs'!$C$24,'APA Inputs'!$H$24-1),N('APA Inputs'!$G$24),0),0))*IF('APA Inputs'!$I$24="",1,'APA Inputs'!$I$24))</f>
        <v>0</v>
      </c>
      <c r="CQ9" s="430" t="n">
        <f aca="false">IF('APA Inputs'!$C$24="",0,(IF(AND(CQ$4&gt;='APA Inputs'!$C$24,CQ$4&lt;EDATE('APA Inputs'!$C$24,N('APA Inputs'!$D$24))),'APA Inputs'!$J$24,0)+IF(N('APA Inputs'!$H$24)&gt;0,IF(CQ$4=EDATE('APA Inputs'!$C$24,'APA Inputs'!$H$24-1),N('APA Inputs'!$G$24),0),0))*IF('APA Inputs'!$I$24="",1,'APA Inputs'!$I$24))</f>
        <v>0</v>
      </c>
      <c r="CR9" s="430" t="n">
        <f aca="false">IF('APA Inputs'!$C$24="",0,(IF(AND(CR$4&gt;='APA Inputs'!$C$24,CR$4&lt;EDATE('APA Inputs'!$C$24,N('APA Inputs'!$D$24))),'APA Inputs'!$J$24,0)+IF(N('APA Inputs'!$H$24)&gt;0,IF(CR$4=EDATE('APA Inputs'!$C$24,'APA Inputs'!$H$24-1),N('APA Inputs'!$G$24),0),0))*IF('APA Inputs'!$I$24="",1,'APA Inputs'!$I$24))</f>
        <v>0</v>
      </c>
      <c r="CS9" s="430" t="n">
        <f aca="false">IF('APA Inputs'!$C$24="",0,(IF(AND(CS$4&gt;='APA Inputs'!$C$24,CS$4&lt;EDATE('APA Inputs'!$C$24,N('APA Inputs'!$D$24))),'APA Inputs'!$J$24,0)+IF(N('APA Inputs'!$H$24)&gt;0,IF(CS$4=EDATE('APA Inputs'!$C$24,'APA Inputs'!$H$24-1),N('APA Inputs'!$G$24),0),0))*IF('APA Inputs'!$I$24="",1,'APA Inputs'!$I$24))</f>
        <v>0</v>
      </c>
      <c r="CT9" s="430" t="n">
        <f aca="false">IF('APA Inputs'!$C$24="",0,(IF(AND(CT$4&gt;='APA Inputs'!$C$24,CT$4&lt;EDATE('APA Inputs'!$C$24,N('APA Inputs'!$D$24))),'APA Inputs'!$J$24,0)+IF(N('APA Inputs'!$H$24)&gt;0,IF(CT$4=EDATE('APA Inputs'!$C$24,'APA Inputs'!$H$24-1),N('APA Inputs'!$G$24),0),0))*IF('APA Inputs'!$I$24="",1,'APA Inputs'!$I$24))</f>
        <v>0</v>
      </c>
      <c r="CU9" s="430" t="n">
        <f aca="false">IF('APA Inputs'!$C$24="",0,(IF(AND(CU$4&gt;='APA Inputs'!$C$24,CU$4&lt;EDATE('APA Inputs'!$C$24,N('APA Inputs'!$D$24))),'APA Inputs'!$J$24,0)+IF(N('APA Inputs'!$H$24)&gt;0,IF(CU$4=EDATE('APA Inputs'!$C$24,'APA Inputs'!$H$24-1),N('APA Inputs'!$G$24),0),0))*IF('APA Inputs'!$I$24="",1,'APA Inputs'!$I$24))</f>
        <v>0</v>
      </c>
      <c r="CV9" s="430" t="n">
        <f aca="false">IF('APA Inputs'!$C$24="",0,(IF(AND(CV$4&gt;='APA Inputs'!$C$24,CV$4&lt;EDATE('APA Inputs'!$C$24,N('APA Inputs'!$D$24))),'APA Inputs'!$J$24,0)+IF(N('APA Inputs'!$H$24)&gt;0,IF(CV$4=EDATE('APA Inputs'!$C$24,'APA Inputs'!$H$24-1),N('APA Inputs'!$G$24),0),0))*IF('APA Inputs'!$I$24="",1,'APA Inputs'!$I$24))</f>
        <v>0</v>
      </c>
      <c r="CW9" s="430" t="n">
        <f aca="false">IF('APA Inputs'!$C$24="",0,(IF(AND(CW$4&gt;='APA Inputs'!$C$24,CW$4&lt;EDATE('APA Inputs'!$C$24,N('APA Inputs'!$D$24))),'APA Inputs'!$J$24,0)+IF(N('APA Inputs'!$H$24)&gt;0,IF(CW$4=EDATE('APA Inputs'!$C$24,'APA Inputs'!$H$24-1),N('APA Inputs'!$G$24),0),0))*IF('APA Inputs'!$I$24="",1,'APA Inputs'!$I$24))</f>
        <v>0</v>
      </c>
      <c r="CX9" s="430" t="n">
        <f aca="false">IF('APA Inputs'!$C$24="",0,(IF(AND(CX$4&gt;='APA Inputs'!$C$24,CX$4&lt;EDATE('APA Inputs'!$C$24,N('APA Inputs'!$D$24))),'APA Inputs'!$J$24,0)+IF(N('APA Inputs'!$H$24)&gt;0,IF(CX$4=EDATE('APA Inputs'!$C$24,'APA Inputs'!$H$24-1),N('APA Inputs'!$G$24),0),0))*IF('APA Inputs'!$I$24="",1,'APA Inputs'!$I$24))</f>
        <v>0</v>
      </c>
      <c r="CY9" s="430" t="n">
        <f aca="false">IF('APA Inputs'!$C$24="",0,(IF(AND(CY$4&gt;='APA Inputs'!$C$24,CY$4&lt;EDATE('APA Inputs'!$C$24,N('APA Inputs'!$D$24))),'APA Inputs'!$J$24,0)+IF(N('APA Inputs'!$H$24)&gt;0,IF(CY$4=EDATE('APA Inputs'!$C$24,'APA Inputs'!$H$24-1),N('APA Inputs'!$G$24),0),0))*IF('APA Inputs'!$I$24="",1,'APA Inputs'!$I$24))</f>
        <v>0</v>
      </c>
      <c r="CZ9" s="430" t="n">
        <f aca="false">IF('APA Inputs'!$C$24="",0,(IF(AND(CZ$4&gt;='APA Inputs'!$C$24,CZ$4&lt;EDATE('APA Inputs'!$C$24,N('APA Inputs'!$D$24))),'APA Inputs'!$J$24,0)+IF(N('APA Inputs'!$H$24)&gt;0,IF(CZ$4=EDATE('APA Inputs'!$C$24,'APA Inputs'!$H$24-1),N('APA Inputs'!$G$24),0),0))*IF('APA Inputs'!$I$24="",1,'APA Inputs'!$I$24))</f>
        <v>0</v>
      </c>
      <c r="DA9" s="430" t="n">
        <f aca="false">IF('APA Inputs'!$C$24="",0,(IF(AND(DA$4&gt;='APA Inputs'!$C$24,DA$4&lt;EDATE('APA Inputs'!$C$24,N('APA Inputs'!$D$24))),'APA Inputs'!$J$24,0)+IF(N('APA Inputs'!$H$24)&gt;0,IF(DA$4=EDATE('APA Inputs'!$C$24,'APA Inputs'!$H$24-1),N('APA Inputs'!$G$24),0),0))*IF('APA Inputs'!$I$24="",1,'APA Inputs'!$I$24))</f>
        <v>0</v>
      </c>
      <c r="DB9" s="430" t="n">
        <f aca="false">IF('APA Inputs'!$C$24="",0,(IF(AND(DB$4&gt;='APA Inputs'!$C$24,DB$4&lt;EDATE('APA Inputs'!$C$24,N('APA Inputs'!$D$24))),'APA Inputs'!$J$24,0)+IF(N('APA Inputs'!$H$24)&gt;0,IF(DB$4=EDATE('APA Inputs'!$C$24,'APA Inputs'!$H$24-1),N('APA Inputs'!$G$24),0),0))*IF('APA Inputs'!$I$24="",1,'APA Inputs'!$I$24))</f>
        <v>0</v>
      </c>
      <c r="DC9" s="430" t="n">
        <f aca="false">IF('APA Inputs'!$C$24="",0,(IF(AND(DC$4&gt;='APA Inputs'!$C$24,DC$4&lt;EDATE('APA Inputs'!$C$24,N('APA Inputs'!$D$24))),'APA Inputs'!$J$24,0)+IF(N('APA Inputs'!$H$24)&gt;0,IF(DC$4=EDATE('APA Inputs'!$C$24,'APA Inputs'!$H$24-1),N('APA Inputs'!$G$24),0),0))*IF('APA Inputs'!$I$24="",1,'APA Inputs'!$I$24))</f>
        <v>0</v>
      </c>
      <c r="DD9" s="430" t="n">
        <f aca="false">IF('APA Inputs'!$C$24="",0,(IF(AND(DD$4&gt;='APA Inputs'!$C$24,DD$4&lt;EDATE('APA Inputs'!$C$24,N('APA Inputs'!$D$24))),'APA Inputs'!$J$24,0)+IF(N('APA Inputs'!$H$24)&gt;0,IF(DD$4=EDATE('APA Inputs'!$C$24,'APA Inputs'!$H$24-1),N('APA Inputs'!$G$24),0),0))*IF('APA Inputs'!$I$24="",1,'APA Inputs'!$I$24))</f>
        <v>0</v>
      </c>
      <c r="DE9" s="430"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30" t="n">
        <f aca="false">IF('APA Inputs'!$C$25="",0,(IF(AND(B$4&gt;='APA Inputs'!$C$25,B$4&lt;EDATE('APA Inputs'!$C$25,N('APA Inputs'!$D$25))),'APA Inputs'!$J$25,0)+IF(N('APA Inputs'!$H$25)&gt;0,IF(B$4=EDATE('APA Inputs'!$C$25,'APA Inputs'!$H$25-1),N('APA Inputs'!$G$25),0),0))*IF('APA Inputs'!$I$25="",1,'APA Inputs'!$I$25))</f>
        <v>0</v>
      </c>
      <c r="C10" s="430" t="n">
        <f aca="false">IF('APA Inputs'!$C$25="",0,(IF(AND(C$4&gt;='APA Inputs'!$C$25,C$4&lt;EDATE('APA Inputs'!$C$25,N('APA Inputs'!$D$25))),'APA Inputs'!$J$25,0)+IF(N('APA Inputs'!$H$25)&gt;0,IF(C$4=EDATE('APA Inputs'!$C$25,'APA Inputs'!$H$25-1),N('APA Inputs'!$G$25),0),0))*IF('APA Inputs'!$I$25="",1,'APA Inputs'!$I$25))</f>
        <v>0</v>
      </c>
      <c r="D10" s="430" t="n">
        <f aca="false">IF('APA Inputs'!$C$25="",0,(IF(AND(D$4&gt;='APA Inputs'!$C$25,D$4&lt;EDATE('APA Inputs'!$C$25,N('APA Inputs'!$D$25))),'APA Inputs'!$J$25,0)+IF(N('APA Inputs'!$H$25)&gt;0,IF(D$4=EDATE('APA Inputs'!$C$25,'APA Inputs'!$H$25-1),N('APA Inputs'!$G$25),0),0))*IF('APA Inputs'!$I$25="",1,'APA Inputs'!$I$25))</f>
        <v>0</v>
      </c>
      <c r="E10" s="430" t="n">
        <f aca="false">IF('APA Inputs'!$C$25="",0,(IF(AND(E$4&gt;='APA Inputs'!$C$25,E$4&lt;EDATE('APA Inputs'!$C$25,N('APA Inputs'!$D$25))),'APA Inputs'!$J$25,0)+IF(N('APA Inputs'!$H$25)&gt;0,IF(E$4=EDATE('APA Inputs'!$C$25,'APA Inputs'!$H$25-1),N('APA Inputs'!$G$25),0),0))*IF('APA Inputs'!$I$25="",1,'APA Inputs'!$I$25))</f>
        <v>0</v>
      </c>
      <c r="F10" s="430" t="n">
        <f aca="false">IF('APA Inputs'!$C$25="",0,(IF(AND(F$4&gt;='APA Inputs'!$C$25,F$4&lt;EDATE('APA Inputs'!$C$25,N('APA Inputs'!$D$25))),'APA Inputs'!$J$25,0)+IF(N('APA Inputs'!$H$25)&gt;0,IF(F$4=EDATE('APA Inputs'!$C$25,'APA Inputs'!$H$25-1),N('APA Inputs'!$G$25),0),0))*IF('APA Inputs'!$I$25="",1,'APA Inputs'!$I$25))</f>
        <v>0</v>
      </c>
      <c r="G10" s="430" t="n">
        <f aca="false">IF('APA Inputs'!$C$25="",0,(IF(AND(G$4&gt;='APA Inputs'!$C$25,G$4&lt;EDATE('APA Inputs'!$C$25,N('APA Inputs'!$D$25))),'APA Inputs'!$J$25,0)+IF(N('APA Inputs'!$H$25)&gt;0,IF(G$4=EDATE('APA Inputs'!$C$25,'APA Inputs'!$H$25-1),N('APA Inputs'!$G$25),0),0))*IF('APA Inputs'!$I$25="",1,'APA Inputs'!$I$25))</f>
        <v>0</v>
      </c>
      <c r="H10" s="430" t="n">
        <f aca="false">IF('APA Inputs'!$C$25="",0,(IF(AND(H$4&gt;='APA Inputs'!$C$25,H$4&lt;EDATE('APA Inputs'!$C$25,N('APA Inputs'!$D$25))),'APA Inputs'!$J$25,0)+IF(N('APA Inputs'!$H$25)&gt;0,IF(H$4=EDATE('APA Inputs'!$C$25,'APA Inputs'!$H$25-1),N('APA Inputs'!$G$25),0),0))*IF('APA Inputs'!$I$25="",1,'APA Inputs'!$I$25))</f>
        <v>0</v>
      </c>
      <c r="I10" s="430" t="n">
        <f aca="false">IF('APA Inputs'!$C$25="",0,(IF(AND(I$4&gt;='APA Inputs'!$C$25,I$4&lt;EDATE('APA Inputs'!$C$25,N('APA Inputs'!$D$25))),'APA Inputs'!$J$25,0)+IF(N('APA Inputs'!$H$25)&gt;0,IF(I$4=EDATE('APA Inputs'!$C$25,'APA Inputs'!$H$25-1),N('APA Inputs'!$G$25),0),0))*IF('APA Inputs'!$I$25="",1,'APA Inputs'!$I$25))</f>
        <v>0</v>
      </c>
      <c r="J10" s="430" t="n">
        <f aca="false">IF('APA Inputs'!$C$25="",0,(IF(AND(J$4&gt;='APA Inputs'!$C$25,J$4&lt;EDATE('APA Inputs'!$C$25,N('APA Inputs'!$D$25))),'APA Inputs'!$J$25,0)+IF(N('APA Inputs'!$H$25)&gt;0,IF(J$4=EDATE('APA Inputs'!$C$25,'APA Inputs'!$H$25-1),N('APA Inputs'!$G$25),0),0))*IF('APA Inputs'!$I$25="",1,'APA Inputs'!$I$25))</f>
        <v>0</v>
      </c>
      <c r="K10" s="430" t="n">
        <f aca="false">IF('APA Inputs'!$C$25="",0,(IF(AND(K$4&gt;='APA Inputs'!$C$25,K$4&lt;EDATE('APA Inputs'!$C$25,N('APA Inputs'!$D$25))),'APA Inputs'!$J$25,0)+IF(N('APA Inputs'!$H$25)&gt;0,IF(K$4=EDATE('APA Inputs'!$C$25,'APA Inputs'!$H$25-1),N('APA Inputs'!$G$25),0),0))*IF('APA Inputs'!$I$25="",1,'APA Inputs'!$I$25))</f>
        <v>0</v>
      </c>
      <c r="L10" s="430" t="n">
        <f aca="false">IF('APA Inputs'!$C$25="",0,(IF(AND(L$4&gt;='APA Inputs'!$C$25,L$4&lt;EDATE('APA Inputs'!$C$25,N('APA Inputs'!$D$25))),'APA Inputs'!$J$25,0)+IF(N('APA Inputs'!$H$25)&gt;0,IF(L$4=EDATE('APA Inputs'!$C$25,'APA Inputs'!$H$25-1),N('APA Inputs'!$G$25),0),0))*IF('APA Inputs'!$I$25="",1,'APA Inputs'!$I$25))</f>
        <v>0</v>
      </c>
      <c r="M10" s="430" t="n">
        <f aca="false">IF('APA Inputs'!$C$25="",0,(IF(AND(M$4&gt;='APA Inputs'!$C$25,M$4&lt;EDATE('APA Inputs'!$C$25,N('APA Inputs'!$D$25))),'APA Inputs'!$J$25,0)+IF(N('APA Inputs'!$H$25)&gt;0,IF(M$4=EDATE('APA Inputs'!$C$25,'APA Inputs'!$H$25-1),N('APA Inputs'!$G$25),0),0))*IF('APA Inputs'!$I$25="",1,'APA Inputs'!$I$25))</f>
        <v>0</v>
      </c>
      <c r="N10" s="430" t="n">
        <f aca="false">IF('APA Inputs'!$C$25="",0,(IF(AND(N$4&gt;='APA Inputs'!$C$25,N$4&lt;EDATE('APA Inputs'!$C$25,N('APA Inputs'!$D$25))),'APA Inputs'!$J$25,0)+IF(N('APA Inputs'!$H$25)&gt;0,IF(N$4=EDATE('APA Inputs'!$C$25,'APA Inputs'!$H$25-1),N('APA Inputs'!$G$25),0),0))*IF('APA Inputs'!$I$25="",1,'APA Inputs'!$I$25))</f>
        <v>0</v>
      </c>
      <c r="O10" s="430" t="n">
        <f aca="false">IF('APA Inputs'!$C$25="",0,(IF(AND(O$4&gt;='APA Inputs'!$C$25,O$4&lt;EDATE('APA Inputs'!$C$25,N('APA Inputs'!$D$25))),'APA Inputs'!$J$25,0)+IF(N('APA Inputs'!$H$25)&gt;0,IF(O$4=EDATE('APA Inputs'!$C$25,'APA Inputs'!$H$25-1),N('APA Inputs'!$G$25),0),0))*IF('APA Inputs'!$I$25="",1,'APA Inputs'!$I$25))</f>
        <v>0</v>
      </c>
      <c r="P10" s="430" t="n">
        <f aca="false">IF('APA Inputs'!$C$25="",0,(IF(AND(P$4&gt;='APA Inputs'!$C$25,P$4&lt;EDATE('APA Inputs'!$C$25,N('APA Inputs'!$D$25))),'APA Inputs'!$J$25,0)+IF(N('APA Inputs'!$H$25)&gt;0,IF(P$4=EDATE('APA Inputs'!$C$25,'APA Inputs'!$H$25-1),N('APA Inputs'!$G$25),0),0))*IF('APA Inputs'!$I$25="",1,'APA Inputs'!$I$25))</f>
        <v>0</v>
      </c>
      <c r="Q10" s="430" t="n">
        <f aca="false">IF('APA Inputs'!$C$25="",0,(IF(AND(Q$4&gt;='APA Inputs'!$C$25,Q$4&lt;EDATE('APA Inputs'!$C$25,N('APA Inputs'!$D$25))),'APA Inputs'!$J$25,0)+IF(N('APA Inputs'!$H$25)&gt;0,IF(Q$4=EDATE('APA Inputs'!$C$25,'APA Inputs'!$H$25-1),N('APA Inputs'!$G$25),0),0))*IF('APA Inputs'!$I$25="",1,'APA Inputs'!$I$25))</f>
        <v>0</v>
      </c>
      <c r="R10" s="430" t="n">
        <f aca="false">IF('APA Inputs'!$C$25="",0,(IF(AND(R$4&gt;='APA Inputs'!$C$25,R$4&lt;EDATE('APA Inputs'!$C$25,N('APA Inputs'!$D$25))),'APA Inputs'!$J$25,0)+IF(N('APA Inputs'!$H$25)&gt;0,IF(R$4=EDATE('APA Inputs'!$C$25,'APA Inputs'!$H$25-1),N('APA Inputs'!$G$25),0),0))*IF('APA Inputs'!$I$25="",1,'APA Inputs'!$I$25))</f>
        <v>0</v>
      </c>
      <c r="S10" s="430" t="n">
        <f aca="false">IF('APA Inputs'!$C$25="",0,(IF(AND(S$4&gt;='APA Inputs'!$C$25,S$4&lt;EDATE('APA Inputs'!$C$25,N('APA Inputs'!$D$25))),'APA Inputs'!$J$25,0)+IF(N('APA Inputs'!$H$25)&gt;0,IF(S$4=EDATE('APA Inputs'!$C$25,'APA Inputs'!$H$25-1),N('APA Inputs'!$G$25),0),0))*IF('APA Inputs'!$I$25="",1,'APA Inputs'!$I$25))</f>
        <v>38888.8888888889</v>
      </c>
      <c r="T10" s="430" t="n">
        <f aca="false">IF('APA Inputs'!$C$25="",0,(IF(AND(T$4&gt;='APA Inputs'!$C$25,T$4&lt;EDATE('APA Inputs'!$C$25,N('APA Inputs'!$D$25))),'APA Inputs'!$J$25,0)+IF(N('APA Inputs'!$H$25)&gt;0,IF(T$4=EDATE('APA Inputs'!$C$25,'APA Inputs'!$H$25-1),N('APA Inputs'!$G$25),0),0))*IF('APA Inputs'!$I$25="",1,'APA Inputs'!$I$25))</f>
        <v>38888.8888888889</v>
      </c>
      <c r="U10" s="430" t="n">
        <f aca="false">IF('APA Inputs'!$C$25="",0,(IF(AND(U$4&gt;='APA Inputs'!$C$25,U$4&lt;EDATE('APA Inputs'!$C$25,N('APA Inputs'!$D$25))),'APA Inputs'!$J$25,0)+IF(N('APA Inputs'!$H$25)&gt;0,IF(U$4=EDATE('APA Inputs'!$C$25,'APA Inputs'!$H$25-1),N('APA Inputs'!$G$25),0),0))*IF('APA Inputs'!$I$25="",1,'APA Inputs'!$I$25))</f>
        <v>38888.8888888889</v>
      </c>
      <c r="V10" s="430" t="n">
        <f aca="false">IF('APA Inputs'!$C$25="",0,(IF(AND(V$4&gt;='APA Inputs'!$C$25,V$4&lt;EDATE('APA Inputs'!$C$25,N('APA Inputs'!$D$25))),'APA Inputs'!$J$25,0)+IF(N('APA Inputs'!$H$25)&gt;0,IF(V$4=EDATE('APA Inputs'!$C$25,'APA Inputs'!$H$25-1),N('APA Inputs'!$G$25),0),0))*IF('APA Inputs'!$I$25="",1,'APA Inputs'!$I$25))</f>
        <v>38888.8888888889</v>
      </c>
      <c r="W10" s="430" t="n">
        <f aca="false">IF('APA Inputs'!$C$25="",0,(IF(AND(W$4&gt;='APA Inputs'!$C$25,W$4&lt;EDATE('APA Inputs'!$C$25,N('APA Inputs'!$D$25))),'APA Inputs'!$J$25,0)+IF(N('APA Inputs'!$H$25)&gt;0,IF(W$4=EDATE('APA Inputs'!$C$25,'APA Inputs'!$H$25-1),N('APA Inputs'!$G$25),0),0))*IF('APA Inputs'!$I$25="",1,'APA Inputs'!$I$25))</f>
        <v>38888.8888888889</v>
      </c>
      <c r="X10" s="430" t="n">
        <f aca="false">IF('APA Inputs'!$C$25="",0,(IF(AND(X$4&gt;='APA Inputs'!$C$25,X$4&lt;EDATE('APA Inputs'!$C$25,N('APA Inputs'!$D$25))),'APA Inputs'!$J$25,0)+IF(N('APA Inputs'!$H$25)&gt;0,IF(X$4=EDATE('APA Inputs'!$C$25,'APA Inputs'!$H$25-1),N('APA Inputs'!$G$25),0),0))*IF('APA Inputs'!$I$25="",1,'APA Inputs'!$I$25))</f>
        <v>38888.8888888889</v>
      </c>
      <c r="Y10" s="430" t="n">
        <f aca="false">IF('APA Inputs'!$C$25="",0,(IF(AND(Y$4&gt;='APA Inputs'!$C$25,Y$4&lt;EDATE('APA Inputs'!$C$25,N('APA Inputs'!$D$25))),'APA Inputs'!$J$25,0)+IF(N('APA Inputs'!$H$25)&gt;0,IF(Y$4=EDATE('APA Inputs'!$C$25,'APA Inputs'!$H$25-1),N('APA Inputs'!$G$25),0),0))*IF('APA Inputs'!$I$25="",1,'APA Inputs'!$I$25))</f>
        <v>38888.8888888889</v>
      </c>
      <c r="Z10" s="430" t="n">
        <f aca="false">IF('APA Inputs'!$C$25="",0,(IF(AND(Z$4&gt;='APA Inputs'!$C$25,Z$4&lt;EDATE('APA Inputs'!$C$25,N('APA Inputs'!$D$25))),'APA Inputs'!$J$25,0)+IF(N('APA Inputs'!$H$25)&gt;0,IF(Z$4=EDATE('APA Inputs'!$C$25,'APA Inputs'!$H$25-1),N('APA Inputs'!$G$25),0),0))*IF('APA Inputs'!$I$25="",1,'APA Inputs'!$I$25))</f>
        <v>38888.8888888889</v>
      </c>
      <c r="AA10" s="430" t="n">
        <f aca="false">IF('APA Inputs'!$C$25="",0,(IF(AND(AA$4&gt;='APA Inputs'!$C$25,AA$4&lt;EDATE('APA Inputs'!$C$25,N('APA Inputs'!$D$25))),'APA Inputs'!$J$25,0)+IF(N('APA Inputs'!$H$25)&gt;0,IF(AA$4=EDATE('APA Inputs'!$C$25,'APA Inputs'!$H$25-1),N('APA Inputs'!$G$25),0),0))*IF('APA Inputs'!$I$25="",1,'APA Inputs'!$I$25))</f>
        <v>38888.8888888889</v>
      </c>
      <c r="AB10" s="430" t="n">
        <f aca="false">IF('APA Inputs'!$C$25="",0,(IF(AND(AB$4&gt;='APA Inputs'!$C$25,AB$4&lt;EDATE('APA Inputs'!$C$25,N('APA Inputs'!$D$25))),'APA Inputs'!$J$25,0)+IF(N('APA Inputs'!$H$25)&gt;0,IF(AB$4=EDATE('APA Inputs'!$C$25,'APA Inputs'!$H$25-1),N('APA Inputs'!$G$25),0),0))*IF('APA Inputs'!$I$25="",1,'APA Inputs'!$I$25))</f>
        <v>38888.8888888889</v>
      </c>
      <c r="AC10" s="430" t="n">
        <f aca="false">IF('APA Inputs'!$C$25="",0,(IF(AND(AC$4&gt;='APA Inputs'!$C$25,AC$4&lt;EDATE('APA Inputs'!$C$25,N('APA Inputs'!$D$25))),'APA Inputs'!$J$25,0)+IF(N('APA Inputs'!$H$25)&gt;0,IF(AC$4=EDATE('APA Inputs'!$C$25,'APA Inputs'!$H$25-1),N('APA Inputs'!$G$25),0),0))*IF('APA Inputs'!$I$25="",1,'APA Inputs'!$I$25))</f>
        <v>38888.8888888889</v>
      </c>
      <c r="AD10" s="430" t="n">
        <f aca="false">IF('APA Inputs'!$C$25="",0,(IF(AND(AD$4&gt;='APA Inputs'!$C$25,AD$4&lt;EDATE('APA Inputs'!$C$25,N('APA Inputs'!$D$25))),'APA Inputs'!$J$25,0)+IF(N('APA Inputs'!$H$25)&gt;0,IF(AD$4=EDATE('APA Inputs'!$C$25,'APA Inputs'!$H$25-1),N('APA Inputs'!$G$25),0),0))*IF('APA Inputs'!$I$25="",1,'APA Inputs'!$I$25))</f>
        <v>38888.8888888889</v>
      </c>
      <c r="AE10" s="430" t="n">
        <f aca="false">IF('APA Inputs'!$C$25="",0,(IF(AND(AE$4&gt;='APA Inputs'!$C$25,AE$4&lt;EDATE('APA Inputs'!$C$25,N('APA Inputs'!$D$25))),'APA Inputs'!$J$25,0)+IF(N('APA Inputs'!$H$25)&gt;0,IF(AE$4=EDATE('APA Inputs'!$C$25,'APA Inputs'!$H$25-1),N('APA Inputs'!$G$25),0),0))*IF('APA Inputs'!$I$25="",1,'APA Inputs'!$I$25))</f>
        <v>38888.8888888889</v>
      </c>
      <c r="AF10" s="430" t="n">
        <f aca="false">IF('APA Inputs'!$C$25="",0,(IF(AND(AF$4&gt;='APA Inputs'!$C$25,AF$4&lt;EDATE('APA Inputs'!$C$25,N('APA Inputs'!$D$25))),'APA Inputs'!$J$25,0)+IF(N('APA Inputs'!$H$25)&gt;0,IF(AF$4=EDATE('APA Inputs'!$C$25,'APA Inputs'!$H$25-1),N('APA Inputs'!$G$25),0),0))*IF('APA Inputs'!$I$25="",1,'APA Inputs'!$I$25))</f>
        <v>38888.8888888889</v>
      </c>
      <c r="AG10" s="430" t="n">
        <f aca="false">IF('APA Inputs'!$C$25="",0,(IF(AND(AG$4&gt;='APA Inputs'!$C$25,AG$4&lt;EDATE('APA Inputs'!$C$25,N('APA Inputs'!$D$25))),'APA Inputs'!$J$25,0)+IF(N('APA Inputs'!$H$25)&gt;0,IF(AG$4=EDATE('APA Inputs'!$C$25,'APA Inputs'!$H$25-1),N('APA Inputs'!$G$25),0),0))*IF('APA Inputs'!$I$25="",1,'APA Inputs'!$I$25))</f>
        <v>38888.8888888889</v>
      </c>
      <c r="AH10" s="430" t="n">
        <f aca="false">IF('APA Inputs'!$C$25="",0,(IF(AND(AH$4&gt;='APA Inputs'!$C$25,AH$4&lt;EDATE('APA Inputs'!$C$25,N('APA Inputs'!$D$25))),'APA Inputs'!$J$25,0)+IF(N('APA Inputs'!$H$25)&gt;0,IF(AH$4=EDATE('APA Inputs'!$C$25,'APA Inputs'!$H$25-1),N('APA Inputs'!$G$25),0),0))*IF('APA Inputs'!$I$25="",1,'APA Inputs'!$I$25))</f>
        <v>38888.8888888889</v>
      </c>
      <c r="AI10" s="430" t="n">
        <f aca="false">IF('APA Inputs'!$C$25="",0,(IF(AND(AI$4&gt;='APA Inputs'!$C$25,AI$4&lt;EDATE('APA Inputs'!$C$25,N('APA Inputs'!$D$25))),'APA Inputs'!$J$25,0)+IF(N('APA Inputs'!$H$25)&gt;0,IF(AI$4=EDATE('APA Inputs'!$C$25,'APA Inputs'!$H$25-1),N('APA Inputs'!$G$25),0),0))*IF('APA Inputs'!$I$25="",1,'APA Inputs'!$I$25))</f>
        <v>38888.8888888889</v>
      </c>
      <c r="AJ10" s="430" t="n">
        <f aca="false">IF('APA Inputs'!$C$25="",0,(IF(AND(AJ$4&gt;='APA Inputs'!$C$25,AJ$4&lt;EDATE('APA Inputs'!$C$25,N('APA Inputs'!$D$25))),'APA Inputs'!$J$25,0)+IF(N('APA Inputs'!$H$25)&gt;0,IF(AJ$4=EDATE('APA Inputs'!$C$25,'APA Inputs'!$H$25-1),N('APA Inputs'!$G$25),0),0))*IF('APA Inputs'!$I$25="",1,'APA Inputs'!$I$25))</f>
        <v>38888.8888888889</v>
      </c>
      <c r="AK10" s="430" t="n">
        <f aca="false">IF('APA Inputs'!$C$25="",0,(IF(AND(AK$4&gt;='APA Inputs'!$C$25,AK$4&lt;EDATE('APA Inputs'!$C$25,N('APA Inputs'!$D$25))),'APA Inputs'!$J$25,0)+IF(N('APA Inputs'!$H$25)&gt;0,IF(AK$4=EDATE('APA Inputs'!$C$25,'APA Inputs'!$H$25-1),N('APA Inputs'!$G$25),0),0))*IF('APA Inputs'!$I$25="",1,'APA Inputs'!$I$25))</f>
        <v>0</v>
      </c>
      <c r="AL10" s="430" t="n">
        <f aca="false">IF('APA Inputs'!$C$25="",0,(IF(AND(AL$4&gt;='APA Inputs'!$C$25,AL$4&lt;EDATE('APA Inputs'!$C$25,N('APA Inputs'!$D$25))),'APA Inputs'!$J$25,0)+IF(N('APA Inputs'!$H$25)&gt;0,IF(AL$4=EDATE('APA Inputs'!$C$25,'APA Inputs'!$H$25-1),N('APA Inputs'!$G$25),0),0))*IF('APA Inputs'!$I$25="",1,'APA Inputs'!$I$25))</f>
        <v>0</v>
      </c>
      <c r="AM10" s="430" t="n">
        <f aca="false">IF('APA Inputs'!$C$25="",0,(IF(AND(AM$4&gt;='APA Inputs'!$C$25,AM$4&lt;EDATE('APA Inputs'!$C$25,N('APA Inputs'!$D$25))),'APA Inputs'!$J$25,0)+IF(N('APA Inputs'!$H$25)&gt;0,IF(AM$4=EDATE('APA Inputs'!$C$25,'APA Inputs'!$H$25-1),N('APA Inputs'!$G$25),0),0))*IF('APA Inputs'!$I$25="",1,'APA Inputs'!$I$25))</f>
        <v>0</v>
      </c>
      <c r="AN10" s="430" t="n">
        <f aca="false">IF('APA Inputs'!$C$25="",0,(IF(AND(AN$4&gt;='APA Inputs'!$C$25,AN$4&lt;EDATE('APA Inputs'!$C$25,N('APA Inputs'!$D$25))),'APA Inputs'!$J$25,0)+IF(N('APA Inputs'!$H$25)&gt;0,IF(AN$4=EDATE('APA Inputs'!$C$25,'APA Inputs'!$H$25-1),N('APA Inputs'!$G$25),0),0))*IF('APA Inputs'!$I$25="",1,'APA Inputs'!$I$25))</f>
        <v>0</v>
      </c>
      <c r="AO10" s="430" t="n">
        <f aca="false">IF('APA Inputs'!$C$25="",0,(IF(AND(AO$4&gt;='APA Inputs'!$C$25,AO$4&lt;EDATE('APA Inputs'!$C$25,N('APA Inputs'!$D$25))),'APA Inputs'!$J$25,0)+IF(N('APA Inputs'!$H$25)&gt;0,IF(AO$4=EDATE('APA Inputs'!$C$25,'APA Inputs'!$H$25-1),N('APA Inputs'!$G$25),0),0))*IF('APA Inputs'!$I$25="",1,'APA Inputs'!$I$25))</f>
        <v>0</v>
      </c>
      <c r="AP10" s="430" t="n">
        <f aca="false">IF('APA Inputs'!$C$25="",0,(IF(AND(AP$4&gt;='APA Inputs'!$C$25,AP$4&lt;EDATE('APA Inputs'!$C$25,N('APA Inputs'!$D$25))),'APA Inputs'!$J$25,0)+IF(N('APA Inputs'!$H$25)&gt;0,IF(AP$4=EDATE('APA Inputs'!$C$25,'APA Inputs'!$H$25-1),N('APA Inputs'!$G$25),0),0))*IF('APA Inputs'!$I$25="",1,'APA Inputs'!$I$25))</f>
        <v>0</v>
      </c>
      <c r="AQ10" s="430" t="n">
        <f aca="false">IF('APA Inputs'!$C$25="",0,(IF(AND(AQ$4&gt;='APA Inputs'!$C$25,AQ$4&lt;EDATE('APA Inputs'!$C$25,N('APA Inputs'!$D$25))),'APA Inputs'!$J$25,0)+IF(N('APA Inputs'!$H$25)&gt;0,IF(AQ$4=EDATE('APA Inputs'!$C$25,'APA Inputs'!$H$25-1),N('APA Inputs'!$G$25),0),0))*IF('APA Inputs'!$I$25="",1,'APA Inputs'!$I$25))</f>
        <v>0</v>
      </c>
      <c r="AR10" s="430" t="n">
        <f aca="false">IF('APA Inputs'!$C$25="",0,(IF(AND(AR$4&gt;='APA Inputs'!$C$25,AR$4&lt;EDATE('APA Inputs'!$C$25,N('APA Inputs'!$D$25))),'APA Inputs'!$J$25,0)+IF(N('APA Inputs'!$H$25)&gt;0,IF(AR$4=EDATE('APA Inputs'!$C$25,'APA Inputs'!$H$25-1),N('APA Inputs'!$G$25),0),0))*IF('APA Inputs'!$I$25="",1,'APA Inputs'!$I$25))</f>
        <v>0</v>
      </c>
      <c r="AS10" s="430" t="n">
        <f aca="false">IF('APA Inputs'!$C$25="",0,(IF(AND(AS$4&gt;='APA Inputs'!$C$25,AS$4&lt;EDATE('APA Inputs'!$C$25,N('APA Inputs'!$D$25))),'APA Inputs'!$J$25,0)+IF(N('APA Inputs'!$H$25)&gt;0,IF(AS$4=EDATE('APA Inputs'!$C$25,'APA Inputs'!$H$25-1),N('APA Inputs'!$G$25),0),0))*IF('APA Inputs'!$I$25="",1,'APA Inputs'!$I$25))</f>
        <v>0</v>
      </c>
      <c r="AT10" s="430" t="n">
        <f aca="false">IF('APA Inputs'!$C$25="",0,(IF(AND(AT$4&gt;='APA Inputs'!$C$25,AT$4&lt;EDATE('APA Inputs'!$C$25,N('APA Inputs'!$D$25))),'APA Inputs'!$J$25,0)+IF(N('APA Inputs'!$H$25)&gt;0,IF(AT$4=EDATE('APA Inputs'!$C$25,'APA Inputs'!$H$25-1),N('APA Inputs'!$G$25),0),0))*IF('APA Inputs'!$I$25="",1,'APA Inputs'!$I$25))</f>
        <v>0</v>
      </c>
      <c r="AU10" s="430" t="n">
        <f aca="false">IF('APA Inputs'!$C$25="",0,(IF(AND(AU$4&gt;='APA Inputs'!$C$25,AU$4&lt;EDATE('APA Inputs'!$C$25,N('APA Inputs'!$D$25))),'APA Inputs'!$J$25,0)+IF(N('APA Inputs'!$H$25)&gt;0,IF(AU$4=EDATE('APA Inputs'!$C$25,'APA Inputs'!$H$25-1),N('APA Inputs'!$G$25),0),0))*IF('APA Inputs'!$I$25="",1,'APA Inputs'!$I$25))</f>
        <v>0</v>
      </c>
      <c r="AV10" s="430" t="n">
        <f aca="false">IF('APA Inputs'!$C$25="",0,(IF(AND(AV$4&gt;='APA Inputs'!$C$25,AV$4&lt;EDATE('APA Inputs'!$C$25,N('APA Inputs'!$D$25))),'APA Inputs'!$J$25,0)+IF(N('APA Inputs'!$H$25)&gt;0,IF(AV$4=EDATE('APA Inputs'!$C$25,'APA Inputs'!$H$25-1),N('APA Inputs'!$G$25),0),0))*IF('APA Inputs'!$I$25="",1,'APA Inputs'!$I$25))</f>
        <v>0</v>
      </c>
      <c r="AW10" s="430" t="n">
        <f aca="false">IF('APA Inputs'!$C$25="",0,(IF(AND(AW$4&gt;='APA Inputs'!$C$25,AW$4&lt;EDATE('APA Inputs'!$C$25,N('APA Inputs'!$D$25))),'APA Inputs'!$J$25,0)+IF(N('APA Inputs'!$H$25)&gt;0,IF(AW$4=EDATE('APA Inputs'!$C$25,'APA Inputs'!$H$25-1),N('APA Inputs'!$G$25),0),0))*IF('APA Inputs'!$I$25="",1,'APA Inputs'!$I$25))</f>
        <v>0</v>
      </c>
      <c r="AX10" s="430" t="n">
        <f aca="false">IF('APA Inputs'!$C$25="",0,(IF(AND(AX$4&gt;='APA Inputs'!$C$25,AX$4&lt;EDATE('APA Inputs'!$C$25,N('APA Inputs'!$D$25))),'APA Inputs'!$J$25,0)+IF(N('APA Inputs'!$H$25)&gt;0,IF(AX$4=EDATE('APA Inputs'!$C$25,'APA Inputs'!$H$25-1),N('APA Inputs'!$G$25),0),0))*IF('APA Inputs'!$I$25="",1,'APA Inputs'!$I$25))</f>
        <v>0</v>
      </c>
      <c r="AY10" s="430" t="n">
        <f aca="false">IF('APA Inputs'!$C$25="",0,(IF(AND(AY$4&gt;='APA Inputs'!$C$25,AY$4&lt;EDATE('APA Inputs'!$C$25,N('APA Inputs'!$D$25))),'APA Inputs'!$J$25,0)+IF(N('APA Inputs'!$H$25)&gt;0,IF(AY$4=EDATE('APA Inputs'!$C$25,'APA Inputs'!$H$25-1),N('APA Inputs'!$G$25),0),0))*IF('APA Inputs'!$I$25="",1,'APA Inputs'!$I$25))</f>
        <v>0</v>
      </c>
      <c r="AZ10" s="430" t="n">
        <f aca="false">IF('APA Inputs'!$C$25="",0,(IF(AND(AZ$4&gt;='APA Inputs'!$C$25,AZ$4&lt;EDATE('APA Inputs'!$C$25,N('APA Inputs'!$D$25))),'APA Inputs'!$J$25,0)+IF(N('APA Inputs'!$H$25)&gt;0,IF(AZ$4=EDATE('APA Inputs'!$C$25,'APA Inputs'!$H$25-1),N('APA Inputs'!$G$25),0),0))*IF('APA Inputs'!$I$25="",1,'APA Inputs'!$I$25))</f>
        <v>0</v>
      </c>
      <c r="BA10" s="430" t="n">
        <f aca="false">IF('APA Inputs'!$C$25="",0,(IF(AND(BA$4&gt;='APA Inputs'!$C$25,BA$4&lt;EDATE('APA Inputs'!$C$25,N('APA Inputs'!$D$25))),'APA Inputs'!$J$25,0)+IF(N('APA Inputs'!$H$25)&gt;0,IF(BA$4=EDATE('APA Inputs'!$C$25,'APA Inputs'!$H$25-1),N('APA Inputs'!$G$25),0),0))*IF('APA Inputs'!$I$25="",1,'APA Inputs'!$I$25))</f>
        <v>0</v>
      </c>
      <c r="BB10" s="430" t="n">
        <f aca="false">IF('APA Inputs'!$C$25="",0,(IF(AND(BB$4&gt;='APA Inputs'!$C$25,BB$4&lt;EDATE('APA Inputs'!$C$25,N('APA Inputs'!$D$25))),'APA Inputs'!$J$25,0)+IF(N('APA Inputs'!$H$25)&gt;0,IF(BB$4=EDATE('APA Inputs'!$C$25,'APA Inputs'!$H$25-1),N('APA Inputs'!$G$25),0),0))*IF('APA Inputs'!$I$25="",1,'APA Inputs'!$I$25))</f>
        <v>0</v>
      </c>
      <c r="BC10" s="430" t="n">
        <f aca="false">IF('APA Inputs'!$C$25="",0,(IF(AND(BC$4&gt;='APA Inputs'!$C$25,BC$4&lt;EDATE('APA Inputs'!$C$25,N('APA Inputs'!$D$25))),'APA Inputs'!$J$25,0)+IF(N('APA Inputs'!$H$25)&gt;0,IF(BC$4=EDATE('APA Inputs'!$C$25,'APA Inputs'!$H$25-1),N('APA Inputs'!$G$25),0),0))*IF('APA Inputs'!$I$25="",1,'APA Inputs'!$I$25))</f>
        <v>0</v>
      </c>
      <c r="BD10" s="430" t="n">
        <f aca="false">IF('APA Inputs'!$C$25="",0,(IF(AND(BD$4&gt;='APA Inputs'!$C$25,BD$4&lt;EDATE('APA Inputs'!$C$25,N('APA Inputs'!$D$25))),'APA Inputs'!$J$25,0)+IF(N('APA Inputs'!$H$25)&gt;0,IF(BD$4=EDATE('APA Inputs'!$C$25,'APA Inputs'!$H$25-1),N('APA Inputs'!$G$25),0),0))*IF('APA Inputs'!$I$25="",1,'APA Inputs'!$I$25))</f>
        <v>0</v>
      </c>
      <c r="BE10" s="430" t="n">
        <f aca="false">IF('APA Inputs'!$C$25="",0,(IF(AND(BE$4&gt;='APA Inputs'!$C$25,BE$4&lt;EDATE('APA Inputs'!$C$25,N('APA Inputs'!$D$25))),'APA Inputs'!$J$25,0)+IF(N('APA Inputs'!$H$25)&gt;0,IF(BE$4=EDATE('APA Inputs'!$C$25,'APA Inputs'!$H$25-1),N('APA Inputs'!$G$25),0),0))*IF('APA Inputs'!$I$25="",1,'APA Inputs'!$I$25))</f>
        <v>0</v>
      </c>
      <c r="BF10" s="430" t="n">
        <f aca="false">IF('APA Inputs'!$C$25="",0,(IF(AND(BF$4&gt;='APA Inputs'!$C$25,BF$4&lt;EDATE('APA Inputs'!$C$25,N('APA Inputs'!$D$25))),'APA Inputs'!$J$25,0)+IF(N('APA Inputs'!$H$25)&gt;0,IF(BF$4=EDATE('APA Inputs'!$C$25,'APA Inputs'!$H$25-1),N('APA Inputs'!$G$25),0),0))*IF('APA Inputs'!$I$25="",1,'APA Inputs'!$I$25))</f>
        <v>0</v>
      </c>
      <c r="BG10" s="430" t="n">
        <f aca="false">IF('APA Inputs'!$C$25="",0,(IF(AND(BG$4&gt;='APA Inputs'!$C$25,BG$4&lt;EDATE('APA Inputs'!$C$25,N('APA Inputs'!$D$25))),'APA Inputs'!$J$25,0)+IF(N('APA Inputs'!$H$25)&gt;0,IF(BG$4=EDATE('APA Inputs'!$C$25,'APA Inputs'!$H$25-1),N('APA Inputs'!$G$25),0),0))*IF('APA Inputs'!$I$25="",1,'APA Inputs'!$I$25))</f>
        <v>0</v>
      </c>
      <c r="BH10" s="430" t="n">
        <f aca="false">IF('APA Inputs'!$C$25="",0,(IF(AND(BH$4&gt;='APA Inputs'!$C$25,BH$4&lt;EDATE('APA Inputs'!$C$25,N('APA Inputs'!$D$25))),'APA Inputs'!$J$25,0)+IF(N('APA Inputs'!$H$25)&gt;0,IF(BH$4=EDATE('APA Inputs'!$C$25,'APA Inputs'!$H$25-1),N('APA Inputs'!$G$25),0),0))*IF('APA Inputs'!$I$25="",1,'APA Inputs'!$I$25))</f>
        <v>0</v>
      </c>
      <c r="BI10" s="430" t="n">
        <f aca="false">IF('APA Inputs'!$C$25="",0,(IF(AND(BI$4&gt;='APA Inputs'!$C$25,BI$4&lt;EDATE('APA Inputs'!$C$25,N('APA Inputs'!$D$25))),'APA Inputs'!$J$25,0)+IF(N('APA Inputs'!$H$25)&gt;0,IF(BI$4=EDATE('APA Inputs'!$C$25,'APA Inputs'!$H$25-1),N('APA Inputs'!$G$25),0),0))*IF('APA Inputs'!$I$25="",1,'APA Inputs'!$I$25))</f>
        <v>0</v>
      </c>
      <c r="BJ10" s="430" t="n">
        <f aca="false">IF('APA Inputs'!$C$25="",0,(IF(AND(BJ$4&gt;='APA Inputs'!$C$25,BJ$4&lt;EDATE('APA Inputs'!$C$25,N('APA Inputs'!$D$25))),'APA Inputs'!$J$25,0)+IF(N('APA Inputs'!$H$25)&gt;0,IF(BJ$4=EDATE('APA Inputs'!$C$25,'APA Inputs'!$H$25-1),N('APA Inputs'!$G$25),0),0))*IF('APA Inputs'!$I$25="",1,'APA Inputs'!$I$25))</f>
        <v>0</v>
      </c>
      <c r="BK10" s="430" t="n">
        <f aca="false">IF('APA Inputs'!$C$25="",0,(IF(AND(BK$4&gt;='APA Inputs'!$C$25,BK$4&lt;EDATE('APA Inputs'!$C$25,N('APA Inputs'!$D$25))),'APA Inputs'!$J$25,0)+IF(N('APA Inputs'!$H$25)&gt;0,IF(BK$4=EDATE('APA Inputs'!$C$25,'APA Inputs'!$H$25-1),N('APA Inputs'!$G$25),0),0))*IF('APA Inputs'!$I$25="",1,'APA Inputs'!$I$25))</f>
        <v>0</v>
      </c>
      <c r="BL10" s="430" t="n">
        <f aca="false">IF('APA Inputs'!$C$25="",0,(IF(AND(BL$4&gt;='APA Inputs'!$C$25,BL$4&lt;EDATE('APA Inputs'!$C$25,N('APA Inputs'!$D$25))),'APA Inputs'!$J$25,0)+IF(N('APA Inputs'!$H$25)&gt;0,IF(BL$4=EDATE('APA Inputs'!$C$25,'APA Inputs'!$H$25-1),N('APA Inputs'!$G$25),0),0))*IF('APA Inputs'!$I$25="",1,'APA Inputs'!$I$25))</f>
        <v>0</v>
      </c>
      <c r="BM10" s="430" t="n">
        <f aca="false">IF('APA Inputs'!$C$25="",0,(IF(AND(BM$4&gt;='APA Inputs'!$C$25,BM$4&lt;EDATE('APA Inputs'!$C$25,N('APA Inputs'!$D$25))),'APA Inputs'!$J$25,0)+IF(N('APA Inputs'!$H$25)&gt;0,IF(BM$4=EDATE('APA Inputs'!$C$25,'APA Inputs'!$H$25-1),N('APA Inputs'!$G$25),0),0))*IF('APA Inputs'!$I$25="",1,'APA Inputs'!$I$25))</f>
        <v>0</v>
      </c>
      <c r="BN10" s="430" t="n">
        <f aca="false">IF('APA Inputs'!$C$25="",0,(IF(AND(BN$4&gt;='APA Inputs'!$C$25,BN$4&lt;EDATE('APA Inputs'!$C$25,N('APA Inputs'!$D$25))),'APA Inputs'!$J$25,0)+IF(N('APA Inputs'!$H$25)&gt;0,IF(BN$4=EDATE('APA Inputs'!$C$25,'APA Inputs'!$H$25-1),N('APA Inputs'!$G$25),0),0))*IF('APA Inputs'!$I$25="",1,'APA Inputs'!$I$25))</f>
        <v>0</v>
      </c>
      <c r="BO10" s="430" t="n">
        <f aca="false">IF('APA Inputs'!$C$25="",0,(IF(AND(BO$4&gt;='APA Inputs'!$C$25,BO$4&lt;EDATE('APA Inputs'!$C$25,N('APA Inputs'!$D$25))),'APA Inputs'!$J$25,0)+IF(N('APA Inputs'!$H$25)&gt;0,IF(BO$4=EDATE('APA Inputs'!$C$25,'APA Inputs'!$H$25-1),N('APA Inputs'!$G$25),0),0))*IF('APA Inputs'!$I$25="",1,'APA Inputs'!$I$25))</f>
        <v>0</v>
      </c>
      <c r="BP10" s="430" t="n">
        <f aca="false">IF('APA Inputs'!$C$25="",0,(IF(AND(BP$4&gt;='APA Inputs'!$C$25,BP$4&lt;EDATE('APA Inputs'!$C$25,N('APA Inputs'!$D$25))),'APA Inputs'!$J$25,0)+IF(N('APA Inputs'!$H$25)&gt;0,IF(BP$4=EDATE('APA Inputs'!$C$25,'APA Inputs'!$H$25-1),N('APA Inputs'!$G$25),0),0))*IF('APA Inputs'!$I$25="",1,'APA Inputs'!$I$25))</f>
        <v>0</v>
      </c>
      <c r="BQ10" s="430" t="n">
        <f aca="false">IF('APA Inputs'!$C$25="",0,(IF(AND(BQ$4&gt;='APA Inputs'!$C$25,BQ$4&lt;EDATE('APA Inputs'!$C$25,N('APA Inputs'!$D$25))),'APA Inputs'!$J$25,0)+IF(N('APA Inputs'!$H$25)&gt;0,IF(BQ$4=EDATE('APA Inputs'!$C$25,'APA Inputs'!$H$25-1),N('APA Inputs'!$G$25),0),0))*IF('APA Inputs'!$I$25="",1,'APA Inputs'!$I$25))</f>
        <v>0</v>
      </c>
      <c r="BR10" s="430" t="n">
        <f aca="false">IF('APA Inputs'!$C$25="",0,(IF(AND(BR$4&gt;='APA Inputs'!$C$25,BR$4&lt;EDATE('APA Inputs'!$C$25,N('APA Inputs'!$D$25))),'APA Inputs'!$J$25,0)+IF(N('APA Inputs'!$H$25)&gt;0,IF(BR$4=EDATE('APA Inputs'!$C$25,'APA Inputs'!$H$25-1),N('APA Inputs'!$G$25),0),0))*IF('APA Inputs'!$I$25="",1,'APA Inputs'!$I$25))</f>
        <v>0</v>
      </c>
      <c r="BS10" s="430" t="n">
        <f aca="false">IF('APA Inputs'!$C$25="",0,(IF(AND(BS$4&gt;='APA Inputs'!$C$25,BS$4&lt;EDATE('APA Inputs'!$C$25,N('APA Inputs'!$D$25))),'APA Inputs'!$J$25,0)+IF(N('APA Inputs'!$H$25)&gt;0,IF(BS$4=EDATE('APA Inputs'!$C$25,'APA Inputs'!$H$25-1),N('APA Inputs'!$G$25),0),0))*IF('APA Inputs'!$I$25="",1,'APA Inputs'!$I$25))</f>
        <v>0</v>
      </c>
      <c r="BT10" s="430" t="n">
        <f aca="false">IF('APA Inputs'!$C$25="",0,(IF(AND(BT$4&gt;='APA Inputs'!$C$25,BT$4&lt;EDATE('APA Inputs'!$C$25,N('APA Inputs'!$D$25))),'APA Inputs'!$J$25,0)+IF(N('APA Inputs'!$H$25)&gt;0,IF(BT$4=EDATE('APA Inputs'!$C$25,'APA Inputs'!$H$25-1),N('APA Inputs'!$G$25),0),0))*IF('APA Inputs'!$I$25="",1,'APA Inputs'!$I$25))</f>
        <v>0</v>
      </c>
      <c r="BU10" s="430" t="n">
        <f aca="false">IF('APA Inputs'!$C$25="",0,(IF(AND(BU$4&gt;='APA Inputs'!$C$25,BU$4&lt;EDATE('APA Inputs'!$C$25,N('APA Inputs'!$D$25))),'APA Inputs'!$J$25,0)+IF(N('APA Inputs'!$H$25)&gt;0,IF(BU$4=EDATE('APA Inputs'!$C$25,'APA Inputs'!$H$25-1),N('APA Inputs'!$G$25),0),0))*IF('APA Inputs'!$I$25="",1,'APA Inputs'!$I$25))</f>
        <v>0</v>
      </c>
      <c r="BV10" s="430" t="n">
        <f aca="false">IF('APA Inputs'!$C$25="",0,(IF(AND(BV$4&gt;='APA Inputs'!$C$25,BV$4&lt;EDATE('APA Inputs'!$C$25,N('APA Inputs'!$D$25))),'APA Inputs'!$J$25,0)+IF(N('APA Inputs'!$H$25)&gt;0,IF(BV$4=EDATE('APA Inputs'!$C$25,'APA Inputs'!$H$25-1),N('APA Inputs'!$G$25),0),0))*IF('APA Inputs'!$I$25="",1,'APA Inputs'!$I$25))</f>
        <v>0</v>
      </c>
      <c r="BW10" s="430" t="n">
        <f aca="false">IF('APA Inputs'!$C$25="",0,(IF(AND(BW$4&gt;='APA Inputs'!$C$25,BW$4&lt;EDATE('APA Inputs'!$C$25,N('APA Inputs'!$D$25))),'APA Inputs'!$J$25,0)+IF(N('APA Inputs'!$H$25)&gt;0,IF(BW$4=EDATE('APA Inputs'!$C$25,'APA Inputs'!$H$25-1),N('APA Inputs'!$G$25),0),0))*IF('APA Inputs'!$I$25="",1,'APA Inputs'!$I$25))</f>
        <v>0</v>
      </c>
      <c r="BX10" s="430" t="n">
        <f aca="false">IF('APA Inputs'!$C$25="",0,(IF(AND(BX$4&gt;='APA Inputs'!$C$25,BX$4&lt;EDATE('APA Inputs'!$C$25,N('APA Inputs'!$D$25))),'APA Inputs'!$J$25,0)+IF(N('APA Inputs'!$H$25)&gt;0,IF(BX$4=EDATE('APA Inputs'!$C$25,'APA Inputs'!$H$25-1),N('APA Inputs'!$G$25),0),0))*IF('APA Inputs'!$I$25="",1,'APA Inputs'!$I$25))</f>
        <v>0</v>
      </c>
      <c r="BY10" s="430" t="n">
        <f aca="false">IF('APA Inputs'!$C$25="",0,(IF(AND(BY$4&gt;='APA Inputs'!$C$25,BY$4&lt;EDATE('APA Inputs'!$C$25,N('APA Inputs'!$D$25))),'APA Inputs'!$J$25,0)+IF(N('APA Inputs'!$H$25)&gt;0,IF(BY$4=EDATE('APA Inputs'!$C$25,'APA Inputs'!$H$25-1),N('APA Inputs'!$G$25),0),0))*IF('APA Inputs'!$I$25="",1,'APA Inputs'!$I$25))</f>
        <v>0</v>
      </c>
      <c r="BZ10" s="430" t="n">
        <f aca="false">IF('APA Inputs'!$C$25="",0,(IF(AND(BZ$4&gt;='APA Inputs'!$C$25,BZ$4&lt;EDATE('APA Inputs'!$C$25,N('APA Inputs'!$D$25))),'APA Inputs'!$J$25,0)+IF(N('APA Inputs'!$H$25)&gt;0,IF(BZ$4=EDATE('APA Inputs'!$C$25,'APA Inputs'!$H$25-1),N('APA Inputs'!$G$25),0),0))*IF('APA Inputs'!$I$25="",1,'APA Inputs'!$I$25))</f>
        <v>0</v>
      </c>
      <c r="CA10" s="430" t="n">
        <f aca="false">IF('APA Inputs'!$C$25="",0,(IF(AND(CA$4&gt;='APA Inputs'!$C$25,CA$4&lt;EDATE('APA Inputs'!$C$25,N('APA Inputs'!$D$25))),'APA Inputs'!$J$25,0)+IF(N('APA Inputs'!$H$25)&gt;0,IF(CA$4=EDATE('APA Inputs'!$C$25,'APA Inputs'!$H$25-1),N('APA Inputs'!$G$25),0),0))*IF('APA Inputs'!$I$25="",1,'APA Inputs'!$I$25))</f>
        <v>0</v>
      </c>
      <c r="CB10" s="430" t="n">
        <f aca="false">IF('APA Inputs'!$C$25="",0,(IF(AND(CB$4&gt;='APA Inputs'!$C$25,CB$4&lt;EDATE('APA Inputs'!$C$25,N('APA Inputs'!$D$25))),'APA Inputs'!$J$25,0)+IF(N('APA Inputs'!$H$25)&gt;0,IF(CB$4=EDATE('APA Inputs'!$C$25,'APA Inputs'!$H$25-1),N('APA Inputs'!$G$25),0),0))*IF('APA Inputs'!$I$25="",1,'APA Inputs'!$I$25))</f>
        <v>0</v>
      </c>
      <c r="CC10" s="430" t="n">
        <f aca="false">IF('APA Inputs'!$C$25="",0,(IF(AND(CC$4&gt;='APA Inputs'!$C$25,CC$4&lt;EDATE('APA Inputs'!$C$25,N('APA Inputs'!$D$25))),'APA Inputs'!$J$25,0)+IF(N('APA Inputs'!$H$25)&gt;0,IF(CC$4=EDATE('APA Inputs'!$C$25,'APA Inputs'!$H$25-1),N('APA Inputs'!$G$25),0),0))*IF('APA Inputs'!$I$25="",1,'APA Inputs'!$I$25))</f>
        <v>0</v>
      </c>
      <c r="CD10" s="430" t="n">
        <f aca="false">IF('APA Inputs'!$C$25="",0,(IF(AND(CD$4&gt;='APA Inputs'!$C$25,CD$4&lt;EDATE('APA Inputs'!$C$25,N('APA Inputs'!$D$25))),'APA Inputs'!$J$25,0)+IF(N('APA Inputs'!$H$25)&gt;0,IF(CD$4=EDATE('APA Inputs'!$C$25,'APA Inputs'!$H$25-1),N('APA Inputs'!$G$25),0),0))*IF('APA Inputs'!$I$25="",1,'APA Inputs'!$I$25))</f>
        <v>0</v>
      </c>
      <c r="CE10" s="430" t="n">
        <f aca="false">IF('APA Inputs'!$C$25="",0,(IF(AND(CE$4&gt;='APA Inputs'!$C$25,CE$4&lt;EDATE('APA Inputs'!$C$25,N('APA Inputs'!$D$25))),'APA Inputs'!$J$25,0)+IF(N('APA Inputs'!$H$25)&gt;0,IF(CE$4=EDATE('APA Inputs'!$C$25,'APA Inputs'!$H$25-1),N('APA Inputs'!$G$25),0),0))*IF('APA Inputs'!$I$25="",1,'APA Inputs'!$I$25))</f>
        <v>0</v>
      </c>
      <c r="CF10" s="430" t="n">
        <f aca="false">IF('APA Inputs'!$C$25="",0,(IF(AND(CF$4&gt;='APA Inputs'!$C$25,CF$4&lt;EDATE('APA Inputs'!$C$25,N('APA Inputs'!$D$25))),'APA Inputs'!$J$25,0)+IF(N('APA Inputs'!$H$25)&gt;0,IF(CF$4=EDATE('APA Inputs'!$C$25,'APA Inputs'!$H$25-1),N('APA Inputs'!$G$25),0),0))*IF('APA Inputs'!$I$25="",1,'APA Inputs'!$I$25))</f>
        <v>0</v>
      </c>
      <c r="CG10" s="430" t="n">
        <f aca="false">IF('APA Inputs'!$C$25="",0,(IF(AND(CG$4&gt;='APA Inputs'!$C$25,CG$4&lt;EDATE('APA Inputs'!$C$25,N('APA Inputs'!$D$25))),'APA Inputs'!$J$25,0)+IF(N('APA Inputs'!$H$25)&gt;0,IF(CG$4=EDATE('APA Inputs'!$C$25,'APA Inputs'!$H$25-1),N('APA Inputs'!$G$25),0),0))*IF('APA Inputs'!$I$25="",1,'APA Inputs'!$I$25))</f>
        <v>0</v>
      </c>
      <c r="CH10" s="430" t="n">
        <f aca="false">IF('APA Inputs'!$C$25="",0,(IF(AND(CH$4&gt;='APA Inputs'!$C$25,CH$4&lt;EDATE('APA Inputs'!$C$25,N('APA Inputs'!$D$25))),'APA Inputs'!$J$25,0)+IF(N('APA Inputs'!$H$25)&gt;0,IF(CH$4=EDATE('APA Inputs'!$C$25,'APA Inputs'!$H$25-1),N('APA Inputs'!$G$25),0),0))*IF('APA Inputs'!$I$25="",1,'APA Inputs'!$I$25))</f>
        <v>0</v>
      </c>
      <c r="CI10" s="430" t="n">
        <f aca="false">IF('APA Inputs'!$C$25="",0,(IF(AND(CI$4&gt;='APA Inputs'!$C$25,CI$4&lt;EDATE('APA Inputs'!$C$25,N('APA Inputs'!$D$25))),'APA Inputs'!$J$25,0)+IF(N('APA Inputs'!$H$25)&gt;0,IF(CI$4=EDATE('APA Inputs'!$C$25,'APA Inputs'!$H$25-1),N('APA Inputs'!$G$25),0),0))*IF('APA Inputs'!$I$25="",1,'APA Inputs'!$I$25))</f>
        <v>0</v>
      </c>
      <c r="CJ10" s="430" t="n">
        <f aca="false">IF('APA Inputs'!$C$25="",0,(IF(AND(CJ$4&gt;='APA Inputs'!$C$25,CJ$4&lt;EDATE('APA Inputs'!$C$25,N('APA Inputs'!$D$25))),'APA Inputs'!$J$25,0)+IF(N('APA Inputs'!$H$25)&gt;0,IF(CJ$4=EDATE('APA Inputs'!$C$25,'APA Inputs'!$H$25-1),N('APA Inputs'!$G$25),0),0))*IF('APA Inputs'!$I$25="",1,'APA Inputs'!$I$25))</f>
        <v>0</v>
      </c>
      <c r="CK10" s="430" t="n">
        <f aca="false">IF('APA Inputs'!$C$25="",0,(IF(AND(CK$4&gt;='APA Inputs'!$C$25,CK$4&lt;EDATE('APA Inputs'!$C$25,N('APA Inputs'!$D$25))),'APA Inputs'!$J$25,0)+IF(N('APA Inputs'!$H$25)&gt;0,IF(CK$4=EDATE('APA Inputs'!$C$25,'APA Inputs'!$H$25-1),N('APA Inputs'!$G$25),0),0))*IF('APA Inputs'!$I$25="",1,'APA Inputs'!$I$25))</f>
        <v>0</v>
      </c>
      <c r="CL10" s="430" t="n">
        <f aca="false">IF('APA Inputs'!$C$25="",0,(IF(AND(CL$4&gt;='APA Inputs'!$C$25,CL$4&lt;EDATE('APA Inputs'!$C$25,N('APA Inputs'!$D$25))),'APA Inputs'!$J$25,0)+IF(N('APA Inputs'!$H$25)&gt;0,IF(CL$4=EDATE('APA Inputs'!$C$25,'APA Inputs'!$H$25-1),N('APA Inputs'!$G$25),0),0))*IF('APA Inputs'!$I$25="",1,'APA Inputs'!$I$25))</f>
        <v>0</v>
      </c>
      <c r="CM10" s="430" t="n">
        <f aca="false">IF('APA Inputs'!$C$25="",0,(IF(AND(CM$4&gt;='APA Inputs'!$C$25,CM$4&lt;EDATE('APA Inputs'!$C$25,N('APA Inputs'!$D$25))),'APA Inputs'!$J$25,0)+IF(N('APA Inputs'!$H$25)&gt;0,IF(CM$4=EDATE('APA Inputs'!$C$25,'APA Inputs'!$H$25-1),N('APA Inputs'!$G$25),0),0))*IF('APA Inputs'!$I$25="",1,'APA Inputs'!$I$25))</f>
        <v>0</v>
      </c>
      <c r="CN10" s="430" t="n">
        <f aca="false">IF('APA Inputs'!$C$25="",0,(IF(AND(CN$4&gt;='APA Inputs'!$C$25,CN$4&lt;EDATE('APA Inputs'!$C$25,N('APA Inputs'!$D$25))),'APA Inputs'!$J$25,0)+IF(N('APA Inputs'!$H$25)&gt;0,IF(CN$4=EDATE('APA Inputs'!$C$25,'APA Inputs'!$H$25-1),N('APA Inputs'!$G$25),0),0))*IF('APA Inputs'!$I$25="",1,'APA Inputs'!$I$25))</f>
        <v>0</v>
      </c>
      <c r="CO10" s="430" t="n">
        <f aca="false">IF('APA Inputs'!$C$25="",0,(IF(AND(CO$4&gt;='APA Inputs'!$C$25,CO$4&lt;EDATE('APA Inputs'!$C$25,N('APA Inputs'!$D$25))),'APA Inputs'!$J$25,0)+IF(N('APA Inputs'!$H$25)&gt;0,IF(CO$4=EDATE('APA Inputs'!$C$25,'APA Inputs'!$H$25-1),N('APA Inputs'!$G$25),0),0))*IF('APA Inputs'!$I$25="",1,'APA Inputs'!$I$25))</f>
        <v>0</v>
      </c>
      <c r="CP10" s="430" t="n">
        <f aca="false">IF('APA Inputs'!$C$25="",0,(IF(AND(CP$4&gt;='APA Inputs'!$C$25,CP$4&lt;EDATE('APA Inputs'!$C$25,N('APA Inputs'!$D$25))),'APA Inputs'!$J$25,0)+IF(N('APA Inputs'!$H$25)&gt;0,IF(CP$4=EDATE('APA Inputs'!$C$25,'APA Inputs'!$H$25-1),N('APA Inputs'!$G$25),0),0))*IF('APA Inputs'!$I$25="",1,'APA Inputs'!$I$25))</f>
        <v>0</v>
      </c>
      <c r="CQ10" s="430" t="n">
        <f aca="false">IF('APA Inputs'!$C$25="",0,(IF(AND(CQ$4&gt;='APA Inputs'!$C$25,CQ$4&lt;EDATE('APA Inputs'!$C$25,N('APA Inputs'!$D$25))),'APA Inputs'!$J$25,0)+IF(N('APA Inputs'!$H$25)&gt;0,IF(CQ$4=EDATE('APA Inputs'!$C$25,'APA Inputs'!$H$25-1),N('APA Inputs'!$G$25),0),0))*IF('APA Inputs'!$I$25="",1,'APA Inputs'!$I$25))</f>
        <v>0</v>
      </c>
      <c r="CR10" s="430" t="n">
        <f aca="false">IF('APA Inputs'!$C$25="",0,(IF(AND(CR$4&gt;='APA Inputs'!$C$25,CR$4&lt;EDATE('APA Inputs'!$C$25,N('APA Inputs'!$D$25))),'APA Inputs'!$J$25,0)+IF(N('APA Inputs'!$H$25)&gt;0,IF(CR$4=EDATE('APA Inputs'!$C$25,'APA Inputs'!$H$25-1),N('APA Inputs'!$G$25),0),0))*IF('APA Inputs'!$I$25="",1,'APA Inputs'!$I$25))</f>
        <v>0</v>
      </c>
      <c r="CS10" s="430" t="n">
        <f aca="false">IF('APA Inputs'!$C$25="",0,(IF(AND(CS$4&gt;='APA Inputs'!$C$25,CS$4&lt;EDATE('APA Inputs'!$C$25,N('APA Inputs'!$D$25))),'APA Inputs'!$J$25,0)+IF(N('APA Inputs'!$H$25)&gt;0,IF(CS$4=EDATE('APA Inputs'!$C$25,'APA Inputs'!$H$25-1),N('APA Inputs'!$G$25),0),0))*IF('APA Inputs'!$I$25="",1,'APA Inputs'!$I$25))</f>
        <v>0</v>
      </c>
      <c r="CT10" s="430" t="n">
        <f aca="false">IF('APA Inputs'!$C$25="",0,(IF(AND(CT$4&gt;='APA Inputs'!$C$25,CT$4&lt;EDATE('APA Inputs'!$C$25,N('APA Inputs'!$D$25))),'APA Inputs'!$J$25,0)+IF(N('APA Inputs'!$H$25)&gt;0,IF(CT$4=EDATE('APA Inputs'!$C$25,'APA Inputs'!$H$25-1),N('APA Inputs'!$G$25),0),0))*IF('APA Inputs'!$I$25="",1,'APA Inputs'!$I$25))</f>
        <v>0</v>
      </c>
      <c r="CU10" s="430" t="n">
        <f aca="false">IF('APA Inputs'!$C$25="",0,(IF(AND(CU$4&gt;='APA Inputs'!$C$25,CU$4&lt;EDATE('APA Inputs'!$C$25,N('APA Inputs'!$D$25))),'APA Inputs'!$J$25,0)+IF(N('APA Inputs'!$H$25)&gt;0,IF(CU$4=EDATE('APA Inputs'!$C$25,'APA Inputs'!$H$25-1),N('APA Inputs'!$G$25),0),0))*IF('APA Inputs'!$I$25="",1,'APA Inputs'!$I$25))</f>
        <v>0</v>
      </c>
      <c r="CV10" s="430" t="n">
        <f aca="false">IF('APA Inputs'!$C$25="",0,(IF(AND(CV$4&gt;='APA Inputs'!$C$25,CV$4&lt;EDATE('APA Inputs'!$C$25,N('APA Inputs'!$D$25))),'APA Inputs'!$J$25,0)+IF(N('APA Inputs'!$H$25)&gt;0,IF(CV$4=EDATE('APA Inputs'!$C$25,'APA Inputs'!$H$25-1),N('APA Inputs'!$G$25),0),0))*IF('APA Inputs'!$I$25="",1,'APA Inputs'!$I$25))</f>
        <v>0</v>
      </c>
      <c r="CW10" s="430" t="n">
        <f aca="false">IF('APA Inputs'!$C$25="",0,(IF(AND(CW$4&gt;='APA Inputs'!$C$25,CW$4&lt;EDATE('APA Inputs'!$C$25,N('APA Inputs'!$D$25))),'APA Inputs'!$J$25,0)+IF(N('APA Inputs'!$H$25)&gt;0,IF(CW$4=EDATE('APA Inputs'!$C$25,'APA Inputs'!$H$25-1),N('APA Inputs'!$G$25),0),0))*IF('APA Inputs'!$I$25="",1,'APA Inputs'!$I$25))</f>
        <v>0</v>
      </c>
      <c r="CX10" s="430" t="n">
        <f aca="false">IF('APA Inputs'!$C$25="",0,(IF(AND(CX$4&gt;='APA Inputs'!$C$25,CX$4&lt;EDATE('APA Inputs'!$C$25,N('APA Inputs'!$D$25))),'APA Inputs'!$J$25,0)+IF(N('APA Inputs'!$H$25)&gt;0,IF(CX$4=EDATE('APA Inputs'!$C$25,'APA Inputs'!$H$25-1),N('APA Inputs'!$G$25),0),0))*IF('APA Inputs'!$I$25="",1,'APA Inputs'!$I$25))</f>
        <v>0</v>
      </c>
      <c r="CY10" s="430" t="n">
        <f aca="false">IF('APA Inputs'!$C$25="",0,(IF(AND(CY$4&gt;='APA Inputs'!$C$25,CY$4&lt;EDATE('APA Inputs'!$C$25,N('APA Inputs'!$D$25))),'APA Inputs'!$J$25,0)+IF(N('APA Inputs'!$H$25)&gt;0,IF(CY$4=EDATE('APA Inputs'!$C$25,'APA Inputs'!$H$25-1),N('APA Inputs'!$G$25),0),0))*IF('APA Inputs'!$I$25="",1,'APA Inputs'!$I$25))</f>
        <v>0</v>
      </c>
      <c r="CZ10" s="430" t="n">
        <f aca="false">IF('APA Inputs'!$C$25="",0,(IF(AND(CZ$4&gt;='APA Inputs'!$C$25,CZ$4&lt;EDATE('APA Inputs'!$C$25,N('APA Inputs'!$D$25))),'APA Inputs'!$J$25,0)+IF(N('APA Inputs'!$H$25)&gt;0,IF(CZ$4=EDATE('APA Inputs'!$C$25,'APA Inputs'!$H$25-1),N('APA Inputs'!$G$25),0),0))*IF('APA Inputs'!$I$25="",1,'APA Inputs'!$I$25))</f>
        <v>0</v>
      </c>
      <c r="DA10" s="430" t="n">
        <f aca="false">IF('APA Inputs'!$C$25="",0,(IF(AND(DA$4&gt;='APA Inputs'!$C$25,DA$4&lt;EDATE('APA Inputs'!$C$25,N('APA Inputs'!$D$25))),'APA Inputs'!$J$25,0)+IF(N('APA Inputs'!$H$25)&gt;0,IF(DA$4=EDATE('APA Inputs'!$C$25,'APA Inputs'!$H$25-1),N('APA Inputs'!$G$25),0),0))*IF('APA Inputs'!$I$25="",1,'APA Inputs'!$I$25))</f>
        <v>0</v>
      </c>
      <c r="DB10" s="430" t="n">
        <f aca="false">IF('APA Inputs'!$C$25="",0,(IF(AND(DB$4&gt;='APA Inputs'!$C$25,DB$4&lt;EDATE('APA Inputs'!$C$25,N('APA Inputs'!$D$25))),'APA Inputs'!$J$25,0)+IF(N('APA Inputs'!$H$25)&gt;0,IF(DB$4=EDATE('APA Inputs'!$C$25,'APA Inputs'!$H$25-1),N('APA Inputs'!$G$25),0),0))*IF('APA Inputs'!$I$25="",1,'APA Inputs'!$I$25))</f>
        <v>0</v>
      </c>
      <c r="DC10" s="430" t="n">
        <f aca="false">IF('APA Inputs'!$C$25="",0,(IF(AND(DC$4&gt;='APA Inputs'!$C$25,DC$4&lt;EDATE('APA Inputs'!$C$25,N('APA Inputs'!$D$25))),'APA Inputs'!$J$25,0)+IF(N('APA Inputs'!$H$25)&gt;0,IF(DC$4=EDATE('APA Inputs'!$C$25,'APA Inputs'!$H$25-1),N('APA Inputs'!$G$25),0),0))*IF('APA Inputs'!$I$25="",1,'APA Inputs'!$I$25))</f>
        <v>0</v>
      </c>
      <c r="DD10" s="430" t="n">
        <f aca="false">IF('APA Inputs'!$C$25="",0,(IF(AND(DD$4&gt;='APA Inputs'!$C$25,DD$4&lt;EDATE('APA Inputs'!$C$25,N('APA Inputs'!$D$25))),'APA Inputs'!$J$25,0)+IF(N('APA Inputs'!$H$25)&gt;0,IF(DD$4=EDATE('APA Inputs'!$C$25,'APA Inputs'!$H$25-1),N('APA Inputs'!$G$25),0),0))*IF('APA Inputs'!$I$25="",1,'APA Inputs'!$I$25))</f>
        <v>0</v>
      </c>
      <c r="DE10" s="430"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30" t="n">
        <f aca="false">IF('APA Inputs'!$C$26="",0,(IF(AND(B$4&gt;='APA Inputs'!$C$26,B$4&lt;EDATE('APA Inputs'!$C$26,N('APA Inputs'!$D$26))),'APA Inputs'!$J$26,0)+IF(N('APA Inputs'!$H$26)&gt;0,IF(B$4=EDATE('APA Inputs'!$C$26,'APA Inputs'!$H$26-1),N('APA Inputs'!$G$26),0),0))*IF('APA Inputs'!$I$26="",1,'APA Inputs'!$I$26))</f>
        <v>0</v>
      </c>
      <c r="C11" s="430" t="n">
        <f aca="false">IF('APA Inputs'!$C$26="",0,(IF(AND(C$4&gt;='APA Inputs'!$C$26,C$4&lt;EDATE('APA Inputs'!$C$26,N('APA Inputs'!$D$26))),'APA Inputs'!$J$26,0)+IF(N('APA Inputs'!$H$26)&gt;0,IF(C$4=EDATE('APA Inputs'!$C$26,'APA Inputs'!$H$26-1),N('APA Inputs'!$G$26),0),0))*IF('APA Inputs'!$I$26="",1,'APA Inputs'!$I$26))</f>
        <v>0</v>
      </c>
      <c r="D11" s="430" t="n">
        <f aca="false">IF('APA Inputs'!$C$26="",0,(IF(AND(D$4&gt;='APA Inputs'!$C$26,D$4&lt;EDATE('APA Inputs'!$C$26,N('APA Inputs'!$D$26))),'APA Inputs'!$J$26,0)+IF(N('APA Inputs'!$H$26)&gt;0,IF(D$4=EDATE('APA Inputs'!$C$26,'APA Inputs'!$H$26-1),N('APA Inputs'!$G$26),0),0))*IF('APA Inputs'!$I$26="",1,'APA Inputs'!$I$26))</f>
        <v>0</v>
      </c>
      <c r="E11" s="430" t="n">
        <f aca="false">IF('APA Inputs'!$C$26="",0,(IF(AND(E$4&gt;='APA Inputs'!$C$26,E$4&lt;EDATE('APA Inputs'!$C$26,N('APA Inputs'!$D$26))),'APA Inputs'!$J$26,0)+IF(N('APA Inputs'!$H$26)&gt;0,IF(E$4=EDATE('APA Inputs'!$C$26,'APA Inputs'!$H$26-1),N('APA Inputs'!$G$26),0),0))*IF('APA Inputs'!$I$26="",1,'APA Inputs'!$I$26))</f>
        <v>0</v>
      </c>
      <c r="F11" s="430" t="n">
        <f aca="false">IF('APA Inputs'!$C$26="",0,(IF(AND(F$4&gt;='APA Inputs'!$C$26,F$4&lt;EDATE('APA Inputs'!$C$26,N('APA Inputs'!$D$26))),'APA Inputs'!$J$26,0)+IF(N('APA Inputs'!$H$26)&gt;0,IF(F$4=EDATE('APA Inputs'!$C$26,'APA Inputs'!$H$26-1),N('APA Inputs'!$G$26),0),0))*IF('APA Inputs'!$I$26="",1,'APA Inputs'!$I$26))</f>
        <v>0</v>
      </c>
      <c r="G11" s="430" t="n">
        <f aca="false">IF('APA Inputs'!$C$26="",0,(IF(AND(G$4&gt;='APA Inputs'!$C$26,G$4&lt;EDATE('APA Inputs'!$C$26,N('APA Inputs'!$D$26))),'APA Inputs'!$J$26,0)+IF(N('APA Inputs'!$H$26)&gt;0,IF(G$4=EDATE('APA Inputs'!$C$26,'APA Inputs'!$H$26-1),N('APA Inputs'!$G$26),0),0))*IF('APA Inputs'!$I$26="",1,'APA Inputs'!$I$26))</f>
        <v>0</v>
      </c>
      <c r="H11" s="430" t="n">
        <f aca="false">IF('APA Inputs'!$C$26="",0,(IF(AND(H$4&gt;='APA Inputs'!$C$26,H$4&lt;EDATE('APA Inputs'!$C$26,N('APA Inputs'!$D$26))),'APA Inputs'!$J$26,0)+IF(N('APA Inputs'!$H$26)&gt;0,IF(H$4=EDATE('APA Inputs'!$C$26,'APA Inputs'!$H$26-1),N('APA Inputs'!$G$26),0),0))*IF('APA Inputs'!$I$26="",1,'APA Inputs'!$I$26))</f>
        <v>0</v>
      </c>
      <c r="I11" s="430" t="n">
        <f aca="false">IF('APA Inputs'!$C$26="",0,(IF(AND(I$4&gt;='APA Inputs'!$C$26,I$4&lt;EDATE('APA Inputs'!$C$26,N('APA Inputs'!$D$26))),'APA Inputs'!$J$26,0)+IF(N('APA Inputs'!$H$26)&gt;0,IF(I$4=EDATE('APA Inputs'!$C$26,'APA Inputs'!$H$26-1),N('APA Inputs'!$G$26),0),0))*IF('APA Inputs'!$I$26="",1,'APA Inputs'!$I$26))</f>
        <v>0</v>
      </c>
      <c r="J11" s="430" t="n">
        <f aca="false">IF('APA Inputs'!$C$26="",0,(IF(AND(J$4&gt;='APA Inputs'!$C$26,J$4&lt;EDATE('APA Inputs'!$C$26,N('APA Inputs'!$D$26))),'APA Inputs'!$J$26,0)+IF(N('APA Inputs'!$H$26)&gt;0,IF(J$4=EDATE('APA Inputs'!$C$26,'APA Inputs'!$H$26-1),N('APA Inputs'!$G$26),0),0))*IF('APA Inputs'!$I$26="",1,'APA Inputs'!$I$26))</f>
        <v>0</v>
      </c>
      <c r="K11" s="430" t="n">
        <f aca="false">IF('APA Inputs'!$C$26="",0,(IF(AND(K$4&gt;='APA Inputs'!$C$26,K$4&lt;EDATE('APA Inputs'!$C$26,N('APA Inputs'!$D$26))),'APA Inputs'!$J$26,0)+IF(N('APA Inputs'!$H$26)&gt;0,IF(K$4=EDATE('APA Inputs'!$C$26,'APA Inputs'!$H$26-1),N('APA Inputs'!$G$26),0),0))*IF('APA Inputs'!$I$26="",1,'APA Inputs'!$I$26))</f>
        <v>0</v>
      </c>
      <c r="L11" s="430" t="n">
        <f aca="false">IF('APA Inputs'!$C$26="",0,(IF(AND(L$4&gt;='APA Inputs'!$C$26,L$4&lt;EDATE('APA Inputs'!$C$26,N('APA Inputs'!$D$26))),'APA Inputs'!$J$26,0)+IF(N('APA Inputs'!$H$26)&gt;0,IF(L$4=EDATE('APA Inputs'!$C$26,'APA Inputs'!$H$26-1),N('APA Inputs'!$G$26),0),0))*IF('APA Inputs'!$I$26="",1,'APA Inputs'!$I$26))</f>
        <v>0</v>
      </c>
      <c r="M11" s="430" t="n">
        <f aca="false">IF('APA Inputs'!$C$26="",0,(IF(AND(M$4&gt;='APA Inputs'!$C$26,M$4&lt;EDATE('APA Inputs'!$C$26,N('APA Inputs'!$D$26))),'APA Inputs'!$J$26,0)+IF(N('APA Inputs'!$H$26)&gt;0,IF(M$4=EDATE('APA Inputs'!$C$26,'APA Inputs'!$H$26-1),N('APA Inputs'!$G$26),0),0))*IF('APA Inputs'!$I$26="",1,'APA Inputs'!$I$26))</f>
        <v>0</v>
      </c>
      <c r="N11" s="430" t="n">
        <f aca="false">IF('APA Inputs'!$C$26="",0,(IF(AND(N$4&gt;='APA Inputs'!$C$26,N$4&lt;EDATE('APA Inputs'!$C$26,N('APA Inputs'!$D$26))),'APA Inputs'!$J$26,0)+IF(N('APA Inputs'!$H$26)&gt;0,IF(N$4=EDATE('APA Inputs'!$C$26,'APA Inputs'!$H$26-1),N('APA Inputs'!$G$26),0),0))*IF('APA Inputs'!$I$26="",1,'APA Inputs'!$I$26))</f>
        <v>0</v>
      </c>
      <c r="O11" s="430" t="n">
        <f aca="false">IF('APA Inputs'!$C$26="",0,(IF(AND(O$4&gt;='APA Inputs'!$C$26,O$4&lt;EDATE('APA Inputs'!$C$26,N('APA Inputs'!$D$26))),'APA Inputs'!$J$26,0)+IF(N('APA Inputs'!$H$26)&gt;0,IF(O$4=EDATE('APA Inputs'!$C$26,'APA Inputs'!$H$26-1),N('APA Inputs'!$G$26),0),0))*IF('APA Inputs'!$I$26="",1,'APA Inputs'!$I$26))</f>
        <v>0</v>
      </c>
      <c r="P11" s="430" t="n">
        <f aca="false">IF('APA Inputs'!$C$26="",0,(IF(AND(P$4&gt;='APA Inputs'!$C$26,P$4&lt;EDATE('APA Inputs'!$C$26,N('APA Inputs'!$D$26))),'APA Inputs'!$J$26,0)+IF(N('APA Inputs'!$H$26)&gt;0,IF(P$4=EDATE('APA Inputs'!$C$26,'APA Inputs'!$H$26-1),N('APA Inputs'!$G$26),0),0))*IF('APA Inputs'!$I$26="",1,'APA Inputs'!$I$26))</f>
        <v>0</v>
      </c>
      <c r="Q11" s="430" t="n">
        <f aca="false">IF('APA Inputs'!$C$26="",0,(IF(AND(Q$4&gt;='APA Inputs'!$C$26,Q$4&lt;EDATE('APA Inputs'!$C$26,N('APA Inputs'!$D$26))),'APA Inputs'!$J$26,0)+IF(N('APA Inputs'!$H$26)&gt;0,IF(Q$4=EDATE('APA Inputs'!$C$26,'APA Inputs'!$H$26-1),N('APA Inputs'!$G$26),0),0))*IF('APA Inputs'!$I$26="",1,'APA Inputs'!$I$26))</f>
        <v>0</v>
      </c>
      <c r="R11" s="430" t="n">
        <f aca="false">IF('APA Inputs'!$C$26="",0,(IF(AND(R$4&gt;='APA Inputs'!$C$26,R$4&lt;EDATE('APA Inputs'!$C$26,N('APA Inputs'!$D$26))),'APA Inputs'!$J$26,0)+IF(N('APA Inputs'!$H$26)&gt;0,IF(R$4=EDATE('APA Inputs'!$C$26,'APA Inputs'!$H$26-1),N('APA Inputs'!$G$26),0),0))*IF('APA Inputs'!$I$26="",1,'APA Inputs'!$I$26))</f>
        <v>0</v>
      </c>
      <c r="S11" s="430" t="n">
        <f aca="false">IF('APA Inputs'!$C$26="",0,(IF(AND(S$4&gt;='APA Inputs'!$C$26,S$4&lt;EDATE('APA Inputs'!$C$26,N('APA Inputs'!$D$26))),'APA Inputs'!$J$26,0)+IF(N('APA Inputs'!$H$26)&gt;0,IF(S$4=EDATE('APA Inputs'!$C$26,'APA Inputs'!$H$26-1),N('APA Inputs'!$G$26),0),0))*IF('APA Inputs'!$I$26="",1,'APA Inputs'!$I$26))</f>
        <v>0</v>
      </c>
      <c r="T11" s="430" t="n">
        <f aca="false">IF('APA Inputs'!$C$26="",0,(IF(AND(T$4&gt;='APA Inputs'!$C$26,T$4&lt;EDATE('APA Inputs'!$C$26,N('APA Inputs'!$D$26))),'APA Inputs'!$J$26,0)+IF(N('APA Inputs'!$H$26)&gt;0,IF(T$4=EDATE('APA Inputs'!$C$26,'APA Inputs'!$H$26-1),N('APA Inputs'!$G$26),0),0))*IF('APA Inputs'!$I$26="",1,'APA Inputs'!$I$26))</f>
        <v>0</v>
      </c>
      <c r="U11" s="430" t="n">
        <f aca="false">IF('APA Inputs'!$C$26="",0,(IF(AND(U$4&gt;='APA Inputs'!$C$26,U$4&lt;EDATE('APA Inputs'!$C$26,N('APA Inputs'!$D$26))),'APA Inputs'!$J$26,0)+IF(N('APA Inputs'!$H$26)&gt;0,IF(U$4=EDATE('APA Inputs'!$C$26,'APA Inputs'!$H$26-1),N('APA Inputs'!$G$26),0),0))*IF('APA Inputs'!$I$26="",1,'APA Inputs'!$I$26))</f>
        <v>0</v>
      </c>
      <c r="V11" s="430" t="n">
        <f aca="false">IF('APA Inputs'!$C$26="",0,(IF(AND(V$4&gt;='APA Inputs'!$C$26,V$4&lt;EDATE('APA Inputs'!$C$26,N('APA Inputs'!$D$26))),'APA Inputs'!$J$26,0)+IF(N('APA Inputs'!$H$26)&gt;0,IF(V$4=EDATE('APA Inputs'!$C$26,'APA Inputs'!$H$26-1),N('APA Inputs'!$G$26),0),0))*IF('APA Inputs'!$I$26="",1,'APA Inputs'!$I$26))</f>
        <v>0</v>
      </c>
      <c r="W11" s="430" t="n">
        <f aca="false">IF('APA Inputs'!$C$26="",0,(IF(AND(W$4&gt;='APA Inputs'!$C$26,W$4&lt;EDATE('APA Inputs'!$C$26,N('APA Inputs'!$D$26))),'APA Inputs'!$J$26,0)+IF(N('APA Inputs'!$H$26)&gt;0,IF(W$4=EDATE('APA Inputs'!$C$26,'APA Inputs'!$H$26-1),N('APA Inputs'!$G$26),0),0))*IF('APA Inputs'!$I$26="",1,'APA Inputs'!$I$26))</f>
        <v>0</v>
      </c>
      <c r="X11" s="430" t="n">
        <f aca="false">IF('APA Inputs'!$C$26="",0,(IF(AND(X$4&gt;='APA Inputs'!$C$26,X$4&lt;EDATE('APA Inputs'!$C$26,N('APA Inputs'!$D$26))),'APA Inputs'!$J$26,0)+IF(N('APA Inputs'!$H$26)&gt;0,IF(X$4=EDATE('APA Inputs'!$C$26,'APA Inputs'!$H$26-1),N('APA Inputs'!$G$26),0),0))*IF('APA Inputs'!$I$26="",1,'APA Inputs'!$I$26))</f>
        <v>0</v>
      </c>
      <c r="Y11" s="430" t="n">
        <f aca="false">IF('APA Inputs'!$C$26="",0,(IF(AND(Y$4&gt;='APA Inputs'!$C$26,Y$4&lt;EDATE('APA Inputs'!$C$26,N('APA Inputs'!$D$26))),'APA Inputs'!$J$26,0)+IF(N('APA Inputs'!$H$26)&gt;0,IF(Y$4=EDATE('APA Inputs'!$C$26,'APA Inputs'!$H$26-1),N('APA Inputs'!$G$26),0),0))*IF('APA Inputs'!$I$26="",1,'APA Inputs'!$I$26))</f>
        <v>0</v>
      </c>
      <c r="Z11" s="430" t="n">
        <f aca="false">IF('APA Inputs'!$C$26="",0,(IF(AND(Z$4&gt;='APA Inputs'!$C$26,Z$4&lt;EDATE('APA Inputs'!$C$26,N('APA Inputs'!$D$26))),'APA Inputs'!$J$26,0)+IF(N('APA Inputs'!$H$26)&gt;0,IF(Z$4=EDATE('APA Inputs'!$C$26,'APA Inputs'!$H$26-1),N('APA Inputs'!$G$26),0),0))*IF('APA Inputs'!$I$26="",1,'APA Inputs'!$I$26))</f>
        <v>0</v>
      </c>
      <c r="AA11" s="430" t="n">
        <f aca="false">IF('APA Inputs'!$C$26="",0,(IF(AND(AA$4&gt;='APA Inputs'!$C$26,AA$4&lt;EDATE('APA Inputs'!$C$26,N('APA Inputs'!$D$26))),'APA Inputs'!$J$26,0)+IF(N('APA Inputs'!$H$26)&gt;0,IF(AA$4=EDATE('APA Inputs'!$C$26,'APA Inputs'!$H$26-1),N('APA Inputs'!$G$26),0),0))*IF('APA Inputs'!$I$26="",1,'APA Inputs'!$I$26))</f>
        <v>0</v>
      </c>
      <c r="AB11" s="430" t="n">
        <f aca="false">IF('APA Inputs'!$C$26="",0,(IF(AND(AB$4&gt;='APA Inputs'!$C$26,AB$4&lt;EDATE('APA Inputs'!$C$26,N('APA Inputs'!$D$26))),'APA Inputs'!$J$26,0)+IF(N('APA Inputs'!$H$26)&gt;0,IF(AB$4=EDATE('APA Inputs'!$C$26,'APA Inputs'!$H$26-1),N('APA Inputs'!$G$26),0),0))*IF('APA Inputs'!$I$26="",1,'APA Inputs'!$I$26))</f>
        <v>0</v>
      </c>
      <c r="AC11" s="430" t="n">
        <f aca="false">IF('APA Inputs'!$C$26="",0,(IF(AND(AC$4&gt;='APA Inputs'!$C$26,AC$4&lt;EDATE('APA Inputs'!$C$26,N('APA Inputs'!$D$26))),'APA Inputs'!$J$26,0)+IF(N('APA Inputs'!$H$26)&gt;0,IF(AC$4=EDATE('APA Inputs'!$C$26,'APA Inputs'!$H$26-1),N('APA Inputs'!$G$26),0),0))*IF('APA Inputs'!$I$26="",1,'APA Inputs'!$I$26))</f>
        <v>0</v>
      </c>
      <c r="AD11" s="430" t="n">
        <f aca="false">IF('APA Inputs'!$C$26="",0,(IF(AND(AD$4&gt;='APA Inputs'!$C$26,AD$4&lt;EDATE('APA Inputs'!$C$26,N('APA Inputs'!$D$26))),'APA Inputs'!$J$26,0)+IF(N('APA Inputs'!$H$26)&gt;0,IF(AD$4=EDATE('APA Inputs'!$C$26,'APA Inputs'!$H$26-1),N('APA Inputs'!$G$26),0),0))*IF('APA Inputs'!$I$26="",1,'APA Inputs'!$I$26))</f>
        <v>0</v>
      </c>
      <c r="AE11" s="430" t="n">
        <f aca="false">IF('APA Inputs'!$C$26="",0,(IF(AND(AE$4&gt;='APA Inputs'!$C$26,AE$4&lt;EDATE('APA Inputs'!$C$26,N('APA Inputs'!$D$26))),'APA Inputs'!$J$26,0)+IF(N('APA Inputs'!$H$26)&gt;0,IF(AE$4=EDATE('APA Inputs'!$C$26,'APA Inputs'!$H$26-1),N('APA Inputs'!$G$26),0),0))*IF('APA Inputs'!$I$26="",1,'APA Inputs'!$I$26))</f>
        <v>0</v>
      </c>
      <c r="AF11" s="430" t="n">
        <f aca="false">IF('APA Inputs'!$C$26="",0,(IF(AND(AF$4&gt;='APA Inputs'!$C$26,AF$4&lt;EDATE('APA Inputs'!$C$26,N('APA Inputs'!$D$26))),'APA Inputs'!$J$26,0)+IF(N('APA Inputs'!$H$26)&gt;0,IF(AF$4=EDATE('APA Inputs'!$C$26,'APA Inputs'!$H$26-1),N('APA Inputs'!$G$26),0),0))*IF('APA Inputs'!$I$26="",1,'APA Inputs'!$I$26))</f>
        <v>0</v>
      </c>
      <c r="AG11" s="430" t="n">
        <f aca="false">IF('APA Inputs'!$C$26="",0,(IF(AND(AG$4&gt;='APA Inputs'!$C$26,AG$4&lt;EDATE('APA Inputs'!$C$26,N('APA Inputs'!$D$26))),'APA Inputs'!$J$26,0)+IF(N('APA Inputs'!$H$26)&gt;0,IF(AG$4=EDATE('APA Inputs'!$C$26,'APA Inputs'!$H$26-1),N('APA Inputs'!$G$26),0),0))*IF('APA Inputs'!$I$26="",1,'APA Inputs'!$I$26))</f>
        <v>0</v>
      </c>
      <c r="AH11" s="430" t="n">
        <f aca="false">IF('APA Inputs'!$C$26="",0,(IF(AND(AH$4&gt;='APA Inputs'!$C$26,AH$4&lt;EDATE('APA Inputs'!$C$26,N('APA Inputs'!$D$26))),'APA Inputs'!$J$26,0)+IF(N('APA Inputs'!$H$26)&gt;0,IF(AH$4=EDATE('APA Inputs'!$C$26,'APA Inputs'!$H$26-1),N('APA Inputs'!$G$26),0),0))*IF('APA Inputs'!$I$26="",1,'APA Inputs'!$I$26))</f>
        <v>0</v>
      </c>
      <c r="AI11" s="430" t="n">
        <f aca="false">IF('APA Inputs'!$C$26="",0,(IF(AND(AI$4&gt;='APA Inputs'!$C$26,AI$4&lt;EDATE('APA Inputs'!$C$26,N('APA Inputs'!$D$26))),'APA Inputs'!$J$26,0)+IF(N('APA Inputs'!$H$26)&gt;0,IF(AI$4=EDATE('APA Inputs'!$C$26,'APA Inputs'!$H$26-1),N('APA Inputs'!$G$26),0),0))*IF('APA Inputs'!$I$26="",1,'APA Inputs'!$I$26))</f>
        <v>0</v>
      </c>
      <c r="AJ11" s="430" t="n">
        <f aca="false">IF('APA Inputs'!$C$26="",0,(IF(AND(AJ$4&gt;='APA Inputs'!$C$26,AJ$4&lt;EDATE('APA Inputs'!$C$26,N('APA Inputs'!$D$26))),'APA Inputs'!$J$26,0)+IF(N('APA Inputs'!$H$26)&gt;0,IF(AJ$4=EDATE('APA Inputs'!$C$26,'APA Inputs'!$H$26-1),N('APA Inputs'!$G$26),0),0))*IF('APA Inputs'!$I$26="",1,'APA Inputs'!$I$26))</f>
        <v>0</v>
      </c>
      <c r="AK11" s="430" t="n">
        <f aca="false">IF('APA Inputs'!$C$26="",0,(IF(AND(AK$4&gt;='APA Inputs'!$C$26,AK$4&lt;EDATE('APA Inputs'!$C$26,N('APA Inputs'!$D$26))),'APA Inputs'!$J$26,0)+IF(N('APA Inputs'!$H$26)&gt;0,IF(AK$4=EDATE('APA Inputs'!$C$26,'APA Inputs'!$H$26-1),N('APA Inputs'!$G$26),0),0))*IF('APA Inputs'!$I$26="",1,'APA Inputs'!$I$26))</f>
        <v>0</v>
      </c>
      <c r="AL11" s="430" t="n">
        <f aca="false">IF('APA Inputs'!$C$26="",0,(IF(AND(AL$4&gt;='APA Inputs'!$C$26,AL$4&lt;EDATE('APA Inputs'!$C$26,N('APA Inputs'!$D$26))),'APA Inputs'!$J$26,0)+IF(N('APA Inputs'!$H$26)&gt;0,IF(AL$4=EDATE('APA Inputs'!$C$26,'APA Inputs'!$H$26-1),N('APA Inputs'!$G$26),0),0))*IF('APA Inputs'!$I$26="",1,'APA Inputs'!$I$26))</f>
        <v>0</v>
      </c>
      <c r="AM11" s="430" t="n">
        <f aca="false">IF('APA Inputs'!$C$26="",0,(IF(AND(AM$4&gt;='APA Inputs'!$C$26,AM$4&lt;EDATE('APA Inputs'!$C$26,N('APA Inputs'!$D$26))),'APA Inputs'!$J$26,0)+IF(N('APA Inputs'!$H$26)&gt;0,IF(AM$4=EDATE('APA Inputs'!$C$26,'APA Inputs'!$H$26-1),N('APA Inputs'!$G$26),0),0))*IF('APA Inputs'!$I$26="",1,'APA Inputs'!$I$26))</f>
        <v>0</v>
      </c>
      <c r="AN11" s="430" t="n">
        <f aca="false">IF('APA Inputs'!$C$26="",0,(IF(AND(AN$4&gt;='APA Inputs'!$C$26,AN$4&lt;EDATE('APA Inputs'!$C$26,N('APA Inputs'!$D$26))),'APA Inputs'!$J$26,0)+IF(N('APA Inputs'!$H$26)&gt;0,IF(AN$4=EDATE('APA Inputs'!$C$26,'APA Inputs'!$H$26-1),N('APA Inputs'!$G$26),0),0))*IF('APA Inputs'!$I$26="",1,'APA Inputs'!$I$26))</f>
        <v>0</v>
      </c>
      <c r="AO11" s="430" t="n">
        <f aca="false">IF('APA Inputs'!$C$26="",0,(IF(AND(AO$4&gt;='APA Inputs'!$C$26,AO$4&lt;EDATE('APA Inputs'!$C$26,N('APA Inputs'!$D$26))),'APA Inputs'!$J$26,0)+IF(N('APA Inputs'!$H$26)&gt;0,IF(AO$4=EDATE('APA Inputs'!$C$26,'APA Inputs'!$H$26-1),N('APA Inputs'!$G$26),0),0))*IF('APA Inputs'!$I$26="",1,'APA Inputs'!$I$26))</f>
        <v>0</v>
      </c>
      <c r="AP11" s="430" t="n">
        <f aca="false">IF('APA Inputs'!$C$26="",0,(IF(AND(AP$4&gt;='APA Inputs'!$C$26,AP$4&lt;EDATE('APA Inputs'!$C$26,N('APA Inputs'!$D$26))),'APA Inputs'!$J$26,0)+IF(N('APA Inputs'!$H$26)&gt;0,IF(AP$4=EDATE('APA Inputs'!$C$26,'APA Inputs'!$H$26-1),N('APA Inputs'!$G$26),0),0))*IF('APA Inputs'!$I$26="",1,'APA Inputs'!$I$26))</f>
        <v>0</v>
      </c>
      <c r="AQ11" s="430" t="n">
        <f aca="false">IF('APA Inputs'!$C$26="",0,(IF(AND(AQ$4&gt;='APA Inputs'!$C$26,AQ$4&lt;EDATE('APA Inputs'!$C$26,N('APA Inputs'!$D$26))),'APA Inputs'!$J$26,0)+IF(N('APA Inputs'!$H$26)&gt;0,IF(AQ$4=EDATE('APA Inputs'!$C$26,'APA Inputs'!$H$26-1),N('APA Inputs'!$G$26),0),0))*IF('APA Inputs'!$I$26="",1,'APA Inputs'!$I$26))</f>
        <v>0</v>
      </c>
      <c r="AR11" s="430" t="n">
        <f aca="false">IF('APA Inputs'!$C$26="",0,(IF(AND(AR$4&gt;='APA Inputs'!$C$26,AR$4&lt;EDATE('APA Inputs'!$C$26,N('APA Inputs'!$D$26))),'APA Inputs'!$J$26,0)+IF(N('APA Inputs'!$H$26)&gt;0,IF(AR$4=EDATE('APA Inputs'!$C$26,'APA Inputs'!$H$26-1),N('APA Inputs'!$G$26),0),0))*IF('APA Inputs'!$I$26="",1,'APA Inputs'!$I$26))</f>
        <v>0</v>
      </c>
      <c r="AS11" s="430" t="n">
        <f aca="false">IF('APA Inputs'!$C$26="",0,(IF(AND(AS$4&gt;='APA Inputs'!$C$26,AS$4&lt;EDATE('APA Inputs'!$C$26,N('APA Inputs'!$D$26))),'APA Inputs'!$J$26,0)+IF(N('APA Inputs'!$H$26)&gt;0,IF(AS$4=EDATE('APA Inputs'!$C$26,'APA Inputs'!$H$26-1),N('APA Inputs'!$G$26),0),0))*IF('APA Inputs'!$I$26="",1,'APA Inputs'!$I$26))</f>
        <v>0</v>
      </c>
      <c r="AT11" s="430" t="n">
        <f aca="false">IF('APA Inputs'!$C$26="",0,(IF(AND(AT$4&gt;='APA Inputs'!$C$26,AT$4&lt;EDATE('APA Inputs'!$C$26,N('APA Inputs'!$D$26))),'APA Inputs'!$J$26,0)+IF(N('APA Inputs'!$H$26)&gt;0,IF(AT$4=EDATE('APA Inputs'!$C$26,'APA Inputs'!$H$26-1),N('APA Inputs'!$G$26),0),0))*IF('APA Inputs'!$I$26="",1,'APA Inputs'!$I$26))</f>
        <v>0</v>
      </c>
      <c r="AU11" s="430" t="n">
        <f aca="false">IF('APA Inputs'!$C$26="",0,(IF(AND(AU$4&gt;='APA Inputs'!$C$26,AU$4&lt;EDATE('APA Inputs'!$C$26,N('APA Inputs'!$D$26))),'APA Inputs'!$J$26,0)+IF(N('APA Inputs'!$H$26)&gt;0,IF(AU$4=EDATE('APA Inputs'!$C$26,'APA Inputs'!$H$26-1),N('APA Inputs'!$G$26),0),0))*IF('APA Inputs'!$I$26="",1,'APA Inputs'!$I$26))</f>
        <v>0</v>
      </c>
      <c r="AV11" s="430" t="n">
        <f aca="false">IF('APA Inputs'!$C$26="",0,(IF(AND(AV$4&gt;='APA Inputs'!$C$26,AV$4&lt;EDATE('APA Inputs'!$C$26,N('APA Inputs'!$D$26))),'APA Inputs'!$J$26,0)+IF(N('APA Inputs'!$H$26)&gt;0,IF(AV$4=EDATE('APA Inputs'!$C$26,'APA Inputs'!$H$26-1),N('APA Inputs'!$G$26),0),0))*IF('APA Inputs'!$I$26="",1,'APA Inputs'!$I$26))</f>
        <v>0</v>
      </c>
      <c r="AW11" s="430" t="n">
        <f aca="false">IF('APA Inputs'!$C$26="",0,(IF(AND(AW$4&gt;='APA Inputs'!$C$26,AW$4&lt;EDATE('APA Inputs'!$C$26,N('APA Inputs'!$D$26))),'APA Inputs'!$J$26,0)+IF(N('APA Inputs'!$H$26)&gt;0,IF(AW$4=EDATE('APA Inputs'!$C$26,'APA Inputs'!$H$26-1),N('APA Inputs'!$G$26),0),0))*IF('APA Inputs'!$I$26="",1,'APA Inputs'!$I$26))</f>
        <v>0</v>
      </c>
      <c r="AX11" s="430" t="n">
        <f aca="false">IF('APA Inputs'!$C$26="",0,(IF(AND(AX$4&gt;='APA Inputs'!$C$26,AX$4&lt;EDATE('APA Inputs'!$C$26,N('APA Inputs'!$D$26))),'APA Inputs'!$J$26,0)+IF(N('APA Inputs'!$H$26)&gt;0,IF(AX$4=EDATE('APA Inputs'!$C$26,'APA Inputs'!$H$26-1),N('APA Inputs'!$G$26),0),0))*IF('APA Inputs'!$I$26="",1,'APA Inputs'!$I$26))</f>
        <v>0</v>
      </c>
      <c r="AY11" s="430" t="n">
        <f aca="false">IF('APA Inputs'!$C$26="",0,(IF(AND(AY$4&gt;='APA Inputs'!$C$26,AY$4&lt;EDATE('APA Inputs'!$C$26,N('APA Inputs'!$D$26))),'APA Inputs'!$J$26,0)+IF(N('APA Inputs'!$H$26)&gt;0,IF(AY$4=EDATE('APA Inputs'!$C$26,'APA Inputs'!$H$26-1),N('APA Inputs'!$G$26),0),0))*IF('APA Inputs'!$I$26="",1,'APA Inputs'!$I$26))</f>
        <v>0</v>
      </c>
      <c r="AZ11" s="430" t="n">
        <f aca="false">IF('APA Inputs'!$C$26="",0,(IF(AND(AZ$4&gt;='APA Inputs'!$C$26,AZ$4&lt;EDATE('APA Inputs'!$C$26,N('APA Inputs'!$D$26))),'APA Inputs'!$J$26,0)+IF(N('APA Inputs'!$H$26)&gt;0,IF(AZ$4=EDATE('APA Inputs'!$C$26,'APA Inputs'!$H$26-1),N('APA Inputs'!$G$26),0),0))*IF('APA Inputs'!$I$26="",1,'APA Inputs'!$I$26))</f>
        <v>0</v>
      </c>
      <c r="BA11" s="430" t="n">
        <f aca="false">IF('APA Inputs'!$C$26="",0,(IF(AND(BA$4&gt;='APA Inputs'!$C$26,BA$4&lt;EDATE('APA Inputs'!$C$26,N('APA Inputs'!$D$26))),'APA Inputs'!$J$26,0)+IF(N('APA Inputs'!$H$26)&gt;0,IF(BA$4=EDATE('APA Inputs'!$C$26,'APA Inputs'!$H$26-1),N('APA Inputs'!$G$26),0),0))*IF('APA Inputs'!$I$26="",1,'APA Inputs'!$I$26))</f>
        <v>0</v>
      </c>
      <c r="BB11" s="430" t="n">
        <f aca="false">IF('APA Inputs'!$C$26="",0,(IF(AND(BB$4&gt;='APA Inputs'!$C$26,BB$4&lt;EDATE('APA Inputs'!$C$26,N('APA Inputs'!$D$26))),'APA Inputs'!$J$26,0)+IF(N('APA Inputs'!$H$26)&gt;0,IF(BB$4=EDATE('APA Inputs'!$C$26,'APA Inputs'!$H$26-1),N('APA Inputs'!$G$26),0),0))*IF('APA Inputs'!$I$26="",1,'APA Inputs'!$I$26))</f>
        <v>0</v>
      </c>
      <c r="BC11" s="430" t="n">
        <f aca="false">IF('APA Inputs'!$C$26="",0,(IF(AND(BC$4&gt;='APA Inputs'!$C$26,BC$4&lt;EDATE('APA Inputs'!$C$26,N('APA Inputs'!$D$26))),'APA Inputs'!$J$26,0)+IF(N('APA Inputs'!$H$26)&gt;0,IF(BC$4=EDATE('APA Inputs'!$C$26,'APA Inputs'!$H$26-1),N('APA Inputs'!$G$26),0),0))*IF('APA Inputs'!$I$26="",1,'APA Inputs'!$I$26))</f>
        <v>0</v>
      </c>
      <c r="BD11" s="430" t="n">
        <f aca="false">IF('APA Inputs'!$C$26="",0,(IF(AND(BD$4&gt;='APA Inputs'!$C$26,BD$4&lt;EDATE('APA Inputs'!$C$26,N('APA Inputs'!$D$26))),'APA Inputs'!$J$26,0)+IF(N('APA Inputs'!$H$26)&gt;0,IF(BD$4=EDATE('APA Inputs'!$C$26,'APA Inputs'!$H$26-1),N('APA Inputs'!$G$26),0),0))*IF('APA Inputs'!$I$26="",1,'APA Inputs'!$I$26))</f>
        <v>0</v>
      </c>
      <c r="BE11" s="430" t="n">
        <f aca="false">IF('APA Inputs'!$C$26="",0,(IF(AND(BE$4&gt;='APA Inputs'!$C$26,BE$4&lt;EDATE('APA Inputs'!$C$26,N('APA Inputs'!$D$26))),'APA Inputs'!$J$26,0)+IF(N('APA Inputs'!$H$26)&gt;0,IF(BE$4=EDATE('APA Inputs'!$C$26,'APA Inputs'!$H$26-1),N('APA Inputs'!$G$26),0),0))*IF('APA Inputs'!$I$26="",1,'APA Inputs'!$I$26))</f>
        <v>0</v>
      </c>
      <c r="BF11" s="430" t="n">
        <f aca="false">IF('APA Inputs'!$C$26="",0,(IF(AND(BF$4&gt;='APA Inputs'!$C$26,BF$4&lt;EDATE('APA Inputs'!$C$26,N('APA Inputs'!$D$26))),'APA Inputs'!$J$26,0)+IF(N('APA Inputs'!$H$26)&gt;0,IF(BF$4=EDATE('APA Inputs'!$C$26,'APA Inputs'!$H$26-1),N('APA Inputs'!$G$26),0),0))*IF('APA Inputs'!$I$26="",1,'APA Inputs'!$I$26))</f>
        <v>0</v>
      </c>
      <c r="BG11" s="430" t="n">
        <f aca="false">IF('APA Inputs'!$C$26="",0,(IF(AND(BG$4&gt;='APA Inputs'!$C$26,BG$4&lt;EDATE('APA Inputs'!$C$26,N('APA Inputs'!$D$26))),'APA Inputs'!$J$26,0)+IF(N('APA Inputs'!$H$26)&gt;0,IF(BG$4=EDATE('APA Inputs'!$C$26,'APA Inputs'!$H$26-1),N('APA Inputs'!$G$26),0),0))*IF('APA Inputs'!$I$26="",1,'APA Inputs'!$I$26))</f>
        <v>0</v>
      </c>
      <c r="BH11" s="430" t="n">
        <f aca="false">IF('APA Inputs'!$C$26="",0,(IF(AND(BH$4&gt;='APA Inputs'!$C$26,BH$4&lt;EDATE('APA Inputs'!$C$26,N('APA Inputs'!$D$26))),'APA Inputs'!$J$26,0)+IF(N('APA Inputs'!$H$26)&gt;0,IF(BH$4=EDATE('APA Inputs'!$C$26,'APA Inputs'!$H$26-1),N('APA Inputs'!$G$26),0),0))*IF('APA Inputs'!$I$26="",1,'APA Inputs'!$I$26))</f>
        <v>0</v>
      </c>
      <c r="BI11" s="430" t="n">
        <f aca="false">IF('APA Inputs'!$C$26="",0,(IF(AND(BI$4&gt;='APA Inputs'!$C$26,BI$4&lt;EDATE('APA Inputs'!$C$26,N('APA Inputs'!$D$26))),'APA Inputs'!$J$26,0)+IF(N('APA Inputs'!$H$26)&gt;0,IF(BI$4=EDATE('APA Inputs'!$C$26,'APA Inputs'!$H$26-1),N('APA Inputs'!$G$26),0),0))*IF('APA Inputs'!$I$26="",1,'APA Inputs'!$I$26))</f>
        <v>0</v>
      </c>
      <c r="BJ11" s="430" t="n">
        <f aca="false">IF('APA Inputs'!$C$26="",0,(IF(AND(BJ$4&gt;='APA Inputs'!$C$26,BJ$4&lt;EDATE('APA Inputs'!$C$26,N('APA Inputs'!$D$26))),'APA Inputs'!$J$26,0)+IF(N('APA Inputs'!$H$26)&gt;0,IF(BJ$4=EDATE('APA Inputs'!$C$26,'APA Inputs'!$H$26-1),N('APA Inputs'!$G$26),0),0))*IF('APA Inputs'!$I$26="",1,'APA Inputs'!$I$26))</f>
        <v>0</v>
      </c>
      <c r="BK11" s="430" t="n">
        <f aca="false">IF('APA Inputs'!$C$26="",0,(IF(AND(BK$4&gt;='APA Inputs'!$C$26,BK$4&lt;EDATE('APA Inputs'!$C$26,N('APA Inputs'!$D$26))),'APA Inputs'!$J$26,0)+IF(N('APA Inputs'!$H$26)&gt;0,IF(BK$4=EDATE('APA Inputs'!$C$26,'APA Inputs'!$H$26-1),N('APA Inputs'!$G$26),0),0))*IF('APA Inputs'!$I$26="",1,'APA Inputs'!$I$26))</f>
        <v>0</v>
      </c>
      <c r="BL11" s="430" t="n">
        <f aca="false">IF('APA Inputs'!$C$26="",0,(IF(AND(BL$4&gt;='APA Inputs'!$C$26,BL$4&lt;EDATE('APA Inputs'!$C$26,N('APA Inputs'!$D$26))),'APA Inputs'!$J$26,0)+IF(N('APA Inputs'!$H$26)&gt;0,IF(BL$4=EDATE('APA Inputs'!$C$26,'APA Inputs'!$H$26-1),N('APA Inputs'!$G$26),0),0))*IF('APA Inputs'!$I$26="",1,'APA Inputs'!$I$26))</f>
        <v>0</v>
      </c>
      <c r="BM11" s="430" t="n">
        <f aca="false">IF('APA Inputs'!$C$26="",0,(IF(AND(BM$4&gt;='APA Inputs'!$C$26,BM$4&lt;EDATE('APA Inputs'!$C$26,N('APA Inputs'!$D$26))),'APA Inputs'!$J$26,0)+IF(N('APA Inputs'!$H$26)&gt;0,IF(BM$4=EDATE('APA Inputs'!$C$26,'APA Inputs'!$H$26-1),N('APA Inputs'!$G$26),0),0))*IF('APA Inputs'!$I$26="",1,'APA Inputs'!$I$26))</f>
        <v>0</v>
      </c>
      <c r="BN11" s="430" t="n">
        <f aca="false">IF('APA Inputs'!$C$26="",0,(IF(AND(BN$4&gt;='APA Inputs'!$C$26,BN$4&lt;EDATE('APA Inputs'!$C$26,N('APA Inputs'!$D$26))),'APA Inputs'!$J$26,0)+IF(N('APA Inputs'!$H$26)&gt;0,IF(BN$4=EDATE('APA Inputs'!$C$26,'APA Inputs'!$H$26-1),N('APA Inputs'!$G$26),0),0))*IF('APA Inputs'!$I$26="",1,'APA Inputs'!$I$26))</f>
        <v>0</v>
      </c>
      <c r="BO11" s="430" t="n">
        <f aca="false">IF('APA Inputs'!$C$26="",0,(IF(AND(BO$4&gt;='APA Inputs'!$C$26,BO$4&lt;EDATE('APA Inputs'!$C$26,N('APA Inputs'!$D$26))),'APA Inputs'!$J$26,0)+IF(N('APA Inputs'!$H$26)&gt;0,IF(BO$4=EDATE('APA Inputs'!$C$26,'APA Inputs'!$H$26-1),N('APA Inputs'!$G$26),0),0))*IF('APA Inputs'!$I$26="",1,'APA Inputs'!$I$26))</f>
        <v>0</v>
      </c>
      <c r="BP11" s="430" t="n">
        <f aca="false">IF('APA Inputs'!$C$26="",0,(IF(AND(BP$4&gt;='APA Inputs'!$C$26,BP$4&lt;EDATE('APA Inputs'!$C$26,N('APA Inputs'!$D$26))),'APA Inputs'!$J$26,0)+IF(N('APA Inputs'!$H$26)&gt;0,IF(BP$4=EDATE('APA Inputs'!$C$26,'APA Inputs'!$H$26-1),N('APA Inputs'!$G$26),0),0))*IF('APA Inputs'!$I$26="",1,'APA Inputs'!$I$26))</f>
        <v>0</v>
      </c>
      <c r="BQ11" s="430" t="n">
        <f aca="false">IF('APA Inputs'!$C$26="",0,(IF(AND(BQ$4&gt;='APA Inputs'!$C$26,BQ$4&lt;EDATE('APA Inputs'!$C$26,N('APA Inputs'!$D$26))),'APA Inputs'!$J$26,0)+IF(N('APA Inputs'!$H$26)&gt;0,IF(BQ$4=EDATE('APA Inputs'!$C$26,'APA Inputs'!$H$26-1),N('APA Inputs'!$G$26),0),0))*IF('APA Inputs'!$I$26="",1,'APA Inputs'!$I$26))</f>
        <v>0</v>
      </c>
      <c r="BR11" s="430" t="n">
        <f aca="false">IF('APA Inputs'!$C$26="",0,(IF(AND(BR$4&gt;='APA Inputs'!$C$26,BR$4&lt;EDATE('APA Inputs'!$C$26,N('APA Inputs'!$D$26))),'APA Inputs'!$J$26,0)+IF(N('APA Inputs'!$H$26)&gt;0,IF(BR$4=EDATE('APA Inputs'!$C$26,'APA Inputs'!$H$26-1),N('APA Inputs'!$G$26),0),0))*IF('APA Inputs'!$I$26="",1,'APA Inputs'!$I$26))</f>
        <v>0</v>
      </c>
      <c r="BS11" s="430" t="n">
        <f aca="false">IF('APA Inputs'!$C$26="",0,(IF(AND(BS$4&gt;='APA Inputs'!$C$26,BS$4&lt;EDATE('APA Inputs'!$C$26,N('APA Inputs'!$D$26))),'APA Inputs'!$J$26,0)+IF(N('APA Inputs'!$H$26)&gt;0,IF(BS$4=EDATE('APA Inputs'!$C$26,'APA Inputs'!$H$26-1),N('APA Inputs'!$G$26),0),0))*IF('APA Inputs'!$I$26="",1,'APA Inputs'!$I$26))</f>
        <v>0</v>
      </c>
      <c r="BT11" s="430" t="n">
        <f aca="false">IF('APA Inputs'!$C$26="",0,(IF(AND(BT$4&gt;='APA Inputs'!$C$26,BT$4&lt;EDATE('APA Inputs'!$C$26,N('APA Inputs'!$D$26))),'APA Inputs'!$J$26,0)+IF(N('APA Inputs'!$H$26)&gt;0,IF(BT$4=EDATE('APA Inputs'!$C$26,'APA Inputs'!$H$26-1),N('APA Inputs'!$G$26),0),0))*IF('APA Inputs'!$I$26="",1,'APA Inputs'!$I$26))</f>
        <v>0</v>
      </c>
      <c r="BU11" s="430" t="n">
        <f aca="false">IF('APA Inputs'!$C$26="",0,(IF(AND(BU$4&gt;='APA Inputs'!$C$26,BU$4&lt;EDATE('APA Inputs'!$C$26,N('APA Inputs'!$D$26))),'APA Inputs'!$J$26,0)+IF(N('APA Inputs'!$H$26)&gt;0,IF(BU$4=EDATE('APA Inputs'!$C$26,'APA Inputs'!$H$26-1),N('APA Inputs'!$G$26),0),0))*IF('APA Inputs'!$I$26="",1,'APA Inputs'!$I$26))</f>
        <v>0</v>
      </c>
      <c r="BV11" s="430" t="n">
        <f aca="false">IF('APA Inputs'!$C$26="",0,(IF(AND(BV$4&gt;='APA Inputs'!$C$26,BV$4&lt;EDATE('APA Inputs'!$C$26,N('APA Inputs'!$D$26))),'APA Inputs'!$J$26,0)+IF(N('APA Inputs'!$H$26)&gt;0,IF(BV$4=EDATE('APA Inputs'!$C$26,'APA Inputs'!$H$26-1),N('APA Inputs'!$G$26),0),0))*IF('APA Inputs'!$I$26="",1,'APA Inputs'!$I$26))</f>
        <v>0</v>
      </c>
      <c r="BW11" s="430" t="n">
        <f aca="false">IF('APA Inputs'!$C$26="",0,(IF(AND(BW$4&gt;='APA Inputs'!$C$26,BW$4&lt;EDATE('APA Inputs'!$C$26,N('APA Inputs'!$D$26))),'APA Inputs'!$J$26,0)+IF(N('APA Inputs'!$H$26)&gt;0,IF(BW$4=EDATE('APA Inputs'!$C$26,'APA Inputs'!$H$26-1),N('APA Inputs'!$G$26),0),0))*IF('APA Inputs'!$I$26="",1,'APA Inputs'!$I$26))</f>
        <v>0</v>
      </c>
      <c r="BX11" s="430" t="n">
        <f aca="false">IF('APA Inputs'!$C$26="",0,(IF(AND(BX$4&gt;='APA Inputs'!$C$26,BX$4&lt;EDATE('APA Inputs'!$C$26,N('APA Inputs'!$D$26))),'APA Inputs'!$J$26,0)+IF(N('APA Inputs'!$H$26)&gt;0,IF(BX$4=EDATE('APA Inputs'!$C$26,'APA Inputs'!$H$26-1),N('APA Inputs'!$G$26),0),0))*IF('APA Inputs'!$I$26="",1,'APA Inputs'!$I$26))</f>
        <v>0</v>
      </c>
      <c r="BY11" s="430" t="n">
        <f aca="false">IF('APA Inputs'!$C$26="",0,(IF(AND(BY$4&gt;='APA Inputs'!$C$26,BY$4&lt;EDATE('APA Inputs'!$C$26,N('APA Inputs'!$D$26))),'APA Inputs'!$J$26,0)+IF(N('APA Inputs'!$H$26)&gt;0,IF(BY$4=EDATE('APA Inputs'!$C$26,'APA Inputs'!$H$26-1),N('APA Inputs'!$G$26),0),0))*IF('APA Inputs'!$I$26="",1,'APA Inputs'!$I$26))</f>
        <v>0</v>
      </c>
      <c r="BZ11" s="430" t="n">
        <f aca="false">IF('APA Inputs'!$C$26="",0,(IF(AND(BZ$4&gt;='APA Inputs'!$C$26,BZ$4&lt;EDATE('APA Inputs'!$C$26,N('APA Inputs'!$D$26))),'APA Inputs'!$J$26,0)+IF(N('APA Inputs'!$H$26)&gt;0,IF(BZ$4=EDATE('APA Inputs'!$C$26,'APA Inputs'!$H$26-1),N('APA Inputs'!$G$26),0),0))*IF('APA Inputs'!$I$26="",1,'APA Inputs'!$I$26))</f>
        <v>0</v>
      </c>
      <c r="CA11" s="430" t="n">
        <f aca="false">IF('APA Inputs'!$C$26="",0,(IF(AND(CA$4&gt;='APA Inputs'!$C$26,CA$4&lt;EDATE('APA Inputs'!$C$26,N('APA Inputs'!$D$26))),'APA Inputs'!$J$26,0)+IF(N('APA Inputs'!$H$26)&gt;0,IF(CA$4=EDATE('APA Inputs'!$C$26,'APA Inputs'!$H$26-1),N('APA Inputs'!$G$26),0),0))*IF('APA Inputs'!$I$26="",1,'APA Inputs'!$I$26))</f>
        <v>0</v>
      </c>
      <c r="CB11" s="430" t="n">
        <f aca="false">IF('APA Inputs'!$C$26="",0,(IF(AND(CB$4&gt;='APA Inputs'!$C$26,CB$4&lt;EDATE('APA Inputs'!$C$26,N('APA Inputs'!$D$26))),'APA Inputs'!$J$26,0)+IF(N('APA Inputs'!$H$26)&gt;0,IF(CB$4=EDATE('APA Inputs'!$C$26,'APA Inputs'!$H$26-1),N('APA Inputs'!$G$26),0),0))*IF('APA Inputs'!$I$26="",1,'APA Inputs'!$I$26))</f>
        <v>0</v>
      </c>
      <c r="CC11" s="430" t="n">
        <f aca="false">IF('APA Inputs'!$C$26="",0,(IF(AND(CC$4&gt;='APA Inputs'!$C$26,CC$4&lt;EDATE('APA Inputs'!$C$26,N('APA Inputs'!$D$26))),'APA Inputs'!$J$26,0)+IF(N('APA Inputs'!$H$26)&gt;0,IF(CC$4=EDATE('APA Inputs'!$C$26,'APA Inputs'!$H$26-1),N('APA Inputs'!$G$26),0),0))*IF('APA Inputs'!$I$26="",1,'APA Inputs'!$I$26))</f>
        <v>0</v>
      </c>
      <c r="CD11" s="430" t="n">
        <f aca="false">IF('APA Inputs'!$C$26="",0,(IF(AND(CD$4&gt;='APA Inputs'!$C$26,CD$4&lt;EDATE('APA Inputs'!$C$26,N('APA Inputs'!$D$26))),'APA Inputs'!$J$26,0)+IF(N('APA Inputs'!$H$26)&gt;0,IF(CD$4=EDATE('APA Inputs'!$C$26,'APA Inputs'!$H$26-1),N('APA Inputs'!$G$26),0),0))*IF('APA Inputs'!$I$26="",1,'APA Inputs'!$I$26))</f>
        <v>0</v>
      </c>
      <c r="CE11" s="430" t="n">
        <f aca="false">IF('APA Inputs'!$C$26="",0,(IF(AND(CE$4&gt;='APA Inputs'!$C$26,CE$4&lt;EDATE('APA Inputs'!$C$26,N('APA Inputs'!$D$26))),'APA Inputs'!$J$26,0)+IF(N('APA Inputs'!$H$26)&gt;0,IF(CE$4=EDATE('APA Inputs'!$C$26,'APA Inputs'!$H$26-1),N('APA Inputs'!$G$26),0),0))*IF('APA Inputs'!$I$26="",1,'APA Inputs'!$I$26))</f>
        <v>0</v>
      </c>
      <c r="CF11" s="430" t="n">
        <f aca="false">IF('APA Inputs'!$C$26="",0,(IF(AND(CF$4&gt;='APA Inputs'!$C$26,CF$4&lt;EDATE('APA Inputs'!$C$26,N('APA Inputs'!$D$26))),'APA Inputs'!$J$26,0)+IF(N('APA Inputs'!$H$26)&gt;0,IF(CF$4=EDATE('APA Inputs'!$C$26,'APA Inputs'!$H$26-1),N('APA Inputs'!$G$26),0),0))*IF('APA Inputs'!$I$26="",1,'APA Inputs'!$I$26))</f>
        <v>0</v>
      </c>
      <c r="CG11" s="430" t="n">
        <f aca="false">IF('APA Inputs'!$C$26="",0,(IF(AND(CG$4&gt;='APA Inputs'!$C$26,CG$4&lt;EDATE('APA Inputs'!$C$26,N('APA Inputs'!$D$26))),'APA Inputs'!$J$26,0)+IF(N('APA Inputs'!$H$26)&gt;0,IF(CG$4=EDATE('APA Inputs'!$C$26,'APA Inputs'!$H$26-1),N('APA Inputs'!$G$26),0),0))*IF('APA Inputs'!$I$26="",1,'APA Inputs'!$I$26))</f>
        <v>0</v>
      </c>
      <c r="CH11" s="430" t="n">
        <f aca="false">IF('APA Inputs'!$C$26="",0,(IF(AND(CH$4&gt;='APA Inputs'!$C$26,CH$4&lt;EDATE('APA Inputs'!$C$26,N('APA Inputs'!$D$26))),'APA Inputs'!$J$26,0)+IF(N('APA Inputs'!$H$26)&gt;0,IF(CH$4=EDATE('APA Inputs'!$C$26,'APA Inputs'!$H$26-1),N('APA Inputs'!$G$26),0),0))*IF('APA Inputs'!$I$26="",1,'APA Inputs'!$I$26))</f>
        <v>0</v>
      </c>
      <c r="CI11" s="430" t="n">
        <f aca="false">IF('APA Inputs'!$C$26="",0,(IF(AND(CI$4&gt;='APA Inputs'!$C$26,CI$4&lt;EDATE('APA Inputs'!$C$26,N('APA Inputs'!$D$26))),'APA Inputs'!$J$26,0)+IF(N('APA Inputs'!$H$26)&gt;0,IF(CI$4=EDATE('APA Inputs'!$C$26,'APA Inputs'!$H$26-1),N('APA Inputs'!$G$26),0),0))*IF('APA Inputs'!$I$26="",1,'APA Inputs'!$I$26))</f>
        <v>0</v>
      </c>
      <c r="CJ11" s="430" t="n">
        <f aca="false">IF('APA Inputs'!$C$26="",0,(IF(AND(CJ$4&gt;='APA Inputs'!$C$26,CJ$4&lt;EDATE('APA Inputs'!$C$26,N('APA Inputs'!$D$26))),'APA Inputs'!$J$26,0)+IF(N('APA Inputs'!$H$26)&gt;0,IF(CJ$4=EDATE('APA Inputs'!$C$26,'APA Inputs'!$H$26-1),N('APA Inputs'!$G$26),0),0))*IF('APA Inputs'!$I$26="",1,'APA Inputs'!$I$26))</f>
        <v>0</v>
      </c>
      <c r="CK11" s="430" t="n">
        <f aca="false">IF('APA Inputs'!$C$26="",0,(IF(AND(CK$4&gt;='APA Inputs'!$C$26,CK$4&lt;EDATE('APA Inputs'!$C$26,N('APA Inputs'!$D$26))),'APA Inputs'!$J$26,0)+IF(N('APA Inputs'!$H$26)&gt;0,IF(CK$4=EDATE('APA Inputs'!$C$26,'APA Inputs'!$H$26-1),N('APA Inputs'!$G$26),0),0))*IF('APA Inputs'!$I$26="",1,'APA Inputs'!$I$26))</f>
        <v>0</v>
      </c>
      <c r="CL11" s="430" t="n">
        <f aca="false">IF('APA Inputs'!$C$26="",0,(IF(AND(CL$4&gt;='APA Inputs'!$C$26,CL$4&lt;EDATE('APA Inputs'!$C$26,N('APA Inputs'!$D$26))),'APA Inputs'!$J$26,0)+IF(N('APA Inputs'!$H$26)&gt;0,IF(CL$4=EDATE('APA Inputs'!$C$26,'APA Inputs'!$H$26-1),N('APA Inputs'!$G$26),0),0))*IF('APA Inputs'!$I$26="",1,'APA Inputs'!$I$26))</f>
        <v>0</v>
      </c>
      <c r="CM11" s="430" t="n">
        <f aca="false">IF('APA Inputs'!$C$26="",0,(IF(AND(CM$4&gt;='APA Inputs'!$C$26,CM$4&lt;EDATE('APA Inputs'!$C$26,N('APA Inputs'!$D$26))),'APA Inputs'!$J$26,0)+IF(N('APA Inputs'!$H$26)&gt;0,IF(CM$4=EDATE('APA Inputs'!$C$26,'APA Inputs'!$H$26-1),N('APA Inputs'!$G$26),0),0))*IF('APA Inputs'!$I$26="",1,'APA Inputs'!$I$26))</f>
        <v>0</v>
      </c>
      <c r="CN11" s="430" t="n">
        <f aca="false">IF('APA Inputs'!$C$26="",0,(IF(AND(CN$4&gt;='APA Inputs'!$C$26,CN$4&lt;EDATE('APA Inputs'!$C$26,N('APA Inputs'!$D$26))),'APA Inputs'!$J$26,0)+IF(N('APA Inputs'!$H$26)&gt;0,IF(CN$4=EDATE('APA Inputs'!$C$26,'APA Inputs'!$H$26-1),N('APA Inputs'!$G$26),0),0))*IF('APA Inputs'!$I$26="",1,'APA Inputs'!$I$26))</f>
        <v>0</v>
      </c>
      <c r="CO11" s="430" t="n">
        <f aca="false">IF('APA Inputs'!$C$26="",0,(IF(AND(CO$4&gt;='APA Inputs'!$C$26,CO$4&lt;EDATE('APA Inputs'!$C$26,N('APA Inputs'!$D$26))),'APA Inputs'!$J$26,0)+IF(N('APA Inputs'!$H$26)&gt;0,IF(CO$4=EDATE('APA Inputs'!$C$26,'APA Inputs'!$H$26-1),N('APA Inputs'!$G$26),0),0))*IF('APA Inputs'!$I$26="",1,'APA Inputs'!$I$26))</f>
        <v>0</v>
      </c>
      <c r="CP11" s="430" t="n">
        <f aca="false">IF('APA Inputs'!$C$26="",0,(IF(AND(CP$4&gt;='APA Inputs'!$C$26,CP$4&lt;EDATE('APA Inputs'!$C$26,N('APA Inputs'!$D$26))),'APA Inputs'!$J$26,0)+IF(N('APA Inputs'!$H$26)&gt;0,IF(CP$4=EDATE('APA Inputs'!$C$26,'APA Inputs'!$H$26-1),N('APA Inputs'!$G$26),0),0))*IF('APA Inputs'!$I$26="",1,'APA Inputs'!$I$26))</f>
        <v>0</v>
      </c>
      <c r="CQ11" s="430" t="n">
        <f aca="false">IF('APA Inputs'!$C$26="",0,(IF(AND(CQ$4&gt;='APA Inputs'!$C$26,CQ$4&lt;EDATE('APA Inputs'!$C$26,N('APA Inputs'!$D$26))),'APA Inputs'!$J$26,0)+IF(N('APA Inputs'!$H$26)&gt;0,IF(CQ$4=EDATE('APA Inputs'!$C$26,'APA Inputs'!$H$26-1),N('APA Inputs'!$G$26),0),0))*IF('APA Inputs'!$I$26="",1,'APA Inputs'!$I$26))</f>
        <v>0</v>
      </c>
      <c r="CR11" s="430" t="n">
        <f aca="false">IF('APA Inputs'!$C$26="",0,(IF(AND(CR$4&gt;='APA Inputs'!$C$26,CR$4&lt;EDATE('APA Inputs'!$C$26,N('APA Inputs'!$D$26))),'APA Inputs'!$J$26,0)+IF(N('APA Inputs'!$H$26)&gt;0,IF(CR$4=EDATE('APA Inputs'!$C$26,'APA Inputs'!$H$26-1),N('APA Inputs'!$G$26),0),0))*IF('APA Inputs'!$I$26="",1,'APA Inputs'!$I$26))</f>
        <v>0</v>
      </c>
      <c r="CS11" s="430" t="n">
        <f aca="false">IF('APA Inputs'!$C$26="",0,(IF(AND(CS$4&gt;='APA Inputs'!$C$26,CS$4&lt;EDATE('APA Inputs'!$C$26,N('APA Inputs'!$D$26))),'APA Inputs'!$J$26,0)+IF(N('APA Inputs'!$H$26)&gt;0,IF(CS$4=EDATE('APA Inputs'!$C$26,'APA Inputs'!$H$26-1),N('APA Inputs'!$G$26),0),0))*IF('APA Inputs'!$I$26="",1,'APA Inputs'!$I$26))</f>
        <v>0</v>
      </c>
      <c r="CT11" s="430" t="n">
        <f aca="false">IF('APA Inputs'!$C$26="",0,(IF(AND(CT$4&gt;='APA Inputs'!$C$26,CT$4&lt;EDATE('APA Inputs'!$C$26,N('APA Inputs'!$D$26))),'APA Inputs'!$J$26,0)+IF(N('APA Inputs'!$H$26)&gt;0,IF(CT$4=EDATE('APA Inputs'!$C$26,'APA Inputs'!$H$26-1),N('APA Inputs'!$G$26),0),0))*IF('APA Inputs'!$I$26="",1,'APA Inputs'!$I$26))</f>
        <v>0</v>
      </c>
      <c r="CU11" s="430" t="n">
        <f aca="false">IF('APA Inputs'!$C$26="",0,(IF(AND(CU$4&gt;='APA Inputs'!$C$26,CU$4&lt;EDATE('APA Inputs'!$C$26,N('APA Inputs'!$D$26))),'APA Inputs'!$J$26,0)+IF(N('APA Inputs'!$H$26)&gt;0,IF(CU$4=EDATE('APA Inputs'!$C$26,'APA Inputs'!$H$26-1),N('APA Inputs'!$G$26),0),0))*IF('APA Inputs'!$I$26="",1,'APA Inputs'!$I$26))</f>
        <v>0</v>
      </c>
      <c r="CV11" s="430" t="n">
        <f aca="false">IF('APA Inputs'!$C$26="",0,(IF(AND(CV$4&gt;='APA Inputs'!$C$26,CV$4&lt;EDATE('APA Inputs'!$C$26,N('APA Inputs'!$D$26))),'APA Inputs'!$J$26,0)+IF(N('APA Inputs'!$H$26)&gt;0,IF(CV$4=EDATE('APA Inputs'!$C$26,'APA Inputs'!$H$26-1),N('APA Inputs'!$G$26),0),0))*IF('APA Inputs'!$I$26="",1,'APA Inputs'!$I$26))</f>
        <v>0</v>
      </c>
      <c r="CW11" s="430" t="n">
        <f aca="false">IF('APA Inputs'!$C$26="",0,(IF(AND(CW$4&gt;='APA Inputs'!$C$26,CW$4&lt;EDATE('APA Inputs'!$C$26,N('APA Inputs'!$D$26))),'APA Inputs'!$J$26,0)+IF(N('APA Inputs'!$H$26)&gt;0,IF(CW$4=EDATE('APA Inputs'!$C$26,'APA Inputs'!$H$26-1),N('APA Inputs'!$G$26),0),0))*IF('APA Inputs'!$I$26="",1,'APA Inputs'!$I$26))</f>
        <v>0</v>
      </c>
      <c r="CX11" s="430" t="n">
        <f aca="false">IF('APA Inputs'!$C$26="",0,(IF(AND(CX$4&gt;='APA Inputs'!$C$26,CX$4&lt;EDATE('APA Inputs'!$C$26,N('APA Inputs'!$D$26))),'APA Inputs'!$J$26,0)+IF(N('APA Inputs'!$H$26)&gt;0,IF(CX$4=EDATE('APA Inputs'!$C$26,'APA Inputs'!$H$26-1),N('APA Inputs'!$G$26),0),0))*IF('APA Inputs'!$I$26="",1,'APA Inputs'!$I$26))</f>
        <v>0</v>
      </c>
      <c r="CY11" s="430" t="n">
        <f aca="false">IF('APA Inputs'!$C$26="",0,(IF(AND(CY$4&gt;='APA Inputs'!$C$26,CY$4&lt;EDATE('APA Inputs'!$C$26,N('APA Inputs'!$D$26))),'APA Inputs'!$J$26,0)+IF(N('APA Inputs'!$H$26)&gt;0,IF(CY$4=EDATE('APA Inputs'!$C$26,'APA Inputs'!$H$26-1),N('APA Inputs'!$G$26),0),0))*IF('APA Inputs'!$I$26="",1,'APA Inputs'!$I$26))</f>
        <v>0</v>
      </c>
      <c r="CZ11" s="430" t="n">
        <f aca="false">IF('APA Inputs'!$C$26="",0,(IF(AND(CZ$4&gt;='APA Inputs'!$C$26,CZ$4&lt;EDATE('APA Inputs'!$C$26,N('APA Inputs'!$D$26))),'APA Inputs'!$J$26,0)+IF(N('APA Inputs'!$H$26)&gt;0,IF(CZ$4=EDATE('APA Inputs'!$C$26,'APA Inputs'!$H$26-1),N('APA Inputs'!$G$26),0),0))*IF('APA Inputs'!$I$26="",1,'APA Inputs'!$I$26))</f>
        <v>0</v>
      </c>
      <c r="DA11" s="430" t="n">
        <f aca="false">IF('APA Inputs'!$C$26="",0,(IF(AND(DA$4&gt;='APA Inputs'!$C$26,DA$4&lt;EDATE('APA Inputs'!$C$26,N('APA Inputs'!$D$26))),'APA Inputs'!$J$26,0)+IF(N('APA Inputs'!$H$26)&gt;0,IF(DA$4=EDATE('APA Inputs'!$C$26,'APA Inputs'!$H$26-1),N('APA Inputs'!$G$26),0),0))*IF('APA Inputs'!$I$26="",1,'APA Inputs'!$I$26))</f>
        <v>0</v>
      </c>
      <c r="DB11" s="430" t="n">
        <f aca="false">IF('APA Inputs'!$C$26="",0,(IF(AND(DB$4&gt;='APA Inputs'!$C$26,DB$4&lt;EDATE('APA Inputs'!$C$26,N('APA Inputs'!$D$26))),'APA Inputs'!$J$26,0)+IF(N('APA Inputs'!$H$26)&gt;0,IF(DB$4=EDATE('APA Inputs'!$C$26,'APA Inputs'!$H$26-1),N('APA Inputs'!$G$26),0),0))*IF('APA Inputs'!$I$26="",1,'APA Inputs'!$I$26))</f>
        <v>0</v>
      </c>
      <c r="DC11" s="430" t="n">
        <f aca="false">IF('APA Inputs'!$C$26="",0,(IF(AND(DC$4&gt;='APA Inputs'!$C$26,DC$4&lt;EDATE('APA Inputs'!$C$26,N('APA Inputs'!$D$26))),'APA Inputs'!$J$26,0)+IF(N('APA Inputs'!$H$26)&gt;0,IF(DC$4=EDATE('APA Inputs'!$C$26,'APA Inputs'!$H$26-1),N('APA Inputs'!$G$26),0),0))*IF('APA Inputs'!$I$26="",1,'APA Inputs'!$I$26))</f>
        <v>0</v>
      </c>
      <c r="DD11" s="430" t="n">
        <f aca="false">IF('APA Inputs'!$C$26="",0,(IF(AND(DD$4&gt;='APA Inputs'!$C$26,DD$4&lt;EDATE('APA Inputs'!$C$26,N('APA Inputs'!$D$26))),'APA Inputs'!$J$26,0)+IF(N('APA Inputs'!$H$26)&gt;0,IF(DD$4=EDATE('APA Inputs'!$C$26,'APA Inputs'!$H$26-1),N('APA Inputs'!$G$26),0),0))*IF('APA Inputs'!$I$26="",1,'APA Inputs'!$I$26))</f>
        <v>0</v>
      </c>
      <c r="DE11" s="430"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30" t="n">
        <f aca="false">IF('APA Inputs'!$C$27="",0,(IF(AND(B$4&gt;='APA Inputs'!$C$27,B$4&lt;EDATE('APA Inputs'!$C$27,N('APA Inputs'!$D$27))),'APA Inputs'!$J$27,0)+IF(N('APA Inputs'!$H$27)&gt;0,IF(B$4=EDATE('APA Inputs'!$C$27,'APA Inputs'!$H$27-1),N('APA Inputs'!$G$27),0),0))*IF('APA Inputs'!$I$27="",1,'APA Inputs'!$I$27))</f>
        <v>0</v>
      </c>
      <c r="C12" s="430" t="n">
        <f aca="false">IF('APA Inputs'!$C$27="",0,(IF(AND(C$4&gt;='APA Inputs'!$C$27,C$4&lt;EDATE('APA Inputs'!$C$27,N('APA Inputs'!$D$27))),'APA Inputs'!$J$27,0)+IF(N('APA Inputs'!$H$27)&gt;0,IF(C$4=EDATE('APA Inputs'!$C$27,'APA Inputs'!$H$27-1),N('APA Inputs'!$G$27),0),0))*IF('APA Inputs'!$I$27="",1,'APA Inputs'!$I$27))</f>
        <v>0</v>
      </c>
      <c r="D12" s="430" t="n">
        <f aca="false">IF('APA Inputs'!$C$27="",0,(IF(AND(D$4&gt;='APA Inputs'!$C$27,D$4&lt;EDATE('APA Inputs'!$C$27,N('APA Inputs'!$D$27))),'APA Inputs'!$J$27,0)+IF(N('APA Inputs'!$H$27)&gt;0,IF(D$4=EDATE('APA Inputs'!$C$27,'APA Inputs'!$H$27-1),N('APA Inputs'!$G$27),0),0))*IF('APA Inputs'!$I$27="",1,'APA Inputs'!$I$27))</f>
        <v>0</v>
      </c>
      <c r="E12" s="430" t="n">
        <f aca="false">IF('APA Inputs'!$C$27="",0,(IF(AND(E$4&gt;='APA Inputs'!$C$27,E$4&lt;EDATE('APA Inputs'!$C$27,N('APA Inputs'!$D$27))),'APA Inputs'!$J$27,0)+IF(N('APA Inputs'!$H$27)&gt;0,IF(E$4=EDATE('APA Inputs'!$C$27,'APA Inputs'!$H$27-1),N('APA Inputs'!$G$27),0),0))*IF('APA Inputs'!$I$27="",1,'APA Inputs'!$I$27))</f>
        <v>0</v>
      </c>
      <c r="F12" s="430" t="n">
        <f aca="false">IF('APA Inputs'!$C$27="",0,(IF(AND(F$4&gt;='APA Inputs'!$C$27,F$4&lt;EDATE('APA Inputs'!$C$27,N('APA Inputs'!$D$27))),'APA Inputs'!$J$27,0)+IF(N('APA Inputs'!$H$27)&gt;0,IF(F$4=EDATE('APA Inputs'!$C$27,'APA Inputs'!$H$27-1),N('APA Inputs'!$G$27),0),0))*IF('APA Inputs'!$I$27="",1,'APA Inputs'!$I$27))</f>
        <v>0</v>
      </c>
      <c r="G12" s="430" t="n">
        <f aca="false">IF('APA Inputs'!$C$27="",0,(IF(AND(G$4&gt;='APA Inputs'!$C$27,G$4&lt;EDATE('APA Inputs'!$C$27,N('APA Inputs'!$D$27))),'APA Inputs'!$J$27,0)+IF(N('APA Inputs'!$H$27)&gt;0,IF(G$4=EDATE('APA Inputs'!$C$27,'APA Inputs'!$H$27-1),N('APA Inputs'!$G$27),0),0))*IF('APA Inputs'!$I$27="",1,'APA Inputs'!$I$27))</f>
        <v>0</v>
      </c>
      <c r="H12" s="430" t="n">
        <f aca="false">IF('APA Inputs'!$C$27="",0,(IF(AND(H$4&gt;='APA Inputs'!$C$27,H$4&lt;EDATE('APA Inputs'!$C$27,N('APA Inputs'!$D$27))),'APA Inputs'!$J$27,0)+IF(N('APA Inputs'!$H$27)&gt;0,IF(H$4=EDATE('APA Inputs'!$C$27,'APA Inputs'!$H$27-1),N('APA Inputs'!$G$27),0),0))*IF('APA Inputs'!$I$27="",1,'APA Inputs'!$I$27))</f>
        <v>0</v>
      </c>
      <c r="I12" s="430" t="n">
        <f aca="false">IF('APA Inputs'!$C$27="",0,(IF(AND(I$4&gt;='APA Inputs'!$C$27,I$4&lt;EDATE('APA Inputs'!$C$27,N('APA Inputs'!$D$27))),'APA Inputs'!$J$27,0)+IF(N('APA Inputs'!$H$27)&gt;0,IF(I$4=EDATE('APA Inputs'!$C$27,'APA Inputs'!$H$27-1),N('APA Inputs'!$G$27),0),0))*IF('APA Inputs'!$I$27="",1,'APA Inputs'!$I$27))</f>
        <v>0</v>
      </c>
      <c r="J12" s="430" t="n">
        <f aca="false">IF('APA Inputs'!$C$27="",0,(IF(AND(J$4&gt;='APA Inputs'!$C$27,J$4&lt;EDATE('APA Inputs'!$C$27,N('APA Inputs'!$D$27))),'APA Inputs'!$J$27,0)+IF(N('APA Inputs'!$H$27)&gt;0,IF(J$4=EDATE('APA Inputs'!$C$27,'APA Inputs'!$H$27-1),N('APA Inputs'!$G$27),0),0))*IF('APA Inputs'!$I$27="",1,'APA Inputs'!$I$27))</f>
        <v>0</v>
      </c>
      <c r="K12" s="430" t="n">
        <f aca="false">IF('APA Inputs'!$C$27="",0,(IF(AND(K$4&gt;='APA Inputs'!$C$27,K$4&lt;EDATE('APA Inputs'!$C$27,N('APA Inputs'!$D$27))),'APA Inputs'!$J$27,0)+IF(N('APA Inputs'!$H$27)&gt;0,IF(K$4=EDATE('APA Inputs'!$C$27,'APA Inputs'!$H$27-1),N('APA Inputs'!$G$27),0),0))*IF('APA Inputs'!$I$27="",1,'APA Inputs'!$I$27))</f>
        <v>0</v>
      </c>
      <c r="L12" s="430" t="n">
        <f aca="false">IF('APA Inputs'!$C$27="",0,(IF(AND(L$4&gt;='APA Inputs'!$C$27,L$4&lt;EDATE('APA Inputs'!$C$27,N('APA Inputs'!$D$27))),'APA Inputs'!$J$27,0)+IF(N('APA Inputs'!$H$27)&gt;0,IF(L$4=EDATE('APA Inputs'!$C$27,'APA Inputs'!$H$27-1),N('APA Inputs'!$G$27),0),0))*IF('APA Inputs'!$I$27="",1,'APA Inputs'!$I$27))</f>
        <v>0</v>
      </c>
      <c r="M12" s="430" t="n">
        <f aca="false">IF('APA Inputs'!$C$27="",0,(IF(AND(M$4&gt;='APA Inputs'!$C$27,M$4&lt;EDATE('APA Inputs'!$C$27,N('APA Inputs'!$D$27))),'APA Inputs'!$J$27,0)+IF(N('APA Inputs'!$H$27)&gt;0,IF(M$4=EDATE('APA Inputs'!$C$27,'APA Inputs'!$H$27-1),N('APA Inputs'!$G$27),0),0))*IF('APA Inputs'!$I$27="",1,'APA Inputs'!$I$27))</f>
        <v>0</v>
      </c>
      <c r="N12" s="430" t="n">
        <f aca="false">IF('APA Inputs'!$C$27="",0,(IF(AND(N$4&gt;='APA Inputs'!$C$27,N$4&lt;EDATE('APA Inputs'!$C$27,N('APA Inputs'!$D$27))),'APA Inputs'!$J$27,0)+IF(N('APA Inputs'!$H$27)&gt;0,IF(N$4=EDATE('APA Inputs'!$C$27,'APA Inputs'!$H$27-1),N('APA Inputs'!$G$27),0),0))*IF('APA Inputs'!$I$27="",1,'APA Inputs'!$I$27))</f>
        <v>0</v>
      </c>
      <c r="O12" s="430" t="n">
        <f aca="false">IF('APA Inputs'!$C$27="",0,(IF(AND(O$4&gt;='APA Inputs'!$C$27,O$4&lt;EDATE('APA Inputs'!$C$27,N('APA Inputs'!$D$27))),'APA Inputs'!$J$27,0)+IF(N('APA Inputs'!$H$27)&gt;0,IF(O$4=EDATE('APA Inputs'!$C$27,'APA Inputs'!$H$27-1),N('APA Inputs'!$G$27),0),0))*IF('APA Inputs'!$I$27="",1,'APA Inputs'!$I$27))</f>
        <v>0</v>
      </c>
      <c r="P12" s="430" t="n">
        <f aca="false">IF('APA Inputs'!$C$27="",0,(IF(AND(P$4&gt;='APA Inputs'!$C$27,P$4&lt;EDATE('APA Inputs'!$C$27,N('APA Inputs'!$D$27))),'APA Inputs'!$J$27,0)+IF(N('APA Inputs'!$H$27)&gt;0,IF(P$4=EDATE('APA Inputs'!$C$27,'APA Inputs'!$H$27-1),N('APA Inputs'!$G$27),0),0))*IF('APA Inputs'!$I$27="",1,'APA Inputs'!$I$27))</f>
        <v>0</v>
      </c>
      <c r="Q12" s="430" t="n">
        <f aca="false">IF('APA Inputs'!$C$27="",0,(IF(AND(Q$4&gt;='APA Inputs'!$C$27,Q$4&lt;EDATE('APA Inputs'!$C$27,N('APA Inputs'!$D$27))),'APA Inputs'!$J$27,0)+IF(N('APA Inputs'!$H$27)&gt;0,IF(Q$4=EDATE('APA Inputs'!$C$27,'APA Inputs'!$H$27-1),N('APA Inputs'!$G$27),0),0))*IF('APA Inputs'!$I$27="",1,'APA Inputs'!$I$27))</f>
        <v>0</v>
      </c>
      <c r="R12" s="430" t="n">
        <f aca="false">IF('APA Inputs'!$C$27="",0,(IF(AND(R$4&gt;='APA Inputs'!$C$27,R$4&lt;EDATE('APA Inputs'!$C$27,N('APA Inputs'!$D$27))),'APA Inputs'!$J$27,0)+IF(N('APA Inputs'!$H$27)&gt;0,IF(R$4=EDATE('APA Inputs'!$C$27,'APA Inputs'!$H$27-1),N('APA Inputs'!$G$27),0),0))*IF('APA Inputs'!$I$27="",1,'APA Inputs'!$I$27))</f>
        <v>0</v>
      </c>
      <c r="S12" s="430" t="n">
        <f aca="false">IF('APA Inputs'!$C$27="",0,(IF(AND(S$4&gt;='APA Inputs'!$C$27,S$4&lt;EDATE('APA Inputs'!$C$27,N('APA Inputs'!$D$27))),'APA Inputs'!$J$27,0)+IF(N('APA Inputs'!$H$27)&gt;0,IF(S$4=EDATE('APA Inputs'!$C$27,'APA Inputs'!$H$27-1),N('APA Inputs'!$G$27),0),0))*IF('APA Inputs'!$I$27="",1,'APA Inputs'!$I$27))</f>
        <v>0</v>
      </c>
      <c r="T12" s="430" t="n">
        <f aca="false">IF('APA Inputs'!$C$27="",0,(IF(AND(T$4&gt;='APA Inputs'!$C$27,T$4&lt;EDATE('APA Inputs'!$C$27,N('APA Inputs'!$D$27))),'APA Inputs'!$J$27,0)+IF(N('APA Inputs'!$H$27)&gt;0,IF(T$4=EDATE('APA Inputs'!$C$27,'APA Inputs'!$H$27-1),N('APA Inputs'!$G$27),0),0))*IF('APA Inputs'!$I$27="",1,'APA Inputs'!$I$27))</f>
        <v>0</v>
      </c>
      <c r="U12" s="430" t="n">
        <f aca="false">IF('APA Inputs'!$C$27="",0,(IF(AND(U$4&gt;='APA Inputs'!$C$27,U$4&lt;EDATE('APA Inputs'!$C$27,N('APA Inputs'!$D$27))),'APA Inputs'!$J$27,0)+IF(N('APA Inputs'!$H$27)&gt;0,IF(U$4=EDATE('APA Inputs'!$C$27,'APA Inputs'!$H$27-1),N('APA Inputs'!$G$27),0),0))*IF('APA Inputs'!$I$27="",1,'APA Inputs'!$I$27))</f>
        <v>0</v>
      </c>
      <c r="V12" s="430" t="n">
        <f aca="false">IF('APA Inputs'!$C$27="",0,(IF(AND(V$4&gt;='APA Inputs'!$C$27,V$4&lt;EDATE('APA Inputs'!$C$27,N('APA Inputs'!$D$27))),'APA Inputs'!$J$27,0)+IF(N('APA Inputs'!$H$27)&gt;0,IF(V$4=EDATE('APA Inputs'!$C$27,'APA Inputs'!$H$27-1),N('APA Inputs'!$G$27),0),0))*IF('APA Inputs'!$I$27="",1,'APA Inputs'!$I$27))</f>
        <v>0</v>
      </c>
      <c r="W12" s="430" t="n">
        <f aca="false">IF('APA Inputs'!$C$27="",0,(IF(AND(W$4&gt;='APA Inputs'!$C$27,W$4&lt;EDATE('APA Inputs'!$C$27,N('APA Inputs'!$D$27))),'APA Inputs'!$J$27,0)+IF(N('APA Inputs'!$H$27)&gt;0,IF(W$4=EDATE('APA Inputs'!$C$27,'APA Inputs'!$H$27-1),N('APA Inputs'!$G$27),0),0))*IF('APA Inputs'!$I$27="",1,'APA Inputs'!$I$27))</f>
        <v>0</v>
      </c>
      <c r="X12" s="430" t="n">
        <f aca="false">IF('APA Inputs'!$C$27="",0,(IF(AND(X$4&gt;='APA Inputs'!$C$27,X$4&lt;EDATE('APA Inputs'!$C$27,N('APA Inputs'!$D$27))),'APA Inputs'!$J$27,0)+IF(N('APA Inputs'!$H$27)&gt;0,IF(X$4=EDATE('APA Inputs'!$C$27,'APA Inputs'!$H$27-1),N('APA Inputs'!$G$27),0),0))*IF('APA Inputs'!$I$27="",1,'APA Inputs'!$I$27))</f>
        <v>0</v>
      </c>
      <c r="Y12" s="430" t="n">
        <f aca="false">IF('APA Inputs'!$C$27="",0,(IF(AND(Y$4&gt;='APA Inputs'!$C$27,Y$4&lt;EDATE('APA Inputs'!$C$27,N('APA Inputs'!$D$27))),'APA Inputs'!$J$27,0)+IF(N('APA Inputs'!$H$27)&gt;0,IF(Y$4=EDATE('APA Inputs'!$C$27,'APA Inputs'!$H$27-1),N('APA Inputs'!$G$27),0),0))*IF('APA Inputs'!$I$27="",1,'APA Inputs'!$I$27))</f>
        <v>0</v>
      </c>
      <c r="Z12" s="430" t="n">
        <f aca="false">IF('APA Inputs'!$C$27="",0,(IF(AND(Z$4&gt;='APA Inputs'!$C$27,Z$4&lt;EDATE('APA Inputs'!$C$27,N('APA Inputs'!$D$27))),'APA Inputs'!$J$27,0)+IF(N('APA Inputs'!$H$27)&gt;0,IF(Z$4=EDATE('APA Inputs'!$C$27,'APA Inputs'!$H$27-1),N('APA Inputs'!$G$27),0),0))*IF('APA Inputs'!$I$27="",1,'APA Inputs'!$I$27))</f>
        <v>0</v>
      </c>
      <c r="AA12" s="430" t="n">
        <f aca="false">IF('APA Inputs'!$C$27="",0,(IF(AND(AA$4&gt;='APA Inputs'!$C$27,AA$4&lt;EDATE('APA Inputs'!$C$27,N('APA Inputs'!$D$27))),'APA Inputs'!$J$27,0)+IF(N('APA Inputs'!$H$27)&gt;0,IF(AA$4=EDATE('APA Inputs'!$C$27,'APA Inputs'!$H$27-1),N('APA Inputs'!$G$27),0),0))*IF('APA Inputs'!$I$27="",1,'APA Inputs'!$I$27))</f>
        <v>0</v>
      </c>
      <c r="AB12" s="430" t="n">
        <f aca="false">IF('APA Inputs'!$C$27="",0,(IF(AND(AB$4&gt;='APA Inputs'!$C$27,AB$4&lt;EDATE('APA Inputs'!$C$27,N('APA Inputs'!$D$27))),'APA Inputs'!$J$27,0)+IF(N('APA Inputs'!$H$27)&gt;0,IF(AB$4=EDATE('APA Inputs'!$C$27,'APA Inputs'!$H$27-1),N('APA Inputs'!$G$27),0),0))*IF('APA Inputs'!$I$27="",1,'APA Inputs'!$I$27))</f>
        <v>0</v>
      </c>
      <c r="AC12" s="430" t="n">
        <f aca="false">IF('APA Inputs'!$C$27="",0,(IF(AND(AC$4&gt;='APA Inputs'!$C$27,AC$4&lt;EDATE('APA Inputs'!$C$27,N('APA Inputs'!$D$27))),'APA Inputs'!$J$27,0)+IF(N('APA Inputs'!$H$27)&gt;0,IF(AC$4=EDATE('APA Inputs'!$C$27,'APA Inputs'!$H$27-1),N('APA Inputs'!$G$27),0),0))*IF('APA Inputs'!$I$27="",1,'APA Inputs'!$I$27))</f>
        <v>0</v>
      </c>
      <c r="AD12" s="430" t="n">
        <f aca="false">IF('APA Inputs'!$C$27="",0,(IF(AND(AD$4&gt;='APA Inputs'!$C$27,AD$4&lt;EDATE('APA Inputs'!$C$27,N('APA Inputs'!$D$27))),'APA Inputs'!$J$27,0)+IF(N('APA Inputs'!$H$27)&gt;0,IF(AD$4=EDATE('APA Inputs'!$C$27,'APA Inputs'!$H$27-1),N('APA Inputs'!$G$27),0),0))*IF('APA Inputs'!$I$27="",1,'APA Inputs'!$I$27))</f>
        <v>0</v>
      </c>
      <c r="AE12" s="430" t="n">
        <f aca="false">IF('APA Inputs'!$C$27="",0,(IF(AND(AE$4&gt;='APA Inputs'!$C$27,AE$4&lt;EDATE('APA Inputs'!$C$27,N('APA Inputs'!$D$27))),'APA Inputs'!$J$27,0)+IF(N('APA Inputs'!$H$27)&gt;0,IF(AE$4=EDATE('APA Inputs'!$C$27,'APA Inputs'!$H$27-1),N('APA Inputs'!$G$27),0),0))*IF('APA Inputs'!$I$27="",1,'APA Inputs'!$I$27))</f>
        <v>0</v>
      </c>
      <c r="AF12" s="430" t="n">
        <f aca="false">IF('APA Inputs'!$C$27="",0,(IF(AND(AF$4&gt;='APA Inputs'!$C$27,AF$4&lt;EDATE('APA Inputs'!$C$27,N('APA Inputs'!$D$27))),'APA Inputs'!$J$27,0)+IF(N('APA Inputs'!$H$27)&gt;0,IF(AF$4=EDATE('APA Inputs'!$C$27,'APA Inputs'!$H$27-1),N('APA Inputs'!$G$27),0),0))*IF('APA Inputs'!$I$27="",1,'APA Inputs'!$I$27))</f>
        <v>0</v>
      </c>
      <c r="AG12" s="430" t="n">
        <f aca="false">IF('APA Inputs'!$C$27="",0,(IF(AND(AG$4&gt;='APA Inputs'!$C$27,AG$4&lt;EDATE('APA Inputs'!$C$27,N('APA Inputs'!$D$27))),'APA Inputs'!$J$27,0)+IF(N('APA Inputs'!$H$27)&gt;0,IF(AG$4=EDATE('APA Inputs'!$C$27,'APA Inputs'!$H$27-1),N('APA Inputs'!$G$27),0),0))*IF('APA Inputs'!$I$27="",1,'APA Inputs'!$I$27))</f>
        <v>0</v>
      </c>
      <c r="AH12" s="430" t="n">
        <f aca="false">IF('APA Inputs'!$C$27="",0,(IF(AND(AH$4&gt;='APA Inputs'!$C$27,AH$4&lt;EDATE('APA Inputs'!$C$27,N('APA Inputs'!$D$27))),'APA Inputs'!$J$27,0)+IF(N('APA Inputs'!$H$27)&gt;0,IF(AH$4=EDATE('APA Inputs'!$C$27,'APA Inputs'!$H$27-1),N('APA Inputs'!$G$27),0),0))*IF('APA Inputs'!$I$27="",1,'APA Inputs'!$I$27))</f>
        <v>0</v>
      </c>
      <c r="AI12" s="430" t="n">
        <f aca="false">IF('APA Inputs'!$C$27="",0,(IF(AND(AI$4&gt;='APA Inputs'!$C$27,AI$4&lt;EDATE('APA Inputs'!$C$27,N('APA Inputs'!$D$27))),'APA Inputs'!$J$27,0)+IF(N('APA Inputs'!$H$27)&gt;0,IF(AI$4=EDATE('APA Inputs'!$C$27,'APA Inputs'!$H$27-1),N('APA Inputs'!$G$27),0),0))*IF('APA Inputs'!$I$27="",1,'APA Inputs'!$I$27))</f>
        <v>0</v>
      </c>
      <c r="AJ12" s="430" t="n">
        <f aca="false">IF('APA Inputs'!$C$27="",0,(IF(AND(AJ$4&gt;='APA Inputs'!$C$27,AJ$4&lt;EDATE('APA Inputs'!$C$27,N('APA Inputs'!$D$27))),'APA Inputs'!$J$27,0)+IF(N('APA Inputs'!$H$27)&gt;0,IF(AJ$4=EDATE('APA Inputs'!$C$27,'APA Inputs'!$H$27-1),N('APA Inputs'!$G$27),0),0))*IF('APA Inputs'!$I$27="",1,'APA Inputs'!$I$27))</f>
        <v>0</v>
      </c>
      <c r="AK12" s="430" t="n">
        <f aca="false">IF('APA Inputs'!$C$27="",0,(IF(AND(AK$4&gt;='APA Inputs'!$C$27,AK$4&lt;EDATE('APA Inputs'!$C$27,N('APA Inputs'!$D$27))),'APA Inputs'!$J$27,0)+IF(N('APA Inputs'!$H$27)&gt;0,IF(AK$4=EDATE('APA Inputs'!$C$27,'APA Inputs'!$H$27-1),N('APA Inputs'!$G$27),0),0))*IF('APA Inputs'!$I$27="",1,'APA Inputs'!$I$27))</f>
        <v>0</v>
      </c>
      <c r="AL12" s="430" t="n">
        <f aca="false">IF('APA Inputs'!$C$27="",0,(IF(AND(AL$4&gt;='APA Inputs'!$C$27,AL$4&lt;EDATE('APA Inputs'!$C$27,N('APA Inputs'!$D$27))),'APA Inputs'!$J$27,0)+IF(N('APA Inputs'!$H$27)&gt;0,IF(AL$4=EDATE('APA Inputs'!$C$27,'APA Inputs'!$H$27-1),N('APA Inputs'!$G$27),0),0))*IF('APA Inputs'!$I$27="",1,'APA Inputs'!$I$27))</f>
        <v>0</v>
      </c>
      <c r="AM12" s="430" t="n">
        <f aca="false">IF('APA Inputs'!$C$27="",0,(IF(AND(AM$4&gt;='APA Inputs'!$C$27,AM$4&lt;EDATE('APA Inputs'!$C$27,N('APA Inputs'!$D$27))),'APA Inputs'!$J$27,0)+IF(N('APA Inputs'!$H$27)&gt;0,IF(AM$4=EDATE('APA Inputs'!$C$27,'APA Inputs'!$H$27-1),N('APA Inputs'!$G$27),0),0))*IF('APA Inputs'!$I$27="",1,'APA Inputs'!$I$27))</f>
        <v>0</v>
      </c>
      <c r="AN12" s="430" t="n">
        <f aca="false">IF('APA Inputs'!$C$27="",0,(IF(AND(AN$4&gt;='APA Inputs'!$C$27,AN$4&lt;EDATE('APA Inputs'!$C$27,N('APA Inputs'!$D$27))),'APA Inputs'!$J$27,0)+IF(N('APA Inputs'!$H$27)&gt;0,IF(AN$4=EDATE('APA Inputs'!$C$27,'APA Inputs'!$H$27-1),N('APA Inputs'!$G$27),0),0))*IF('APA Inputs'!$I$27="",1,'APA Inputs'!$I$27))</f>
        <v>0</v>
      </c>
      <c r="AO12" s="430" t="n">
        <f aca="false">IF('APA Inputs'!$C$27="",0,(IF(AND(AO$4&gt;='APA Inputs'!$C$27,AO$4&lt;EDATE('APA Inputs'!$C$27,N('APA Inputs'!$D$27))),'APA Inputs'!$J$27,0)+IF(N('APA Inputs'!$H$27)&gt;0,IF(AO$4=EDATE('APA Inputs'!$C$27,'APA Inputs'!$H$27-1),N('APA Inputs'!$G$27),0),0))*IF('APA Inputs'!$I$27="",1,'APA Inputs'!$I$27))</f>
        <v>0</v>
      </c>
      <c r="AP12" s="430" t="n">
        <f aca="false">IF('APA Inputs'!$C$27="",0,(IF(AND(AP$4&gt;='APA Inputs'!$C$27,AP$4&lt;EDATE('APA Inputs'!$C$27,N('APA Inputs'!$D$27))),'APA Inputs'!$J$27,0)+IF(N('APA Inputs'!$H$27)&gt;0,IF(AP$4=EDATE('APA Inputs'!$C$27,'APA Inputs'!$H$27-1),N('APA Inputs'!$G$27),0),0))*IF('APA Inputs'!$I$27="",1,'APA Inputs'!$I$27))</f>
        <v>0</v>
      </c>
      <c r="AQ12" s="430" t="n">
        <f aca="false">IF('APA Inputs'!$C$27="",0,(IF(AND(AQ$4&gt;='APA Inputs'!$C$27,AQ$4&lt;EDATE('APA Inputs'!$C$27,N('APA Inputs'!$D$27))),'APA Inputs'!$J$27,0)+IF(N('APA Inputs'!$H$27)&gt;0,IF(AQ$4=EDATE('APA Inputs'!$C$27,'APA Inputs'!$H$27-1),N('APA Inputs'!$G$27),0),0))*IF('APA Inputs'!$I$27="",1,'APA Inputs'!$I$27))</f>
        <v>0</v>
      </c>
      <c r="AR12" s="430" t="n">
        <f aca="false">IF('APA Inputs'!$C$27="",0,(IF(AND(AR$4&gt;='APA Inputs'!$C$27,AR$4&lt;EDATE('APA Inputs'!$C$27,N('APA Inputs'!$D$27))),'APA Inputs'!$J$27,0)+IF(N('APA Inputs'!$H$27)&gt;0,IF(AR$4=EDATE('APA Inputs'!$C$27,'APA Inputs'!$H$27-1),N('APA Inputs'!$G$27),0),0))*IF('APA Inputs'!$I$27="",1,'APA Inputs'!$I$27))</f>
        <v>0</v>
      </c>
      <c r="AS12" s="430" t="n">
        <f aca="false">IF('APA Inputs'!$C$27="",0,(IF(AND(AS$4&gt;='APA Inputs'!$C$27,AS$4&lt;EDATE('APA Inputs'!$C$27,N('APA Inputs'!$D$27))),'APA Inputs'!$J$27,0)+IF(N('APA Inputs'!$H$27)&gt;0,IF(AS$4=EDATE('APA Inputs'!$C$27,'APA Inputs'!$H$27-1),N('APA Inputs'!$G$27),0),0))*IF('APA Inputs'!$I$27="",1,'APA Inputs'!$I$27))</f>
        <v>0</v>
      </c>
      <c r="AT12" s="430" t="n">
        <f aca="false">IF('APA Inputs'!$C$27="",0,(IF(AND(AT$4&gt;='APA Inputs'!$C$27,AT$4&lt;EDATE('APA Inputs'!$C$27,N('APA Inputs'!$D$27))),'APA Inputs'!$J$27,0)+IF(N('APA Inputs'!$H$27)&gt;0,IF(AT$4=EDATE('APA Inputs'!$C$27,'APA Inputs'!$H$27-1),N('APA Inputs'!$G$27),0),0))*IF('APA Inputs'!$I$27="",1,'APA Inputs'!$I$27))</f>
        <v>0</v>
      </c>
      <c r="AU12" s="430" t="n">
        <f aca="false">IF('APA Inputs'!$C$27="",0,(IF(AND(AU$4&gt;='APA Inputs'!$C$27,AU$4&lt;EDATE('APA Inputs'!$C$27,N('APA Inputs'!$D$27))),'APA Inputs'!$J$27,0)+IF(N('APA Inputs'!$H$27)&gt;0,IF(AU$4=EDATE('APA Inputs'!$C$27,'APA Inputs'!$H$27-1),N('APA Inputs'!$G$27),0),0))*IF('APA Inputs'!$I$27="",1,'APA Inputs'!$I$27))</f>
        <v>0</v>
      </c>
      <c r="AV12" s="430" t="n">
        <f aca="false">IF('APA Inputs'!$C$27="",0,(IF(AND(AV$4&gt;='APA Inputs'!$C$27,AV$4&lt;EDATE('APA Inputs'!$C$27,N('APA Inputs'!$D$27))),'APA Inputs'!$J$27,0)+IF(N('APA Inputs'!$H$27)&gt;0,IF(AV$4=EDATE('APA Inputs'!$C$27,'APA Inputs'!$H$27-1),N('APA Inputs'!$G$27),0),0))*IF('APA Inputs'!$I$27="",1,'APA Inputs'!$I$27))</f>
        <v>0</v>
      </c>
      <c r="AW12" s="430" t="n">
        <f aca="false">IF('APA Inputs'!$C$27="",0,(IF(AND(AW$4&gt;='APA Inputs'!$C$27,AW$4&lt;EDATE('APA Inputs'!$C$27,N('APA Inputs'!$D$27))),'APA Inputs'!$J$27,0)+IF(N('APA Inputs'!$H$27)&gt;0,IF(AW$4=EDATE('APA Inputs'!$C$27,'APA Inputs'!$H$27-1),N('APA Inputs'!$G$27),0),0))*IF('APA Inputs'!$I$27="",1,'APA Inputs'!$I$27))</f>
        <v>0</v>
      </c>
      <c r="AX12" s="430" t="n">
        <f aca="false">IF('APA Inputs'!$C$27="",0,(IF(AND(AX$4&gt;='APA Inputs'!$C$27,AX$4&lt;EDATE('APA Inputs'!$C$27,N('APA Inputs'!$D$27))),'APA Inputs'!$J$27,0)+IF(N('APA Inputs'!$H$27)&gt;0,IF(AX$4=EDATE('APA Inputs'!$C$27,'APA Inputs'!$H$27-1),N('APA Inputs'!$G$27),0),0))*IF('APA Inputs'!$I$27="",1,'APA Inputs'!$I$27))</f>
        <v>0</v>
      </c>
      <c r="AY12" s="430" t="n">
        <f aca="false">IF('APA Inputs'!$C$27="",0,(IF(AND(AY$4&gt;='APA Inputs'!$C$27,AY$4&lt;EDATE('APA Inputs'!$C$27,N('APA Inputs'!$D$27))),'APA Inputs'!$J$27,0)+IF(N('APA Inputs'!$H$27)&gt;0,IF(AY$4=EDATE('APA Inputs'!$C$27,'APA Inputs'!$H$27-1),N('APA Inputs'!$G$27),0),0))*IF('APA Inputs'!$I$27="",1,'APA Inputs'!$I$27))</f>
        <v>0</v>
      </c>
      <c r="AZ12" s="430" t="n">
        <f aca="false">IF('APA Inputs'!$C$27="",0,(IF(AND(AZ$4&gt;='APA Inputs'!$C$27,AZ$4&lt;EDATE('APA Inputs'!$C$27,N('APA Inputs'!$D$27))),'APA Inputs'!$J$27,0)+IF(N('APA Inputs'!$H$27)&gt;0,IF(AZ$4=EDATE('APA Inputs'!$C$27,'APA Inputs'!$H$27-1),N('APA Inputs'!$G$27),0),0))*IF('APA Inputs'!$I$27="",1,'APA Inputs'!$I$27))</f>
        <v>0</v>
      </c>
      <c r="BA12" s="430" t="n">
        <f aca="false">IF('APA Inputs'!$C$27="",0,(IF(AND(BA$4&gt;='APA Inputs'!$C$27,BA$4&lt;EDATE('APA Inputs'!$C$27,N('APA Inputs'!$D$27))),'APA Inputs'!$J$27,0)+IF(N('APA Inputs'!$H$27)&gt;0,IF(BA$4=EDATE('APA Inputs'!$C$27,'APA Inputs'!$H$27-1),N('APA Inputs'!$G$27),0),0))*IF('APA Inputs'!$I$27="",1,'APA Inputs'!$I$27))</f>
        <v>0</v>
      </c>
      <c r="BB12" s="430" t="n">
        <f aca="false">IF('APA Inputs'!$C$27="",0,(IF(AND(BB$4&gt;='APA Inputs'!$C$27,BB$4&lt;EDATE('APA Inputs'!$C$27,N('APA Inputs'!$D$27))),'APA Inputs'!$J$27,0)+IF(N('APA Inputs'!$H$27)&gt;0,IF(BB$4=EDATE('APA Inputs'!$C$27,'APA Inputs'!$H$27-1),N('APA Inputs'!$G$27),0),0))*IF('APA Inputs'!$I$27="",1,'APA Inputs'!$I$27))</f>
        <v>0</v>
      </c>
      <c r="BC12" s="430" t="n">
        <f aca="false">IF('APA Inputs'!$C$27="",0,(IF(AND(BC$4&gt;='APA Inputs'!$C$27,BC$4&lt;EDATE('APA Inputs'!$C$27,N('APA Inputs'!$D$27))),'APA Inputs'!$J$27,0)+IF(N('APA Inputs'!$H$27)&gt;0,IF(BC$4=EDATE('APA Inputs'!$C$27,'APA Inputs'!$H$27-1),N('APA Inputs'!$G$27),0),0))*IF('APA Inputs'!$I$27="",1,'APA Inputs'!$I$27))</f>
        <v>0</v>
      </c>
      <c r="BD12" s="430" t="n">
        <f aca="false">IF('APA Inputs'!$C$27="",0,(IF(AND(BD$4&gt;='APA Inputs'!$C$27,BD$4&lt;EDATE('APA Inputs'!$C$27,N('APA Inputs'!$D$27))),'APA Inputs'!$J$27,0)+IF(N('APA Inputs'!$H$27)&gt;0,IF(BD$4=EDATE('APA Inputs'!$C$27,'APA Inputs'!$H$27-1),N('APA Inputs'!$G$27),0),0))*IF('APA Inputs'!$I$27="",1,'APA Inputs'!$I$27))</f>
        <v>0</v>
      </c>
      <c r="BE12" s="430" t="n">
        <f aca="false">IF('APA Inputs'!$C$27="",0,(IF(AND(BE$4&gt;='APA Inputs'!$C$27,BE$4&lt;EDATE('APA Inputs'!$C$27,N('APA Inputs'!$D$27))),'APA Inputs'!$J$27,0)+IF(N('APA Inputs'!$H$27)&gt;0,IF(BE$4=EDATE('APA Inputs'!$C$27,'APA Inputs'!$H$27-1),N('APA Inputs'!$G$27),0),0))*IF('APA Inputs'!$I$27="",1,'APA Inputs'!$I$27))</f>
        <v>0</v>
      </c>
      <c r="BF12" s="430" t="n">
        <f aca="false">IF('APA Inputs'!$C$27="",0,(IF(AND(BF$4&gt;='APA Inputs'!$C$27,BF$4&lt;EDATE('APA Inputs'!$C$27,N('APA Inputs'!$D$27))),'APA Inputs'!$J$27,0)+IF(N('APA Inputs'!$H$27)&gt;0,IF(BF$4=EDATE('APA Inputs'!$C$27,'APA Inputs'!$H$27-1),N('APA Inputs'!$G$27),0),0))*IF('APA Inputs'!$I$27="",1,'APA Inputs'!$I$27))</f>
        <v>0</v>
      </c>
      <c r="BG12" s="430" t="n">
        <f aca="false">IF('APA Inputs'!$C$27="",0,(IF(AND(BG$4&gt;='APA Inputs'!$C$27,BG$4&lt;EDATE('APA Inputs'!$C$27,N('APA Inputs'!$D$27))),'APA Inputs'!$J$27,0)+IF(N('APA Inputs'!$H$27)&gt;0,IF(BG$4=EDATE('APA Inputs'!$C$27,'APA Inputs'!$H$27-1),N('APA Inputs'!$G$27),0),0))*IF('APA Inputs'!$I$27="",1,'APA Inputs'!$I$27))</f>
        <v>0</v>
      </c>
      <c r="BH12" s="430" t="n">
        <f aca="false">IF('APA Inputs'!$C$27="",0,(IF(AND(BH$4&gt;='APA Inputs'!$C$27,BH$4&lt;EDATE('APA Inputs'!$C$27,N('APA Inputs'!$D$27))),'APA Inputs'!$J$27,0)+IF(N('APA Inputs'!$H$27)&gt;0,IF(BH$4=EDATE('APA Inputs'!$C$27,'APA Inputs'!$H$27-1),N('APA Inputs'!$G$27),0),0))*IF('APA Inputs'!$I$27="",1,'APA Inputs'!$I$27))</f>
        <v>0</v>
      </c>
      <c r="BI12" s="430" t="n">
        <f aca="false">IF('APA Inputs'!$C$27="",0,(IF(AND(BI$4&gt;='APA Inputs'!$C$27,BI$4&lt;EDATE('APA Inputs'!$C$27,N('APA Inputs'!$D$27))),'APA Inputs'!$J$27,0)+IF(N('APA Inputs'!$H$27)&gt;0,IF(BI$4=EDATE('APA Inputs'!$C$27,'APA Inputs'!$H$27-1),N('APA Inputs'!$G$27),0),0))*IF('APA Inputs'!$I$27="",1,'APA Inputs'!$I$27))</f>
        <v>0</v>
      </c>
      <c r="BJ12" s="430" t="n">
        <f aca="false">IF('APA Inputs'!$C$27="",0,(IF(AND(BJ$4&gt;='APA Inputs'!$C$27,BJ$4&lt;EDATE('APA Inputs'!$C$27,N('APA Inputs'!$D$27))),'APA Inputs'!$J$27,0)+IF(N('APA Inputs'!$H$27)&gt;0,IF(BJ$4=EDATE('APA Inputs'!$C$27,'APA Inputs'!$H$27-1),N('APA Inputs'!$G$27),0),0))*IF('APA Inputs'!$I$27="",1,'APA Inputs'!$I$27))</f>
        <v>0</v>
      </c>
      <c r="BK12" s="430" t="n">
        <f aca="false">IF('APA Inputs'!$C$27="",0,(IF(AND(BK$4&gt;='APA Inputs'!$C$27,BK$4&lt;EDATE('APA Inputs'!$C$27,N('APA Inputs'!$D$27))),'APA Inputs'!$J$27,0)+IF(N('APA Inputs'!$H$27)&gt;0,IF(BK$4=EDATE('APA Inputs'!$C$27,'APA Inputs'!$H$27-1),N('APA Inputs'!$G$27),0),0))*IF('APA Inputs'!$I$27="",1,'APA Inputs'!$I$27))</f>
        <v>0</v>
      </c>
      <c r="BL12" s="430" t="n">
        <f aca="false">IF('APA Inputs'!$C$27="",0,(IF(AND(BL$4&gt;='APA Inputs'!$C$27,BL$4&lt;EDATE('APA Inputs'!$C$27,N('APA Inputs'!$D$27))),'APA Inputs'!$J$27,0)+IF(N('APA Inputs'!$H$27)&gt;0,IF(BL$4=EDATE('APA Inputs'!$C$27,'APA Inputs'!$H$27-1),N('APA Inputs'!$G$27),0),0))*IF('APA Inputs'!$I$27="",1,'APA Inputs'!$I$27))</f>
        <v>0</v>
      </c>
      <c r="BM12" s="430" t="n">
        <f aca="false">IF('APA Inputs'!$C$27="",0,(IF(AND(BM$4&gt;='APA Inputs'!$C$27,BM$4&lt;EDATE('APA Inputs'!$C$27,N('APA Inputs'!$D$27))),'APA Inputs'!$J$27,0)+IF(N('APA Inputs'!$H$27)&gt;0,IF(BM$4=EDATE('APA Inputs'!$C$27,'APA Inputs'!$H$27-1),N('APA Inputs'!$G$27),0),0))*IF('APA Inputs'!$I$27="",1,'APA Inputs'!$I$27))</f>
        <v>0</v>
      </c>
      <c r="BN12" s="430" t="n">
        <f aca="false">IF('APA Inputs'!$C$27="",0,(IF(AND(BN$4&gt;='APA Inputs'!$C$27,BN$4&lt;EDATE('APA Inputs'!$C$27,N('APA Inputs'!$D$27))),'APA Inputs'!$J$27,0)+IF(N('APA Inputs'!$H$27)&gt;0,IF(BN$4=EDATE('APA Inputs'!$C$27,'APA Inputs'!$H$27-1),N('APA Inputs'!$G$27),0),0))*IF('APA Inputs'!$I$27="",1,'APA Inputs'!$I$27))</f>
        <v>0</v>
      </c>
      <c r="BO12" s="430" t="n">
        <f aca="false">IF('APA Inputs'!$C$27="",0,(IF(AND(BO$4&gt;='APA Inputs'!$C$27,BO$4&lt;EDATE('APA Inputs'!$C$27,N('APA Inputs'!$D$27))),'APA Inputs'!$J$27,0)+IF(N('APA Inputs'!$H$27)&gt;0,IF(BO$4=EDATE('APA Inputs'!$C$27,'APA Inputs'!$H$27-1),N('APA Inputs'!$G$27),0),0))*IF('APA Inputs'!$I$27="",1,'APA Inputs'!$I$27))</f>
        <v>0</v>
      </c>
      <c r="BP12" s="430" t="n">
        <f aca="false">IF('APA Inputs'!$C$27="",0,(IF(AND(BP$4&gt;='APA Inputs'!$C$27,BP$4&lt;EDATE('APA Inputs'!$C$27,N('APA Inputs'!$D$27))),'APA Inputs'!$J$27,0)+IF(N('APA Inputs'!$H$27)&gt;0,IF(BP$4=EDATE('APA Inputs'!$C$27,'APA Inputs'!$H$27-1),N('APA Inputs'!$G$27),0),0))*IF('APA Inputs'!$I$27="",1,'APA Inputs'!$I$27))</f>
        <v>0</v>
      </c>
      <c r="BQ12" s="430" t="n">
        <f aca="false">IF('APA Inputs'!$C$27="",0,(IF(AND(BQ$4&gt;='APA Inputs'!$C$27,BQ$4&lt;EDATE('APA Inputs'!$C$27,N('APA Inputs'!$D$27))),'APA Inputs'!$J$27,0)+IF(N('APA Inputs'!$H$27)&gt;0,IF(BQ$4=EDATE('APA Inputs'!$C$27,'APA Inputs'!$H$27-1),N('APA Inputs'!$G$27),0),0))*IF('APA Inputs'!$I$27="",1,'APA Inputs'!$I$27))</f>
        <v>0</v>
      </c>
      <c r="BR12" s="430" t="n">
        <f aca="false">IF('APA Inputs'!$C$27="",0,(IF(AND(BR$4&gt;='APA Inputs'!$C$27,BR$4&lt;EDATE('APA Inputs'!$C$27,N('APA Inputs'!$D$27))),'APA Inputs'!$J$27,0)+IF(N('APA Inputs'!$H$27)&gt;0,IF(BR$4=EDATE('APA Inputs'!$C$27,'APA Inputs'!$H$27-1),N('APA Inputs'!$G$27),0),0))*IF('APA Inputs'!$I$27="",1,'APA Inputs'!$I$27))</f>
        <v>0</v>
      </c>
      <c r="BS12" s="430" t="n">
        <f aca="false">IF('APA Inputs'!$C$27="",0,(IF(AND(BS$4&gt;='APA Inputs'!$C$27,BS$4&lt;EDATE('APA Inputs'!$C$27,N('APA Inputs'!$D$27))),'APA Inputs'!$J$27,0)+IF(N('APA Inputs'!$H$27)&gt;0,IF(BS$4=EDATE('APA Inputs'!$C$27,'APA Inputs'!$H$27-1),N('APA Inputs'!$G$27),0),0))*IF('APA Inputs'!$I$27="",1,'APA Inputs'!$I$27))</f>
        <v>0</v>
      </c>
      <c r="BT12" s="430" t="n">
        <f aca="false">IF('APA Inputs'!$C$27="",0,(IF(AND(BT$4&gt;='APA Inputs'!$C$27,BT$4&lt;EDATE('APA Inputs'!$C$27,N('APA Inputs'!$D$27))),'APA Inputs'!$J$27,0)+IF(N('APA Inputs'!$H$27)&gt;0,IF(BT$4=EDATE('APA Inputs'!$C$27,'APA Inputs'!$H$27-1),N('APA Inputs'!$G$27),0),0))*IF('APA Inputs'!$I$27="",1,'APA Inputs'!$I$27))</f>
        <v>0</v>
      </c>
      <c r="BU12" s="430" t="n">
        <f aca="false">IF('APA Inputs'!$C$27="",0,(IF(AND(BU$4&gt;='APA Inputs'!$C$27,BU$4&lt;EDATE('APA Inputs'!$C$27,N('APA Inputs'!$D$27))),'APA Inputs'!$J$27,0)+IF(N('APA Inputs'!$H$27)&gt;0,IF(BU$4=EDATE('APA Inputs'!$C$27,'APA Inputs'!$H$27-1),N('APA Inputs'!$G$27),0),0))*IF('APA Inputs'!$I$27="",1,'APA Inputs'!$I$27))</f>
        <v>0</v>
      </c>
      <c r="BV12" s="430" t="n">
        <f aca="false">IF('APA Inputs'!$C$27="",0,(IF(AND(BV$4&gt;='APA Inputs'!$C$27,BV$4&lt;EDATE('APA Inputs'!$C$27,N('APA Inputs'!$D$27))),'APA Inputs'!$J$27,0)+IF(N('APA Inputs'!$H$27)&gt;0,IF(BV$4=EDATE('APA Inputs'!$C$27,'APA Inputs'!$H$27-1),N('APA Inputs'!$G$27),0),0))*IF('APA Inputs'!$I$27="",1,'APA Inputs'!$I$27))</f>
        <v>0</v>
      </c>
      <c r="BW12" s="430" t="n">
        <f aca="false">IF('APA Inputs'!$C$27="",0,(IF(AND(BW$4&gt;='APA Inputs'!$C$27,BW$4&lt;EDATE('APA Inputs'!$C$27,N('APA Inputs'!$D$27))),'APA Inputs'!$J$27,0)+IF(N('APA Inputs'!$H$27)&gt;0,IF(BW$4=EDATE('APA Inputs'!$C$27,'APA Inputs'!$H$27-1),N('APA Inputs'!$G$27),0),0))*IF('APA Inputs'!$I$27="",1,'APA Inputs'!$I$27))</f>
        <v>0</v>
      </c>
      <c r="BX12" s="430" t="n">
        <f aca="false">IF('APA Inputs'!$C$27="",0,(IF(AND(BX$4&gt;='APA Inputs'!$C$27,BX$4&lt;EDATE('APA Inputs'!$C$27,N('APA Inputs'!$D$27))),'APA Inputs'!$J$27,0)+IF(N('APA Inputs'!$H$27)&gt;0,IF(BX$4=EDATE('APA Inputs'!$C$27,'APA Inputs'!$H$27-1),N('APA Inputs'!$G$27),0),0))*IF('APA Inputs'!$I$27="",1,'APA Inputs'!$I$27))</f>
        <v>0</v>
      </c>
      <c r="BY12" s="430" t="n">
        <f aca="false">IF('APA Inputs'!$C$27="",0,(IF(AND(BY$4&gt;='APA Inputs'!$C$27,BY$4&lt;EDATE('APA Inputs'!$C$27,N('APA Inputs'!$D$27))),'APA Inputs'!$J$27,0)+IF(N('APA Inputs'!$H$27)&gt;0,IF(BY$4=EDATE('APA Inputs'!$C$27,'APA Inputs'!$H$27-1),N('APA Inputs'!$G$27),0),0))*IF('APA Inputs'!$I$27="",1,'APA Inputs'!$I$27))</f>
        <v>0</v>
      </c>
      <c r="BZ12" s="430" t="n">
        <f aca="false">IF('APA Inputs'!$C$27="",0,(IF(AND(BZ$4&gt;='APA Inputs'!$C$27,BZ$4&lt;EDATE('APA Inputs'!$C$27,N('APA Inputs'!$D$27))),'APA Inputs'!$J$27,0)+IF(N('APA Inputs'!$H$27)&gt;0,IF(BZ$4=EDATE('APA Inputs'!$C$27,'APA Inputs'!$H$27-1),N('APA Inputs'!$G$27),0),0))*IF('APA Inputs'!$I$27="",1,'APA Inputs'!$I$27))</f>
        <v>0</v>
      </c>
      <c r="CA12" s="430" t="n">
        <f aca="false">IF('APA Inputs'!$C$27="",0,(IF(AND(CA$4&gt;='APA Inputs'!$C$27,CA$4&lt;EDATE('APA Inputs'!$C$27,N('APA Inputs'!$D$27))),'APA Inputs'!$J$27,0)+IF(N('APA Inputs'!$H$27)&gt;0,IF(CA$4=EDATE('APA Inputs'!$C$27,'APA Inputs'!$H$27-1),N('APA Inputs'!$G$27),0),0))*IF('APA Inputs'!$I$27="",1,'APA Inputs'!$I$27))</f>
        <v>0</v>
      </c>
      <c r="CB12" s="430" t="n">
        <f aca="false">IF('APA Inputs'!$C$27="",0,(IF(AND(CB$4&gt;='APA Inputs'!$C$27,CB$4&lt;EDATE('APA Inputs'!$C$27,N('APA Inputs'!$D$27))),'APA Inputs'!$J$27,0)+IF(N('APA Inputs'!$H$27)&gt;0,IF(CB$4=EDATE('APA Inputs'!$C$27,'APA Inputs'!$H$27-1),N('APA Inputs'!$G$27),0),0))*IF('APA Inputs'!$I$27="",1,'APA Inputs'!$I$27))</f>
        <v>0</v>
      </c>
      <c r="CC12" s="430" t="n">
        <f aca="false">IF('APA Inputs'!$C$27="",0,(IF(AND(CC$4&gt;='APA Inputs'!$C$27,CC$4&lt;EDATE('APA Inputs'!$C$27,N('APA Inputs'!$D$27))),'APA Inputs'!$J$27,0)+IF(N('APA Inputs'!$H$27)&gt;0,IF(CC$4=EDATE('APA Inputs'!$C$27,'APA Inputs'!$H$27-1),N('APA Inputs'!$G$27),0),0))*IF('APA Inputs'!$I$27="",1,'APA Inputs'!$I$27))</f>
        <v>0</v>
      </c>
      <c r="CD12" s="430" t="n">
        <f aca="false">IF('APA Inputs'!$C$27="",0,(IF(AND(CD$4&gt;='APA Inputs'!$C$27,CD$4&lt;EDATE('APA Inputs'!$C$27,N('APA Inputs'!$D$27))),'APA Inputs'!$J$27,0)+IF(N('APA Inputs'!$H$27)&gt;0,IF(CD$4=EDATE('APA Inputs'!$C$27,'APA Inputs'!$H$27-1),N('APA Inputs'!$G$27),0),0))*IF('APA Inputs'!$I$27="",1,'APA Inputs'!$I$27))</f>
        <v>0</v>
      </c>
      <c r="CE12" s="430" t="n">
        <f aca="false">IF('APA Inputs'!$C$27="",0,(IF(AND(CE$4&gt;='APA Inputs'!$C$27,CE$4&lt;EDATE('APA Inputs'!$C$27,N('APA Inputs'!$D$27))),'APA Inputs'!$J$27,0)+IF(N('APA Inputs'!$H$27)&gt;0,IF(CE$4=EDATE('APA Inputs'!$C$27,'APA Inputs'!$H$27-1),N('APA Inputs'!$G$27),0),0))*IF('APA Inputs'!$I$27="",1,'APA Inputs'!$I$27))</f>
        <v>0</v>
      </c>
      <c r="CF12" s="430" t="n">
        <f aca="false">IF('APA Inputs'!$C$27="",0,(IF(AND(CF$4&gt;='APA Inputs'!$C$27,CF$4&lt;EDATE('APA Inputs'!$C$27,N('APA Inputs'!$D$27))),'APA Inputs'!$J$27,0)+IF(N('APA Inputs'!$H$27)&gt;0,IF(CF$4=EDATE('APA Inputs'!$C$27,'APA Inputs'!$H$27-1),N('APA Inputs'!$G$27),0),0))*IF('APA Inputs'!$I$27="",1,'APA Inputs'!$I$27))</f>
        <v>0</v>
      </c>
      <c r="CG12" s="430" t="n">
        <f aca="false">IF('APA Inputs'!$C$27="",0,(IF(AND(CG$4&gt;='APA Inputs'!$C$27,CG$4&lt;EDATE('APA Inputs'!$C$27,N('APA Inputs'!$D$27))),'APA Inputs'!$J$27,0)+IF(N('APA Inputs'!$H$27)&gt;0,IF(CG$4=EDATE('APA Inputs'!$C$27,'APA Inputs'!$H$27-1),N('APA Inputs'!$G$27),0),0))*IF('APA Inputs'!$I$27="",1,'APA Inputs'!$I$27))</f>
        <v>0</v>
      </c>
      <c r="CH12" s="430" t="n">
        <f aca="false">IF('APA Inputs'!$C$27="",0,(IF(AND(CH$4&gt;='APA Inputs'!$C$27,CH$4&lt;EDATE('APA Inputs'!$C$27,N('APA Inputs'!$D$27))),'APA Inputs'!$J$27,0)+IF(N('APA Inputs'!$H$27)&gt;0,IF(CH$4=EDATE('APA Inputs'!$C$27,'APA Inputs'!$H$27-1),N('APA Inputs'!$G$27),0),0))*IF('APA Inputs'!$I$27="",1,'APA Inputs'!$I$27))</f>
        <v>0</v>
      </c>
      <c r="CI12" s="430" t="n">
        <f aca="false">IF('APA Inputs'!$C$27="",0,(IF(AND(CI$4&gt;='APA Inputs'!$C$27,CI$4&lt;EDATE('APA Inputs'!$C$27,N('APA Inputs'!$D$27))),'APA Inputs'!$J$27,0)+IF(N('APA Inputs'!$H$27)&gt;0,IF(CI$4=EDATE('APA Inputs'!$C$27,'APA Inputs'!$H$27-1),N('APA Inputs'!$G$27),0),0))*IF('APA Inputs'!$I$27="",1,'APA Inputs'!$I$27))</f>
        <v>0</v>
      </c>
      <c r="CJ12" s="430" t="n">
        <f aca="false">IF('APA Inputs'!$C$27="",0,(IF(AND(CJ$4&gt;='APA Inputs'!$C$27,CJ$4&lt;EDATE('APA Inputs'!$C$27,N('APA Inputs'!$D$27))),'APA Inputs'!$J$27,0)+IF(N('APA Inputs'!$H$27)&gt;0,IF(CJ$4=EDATE('APA Inputs'!$C$27,'APA Inputs'!$H$27-1),N('APA Inputs'!$G$27),0),0))*IF('APA Inputs'!$I$27="",1,'APA Inputs'!$I$27))</f>
        <v>0</v>
      </c>
      <c r="CK12" s="430" t="n">
        <f aca="false">IF('APA Inputs'!$C$27="",0,(IF(AND(CK$4&gt;='APA Inputs'!$C$27,CK$4&lt;EDATE('APA Inputs'!$C$27,N('APA Inputs'!$D$27))),'APA Inputs'!$J$27,0)+IF(N('APA Inputs'!$H$27)&gt;0,IF(CK$4=EDATE('APA Inputs'!$C$27,'APA Inputs'!$H$27-1),N('APA Inputs'!$G$27),0),0))*IF('APA Inputs'!$I$27="",1,'APA Inputs'!$I$27))</f>
        <v>0</v>
      </c>
      <c r="CL12" s="430" t="n">
        <f aca="false">IF('APA Inputs'!$C$27="",0,(IF(AND(CL$4&gt;='APA Inputs'!$C$27,CL$4&lt;EDATE('APA Inputs'!$C$27,N('APA Inputs'!$D$27))),'APA Inputs'!$J$27,0)+IF(N('APA Inputs'!$H$27)&gt;0,IF(CL$4=EDATE('APA Inputs'!$C$27,'APA Inputs'!$H$27-1),N('APA Inputs'!$G$27),0),0))*IF('APA Inputs'!$I$27="",1,'APA Inputs'!$I$27))</f>
        <v>0</v>
      </c>
      <c r="CM12" s="430" t="n">
        <f aca="false">IF('APA Inputs'!$C$27="",0,(IF(AND(CM$4&gt;='APA Inputs'!$C$27,CM$4&lt;EDATE('APA Inputs'!$C$27,N('APA Inputs'!$D$27))),'APA Inputs'!$J$27,0)+IF(N('APA Inputs'!$H$27)&gt;0,IF(CM$4=EDATE('APA Inputs'!$C$27,'APA Inputs'!$H$27-1),N('APA Inputs'!$G$27),0),0))*IF('APA Inputs'!$I$27="",1,'APA Inputs'!$I$27))</f>
        <v>0</v>
      </c>
      <c r="CN12" s="430" t="n">
        <f aca="false">IF('APA Inputs'!$C$27="",0,(IF(AND(CN$4&gt;='APA Inputs'!$C$27,CN$4&lt;EDATE('APA Inputs'!$C$27,N('APA Inputs'!$D$27))),'APA Inputs'!$J$27,0)+IF(N('APA Inputs'!$H$27)&gt;0,IF(CN$4=EDATE('APA Inputs'!$C$27,'APA Inputs'!$H$27-1),N('APA Inputs'!$G$27),0),0))*IF('APA Inputs'!$I$27="",1,'APA Inputs'!$I$27))</f>
        <v>0</v>
      </c>
      <c r="CO12" s="430" t="n">
        <f aca="false">IF('APA Inputs'!$C$27="",0,(IF(AND(CO$4&gt;='APA Inputs'!$C$27,CO$4&lt;EDATE('APA Inputs'!$C$27,N('APA Inputs'!$D$27))),'APA Inputs'!$J$27,0)+IF(N('APA Inputs'!$H$27)&gt;0,IF(CO$4=EDATE('APA Inputs'!$C$27,'APA Inputs'!$H$27-1),N('APA Inputs'!$G$27),0),0))*IF('APA Inputs'!$I$27="",1,'APA Inputs'!$I$27))</f>
        <v>0</v>
      </c>
      <c r="CP12" s="430" t="n">
        <f aca="false">IF('APA Inputs'!$C$27="",0,(IF(AND(CP$4&gt;='APA Inputs'!$C$27,CP$4&lt;EDATE('APA Inputs'!$C$27,N('APA Inputs'!$D$27))),'APA Inputs'!$J$27,0)+IF(N('APA Inputs'!$H$27)&gt;0,IF(CP$4=EDATE('APA Inputs'!$C$27,'APA Inputs'!$H$27-1),N('APA Inputs'!$G$27),0),0))*IF('APA Inputs'!$I$27="",1,'APA Inputs'!$I$27))</f>
        <v>0</v>
      </c>
      <c r="CQ12" s="430" t="n">
        <f aca="false">IF('APA Inputs'!$C$27="",0,(IF(AND(CQ$4&gt;='APA Inputs'!$C$27,CQ$4&lt;EDATE('APA Inputs'!$C$27,N('APA Inputs'!$D$27))),'APA Inputs'!$J$27,0)+IF(N('APA Inputs'!$H$27)&gt;0,IF(CQ$4=EDATE('APA Inputs'!$C$27,'APA Inputs'!$H$27-1),N('APA Inputs'!$G$27),0),0))*IF('APA Inputs'!$I$27="",1,'APA Inputs'!$I$27))</f>
        <v>0</v>
      </c>
      <c r="CR12" s="430" t="n">
        <f aca="false">IF('APA Inputs'!$C$27="",0,(IF(AND(CR$4&gt;='APA Inputs'!$C$27,CR$4&lt;EDATE('APA Inputs'!$C$27,N('APA Inputs'!$D$27))),'APA Inputs'!$J$27,0)+IF(N('APA Inputs'!$H$27)&gt;0,IF(CR$4=EDATE('APA Inputs'!$C$27,'APA Inputs'!$H$27-1),N('APA Inputs'!$G$27),0),0))*IF('APA Inputs'!$I$27="",1,'APA Inputs'!$I$27))</f>
        <v>0</v>
      </c>
      <c r="CS12" s="430" t="n">
        <f aca="false">IF('APA Inputs'!$C$27="",0,(IF(AND(CS$4&gt;='APA Inputs'!$C$27,CS$4&lt;EDATE('APA Inputs'!$C$27,N('APA Inputs'!$D$27))),'APA Inputs'!$J$27,0)+IF(N('APA Inputs'!$H$27)&gt;0,IF(CS$4=EDATE('APA Inputs'!$C$27,'APA Inputs'!$H$27-1),N('APA Inputs'!$G$27),0),0))*IF('APA Inputs'!$I$27="",1,'APA Inputs'!$I$27))</f>
        <v>0</v>
      </c>
      <c r="CT12" s="430" t="n">
        <f aca="false">IF('APA Inputs'!$C$27="",0,(IF(AND(CT$4&gt;='APA Inputs'!$C$27,CT$4&lt;EDATE('APA Inputs'!$C$27,N('APA Inputs'!$D$27))),'APA Inputs'!$J$27,0)+IF(N('APA Inputs'!$H$27)&gt;0,IF(CT$4=EDATE('APA Inputs'!$C$27,'APA Inputs'!$H$27-1),N('APA Inputs'!$G$27),0),0))*IF('APA Inputs'!$I$27="",1,'APA Inputs'!$I$27))</f>
        <v>0</v>
      </c>
      <c r="CU12" s="430" t="n">
        <f aca="false">IF('APA Inputs'!$C$27="",0,(IF(AND(CU$4&gt;='APA Inputs'!$C$27,CU$4&lt;EDATE('APA Inputs'!$C$27,N('APA Inputs'!$D$27))),'APA Inputs'!$J$27,0)+IF(N('APA Inputs'!$H$27)&gt;0,IF(CU$4=EDATE('APA Inputs'!$C$27,'APA Inputs'!$H$27-1),N('APA Inputs'!$G$27),0),0))*IF('APA Inputs'!$I$27="",1,'APA Inputs'!$I$27))</f>
        <v>0</v>
      </c>
      <c r="CV12" s="430" t="n">
        <f aca="false">IF('APA Inputs'!$C$27="",0,(IF(AND(CV$4&gt;='APA Inputs'!$C$27,CV$4&lt;EDATE('APA Inputs'!$C$27,N('APA Inputs'!$D$27))),'APA Inputs'!$J$27,0)+IF(N('APA Inputs'!$H$27)&gt;0,IF(CV$4=EDATE('APA Inputs'!$C$27,'APA Inputs'!$H$27-1),N('APA Inputs'!$G$27),0),0))*IF('APA Inputs'!$I$27="",1,'APA Inputs'!$I$27))</f>
        <v>0</v>
      </c>
      <c r="CW12" s="430" t="n">
        <f aca="false">IF('APA Inputs'!$C$27="",0,(IF(AND(CW$4&gt;='APA Inputs'!$C$27,CW$4&lt;EDATE('APA Inputs'!$C$27,N('APA Inputs'!$D$27))),'APA Inputs'!$J$27,0)+IF(N('APA Inputs'!$H$27)&gt;0,IF(CW$4=EDATE('APA Inputs'!$C$27,'APA Inputs'!$H$27-1),N('APA Inputs'!$G$27),0),0))*IF('APA Inputs'!$I$27="",1,'APA Inputs'!$I$27))</f>
        <v>0</v>
      </c>
      <c r="CX12" s="430" t="n">
        <f aca="false">IF('APA Inputs'!$C$27="",0,(IF(AND(CX$4&gt;='APA Inputs'!$C$27,CX$4&lt;EDATE('APA Inputs'!$C$27,N('APA Inputs'!$D$27))),'APA Inputs'!$J$27,0)+IF(N('APA Inputs'!$H$27)&gt;0,IF(CX$4=EDATE('APA Inputs'!$C$27,'APA Inputs'!$H$27-1),N('APA Inputs'!$G$27),0),0))*IF('APA Inputs'!$I$27="",1,'APA Inputs'!$I$27))</f>
        <v>0</v>
      </c>
      <c r="CY12" s="430" t="n">
        <f aca="false">IF('APA Inputs'!$C$27="",0,(IF(AND(CY$4&gt;='APA Inputs'!$C$27,CY$4&lt;EDATE('APA Inputs'!$C$27,N('APA Inputs'!$D$27))),'APA Inputs'!$J$27,0)+IF(N('APA Inputs'!$H$27)&gt;0,IF(CY$4=EDATE('APA Inputs'!$C$27,'APA Inputs'!$H$27-1),N('APA Inputs'!$G$27),0),0))*IF('APA Inputs'!$I$27="",1,'APA Inputs'!$I$27))</f>
        <v>0</v>
      </c>
      <c r="CZ12" s="430" t="n">
        <f aca="false">IF('APA Inputs'!$C$27="",0,(IF(AND(CZ$4&gt;='APA Inputs'!$C$27,CZ$4&lt;EDATE('APA Inputs'!$C$27,N('APA Inputs'!$D$27))),'APA Inputs'!$J$27,0)+IF(N('APA Inputs'!$H$27)&gt;0,IF(CZ$4=EDATE('APA Inputs'!$C$27,'APA Inputs'!$H$27-1),N('APA Inputs'!$G$27),0),0))*IF('APA Inputs'!$I$27="",1,'APA Inputs'!$I$27))</f>
        <v>0</v>
      </c>
      <c r="DA12" s="430" t="n">
        <f aca="false">IF('APA Inputs'!$C$27="",0,(IF(AND(DA$4&gt;='APA Inputs'!$C$27,DA$4&lt;EDATE('APA Inputs'!$C$27,N('APA Inputs'!$D$27))),'APA Inputs'!$J$27,0)+IF(N('APA Inputs'!$H$27)&gt;0,IF(DA$4=EDATE('APA Inputs'!$C$27,'APA Inputs'!$H$27-1),N('APA Inputs'!$G$27),0),0))*IF('APA Inputs'!$I$27="",1,'APA Inputs'!$I$27))</f>
        <v>0</v>
      </c>
      <c r="DB12" s="430" t="n">
        <f aca="false">IF('APA Inputs'!$C$27="",0,(IF(AND(DB$4&gt;='APA Inputs'!$C$27,DB$4&lt;EDATE('APA Inputs'!$C$27,N('APA Inputs'!$D$27))),'APA Inputs'!$J$27,0)+IF(N('APA Inputs'!$H$27)&gt;0,IF(DB$4=EDATE('APA Inputs'!$C$27,'APA Inputs'!$H$27-1),N('APA Inputs'!$G$27),0),0))*IF('APA Inputs'!$I$27="",1,'APA Inputs'!$I$27))</f>
        <v>0</v>
      </c>
      <c r="DC12" s="430" t="n">
        <f aca="false">IF('APA Inputs'!$C$27="",0,(IF(AND(DC$4&gt;='APA Inputs'!$C$27,DC$4&lt;EDATE('APA Inputs'!$C$27,N('APA Inputs'!$D$27))),'APA Inputs'!$J$27,0)+IF(N('APA Inputs'!$H$27)&gt;0,IF(DC$4=EDATE('APA Inputs'!$C$27,'APA Inputs'!$H$27-1),N('APA Inputs'!$G$27),0),0))*IF('APA Inputs'!$I$27="",1,'APA Inputs'!$I$27))</f>
        <v>0</v>
      </c>
      <c r="DD12" s="430" t="n">
        <f aca="false">IF('APA Inputs'!$C$27="",0,(IF(AND(DD$4&gt;='APA Inputs'!$C$27,DD$4&lt;EDATE('APA Inputs'!$C$27,N('APA Inputs'!$D$27))),'APA Inputs'!$J$27,0)+IF(N('APA Inputs'!$H$27)&gt;0,IF(DD$4=EDATE('APA Inputs'!$C$27,'APA Inputs'!$H$27-1),N('APA Inputs'!$G$27),0),0))*IF('APA Inputs'!$I$27="",1,'APA Inputs'!$I$27))</f>
        <v>0</v>
      </c>
      <c r="DE12" s="430"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30" t="n">
        <f aca="false">IF('APA Inputs'!$C$28="",0,(IF(AND(B$4&gt;='APA Inputs'!$C$28,B$4&lt;EDATE('APA Inputs'!$C$28,N('APA Inputs'!$D$28))),'APA Inputs'!$J$28,0)+IF(N('APA Inputs'!$H$28)&gt;0,IF(B$4=EDATE('APA Inputs'!$C$28,'APA Inputs'!$H$28-1),N('APA Inputs'!$G$28),0),0))*IF('APA Inputs'!$I$28="",1,'APA Inputs'!$I$28))</f>
        <v>0</v>
      </c>
      <c r="C13" s="430" t="n">
        <f aca="false">IF('APA Inputs'!$C$28="",0,(IF(AND(C$4&gt;='APA Inputs'!$C$28,C$4&lt;EDATE('APA Inputs'!$C$28,N('APA Inputs'!$D$28))),'APA Inputs'!$J$28,0)+IF(N('APA Inputs'!$H$28)&gt;0,IF(C$4=EDATE('APA Inputs'!$C$28,'APA Inputs'!$H$28-1),N('APA Inputs'!$G$28),0),0))*IF('APA Inputs'!$I$28="",1,'APA Inputs'!$I$28))</f>
        <v>0</v>
      </c>
      <c r="D13" s="430" t="n">
        <f aca="false">IF('APA Inputs'!$C$28="",0,(IF(AND(D$4&gt;='APA Inputs'!$C$28,D$4&lt;EDATE('APA Inputs'!$C$28,N('APA Inputs'!$D$28))),'APA Inputs'!$J$28,0)+IF(N('APA Inputs'!$H$28)&gt;0,IF(D$4=EDATE('APA Inputs'!$C$28,'APA Inputs'!$H$28-1),N('APA Inputs'!$G$28),0),0))*IF('APA Inputs'!$I$28="",1,'APA Inputs'!$I$28))</f>
        <v>0</v>
      </c>
      <c r="E13" s="430" t="n">
        <f aca="false">IF('APA Inputs'!$C$28="",0,(IF(AND(E$4&gt;='APA Inputs'!$C$28,E$4&lt;EDATE('APA Inputs'!$C$28,N('APA Inputs'!$D$28))),'APA Inputs'!$J$28,0)+IF(N('APA Inputs'!$H$28)&gt;0,IF(E$4=EDATE('APA Inputs'!$C$28,'APA Inputs'!$H$28-1),N('APA Inputs'!$G$28),0),0))*IF('APA Inputs'!$I$28="",1,'APA Inputs'!$I$28))</f>
        <v>0</v>
      </c>
      <c r="F13" s="430" t="n">
        <f aca="false">IF('APA Inputs'!$C$28="",0,(IF(AND(F$4&gt;='APA Inputs'!$C$28,F$4&lt;EDATE('APA Inputs'!$C$28,N('APA Inputs'!$D$28))),'APA Inputs'!$J$28,0)+IF(N('APA Inputs'!$H$28)&gt;0,IF(F$4=EDATE('APA Inputs'!$C$28,'APA Inputs'!$H$28-1),N('APA Inputs'!$G$28),0),0))*IF('APA Inputs'!$I$28="",1,'APA Inputs'!$I$28))</f>
        <v>0</v>
      </c>
      <c r="G13" s="430" t="n">
        <f aca="false">IF('APA Inputs'!$C$28="",0,(IF(AND(G$4&gt;='APA Inputs'!$C$28,G$4&lt;EDATE('APA Inputs'!$C$28,N('APA Inputs'!$D$28))),'APA Inputs'!$J$28,0)+IF(N('APA Inputs'!$H$28)&gt;0,IF(G$4=EDATE('APA Inputs'!$C$28,'APA Inputs'!$H$28-1),N('APA Inputs'!$G$28),0),0))*IF('APA Inputs'!$I$28="",1,'APA Inputs'!$I$28))</f>
        <v>0</v>
      </c>
      <c r="H13" s="430" t="n">
        <f aca="false">IF('APA Inputs'!$C$28="",0,(IF(AND(H$4&gt;='APA Inputs'!$C$28,H$4&lt;EDATE('APA Inputs'!$C$28,N('APA Inputs'!$D$28))),'APA Inputs'!$J$28,0)+IF(N('APA Inputs'!$H$28)&gt;0,IF(H$4=EDATE('APA Inputs'!$C$28,'APA Inputs'!$H$28-1),N('APA Inputs'!$G$28),0),0))*IF('APA Inputs'!$I$28="",1,'APA Inputs'!$I$28))</f>
        <v>0</v>
      </c>
      <c r="I13" s="430" t="n">
        <f aca="false">IF('APA Inputs'!$C$28="",0,(IF(AND(I$4&gt;='APA Inputs'!$C$28,I$4&lt;EDATE('APA Inputs'!$C$28,N('APA Inputs'!$D$28))),'APA Inputs'!$J$28,0)+IF(N('APA Inputs'!$H$28)&gt;0,IF(I$4=EDATE('APA Inputs'!$C$28,'APA Inputs'!$H$28-1),N('APA Inputs'!$G$28),0),0))*IF('APA Inputs'!$I$28="",1,'APA Inputs'!$I$28))</f>
        <v>0</v>
      </c>
      <c r="J13" s="430" t="n">
        <f aca="false">IF('APA Inputs'!$C$28="",0,(IF(AND(J$4&gt;='APA Inputs'!$C$28,J$4&lt;EDATE('APA Inputs'!$C$28,N('APA Inputs'!$D$28))),'APA Inputs'!$J$28,0)+IF(N('APA Inputs'!$H$28)&gt;0,IF(J$4=EDATE('APA Inputs'!$C$28,'APA Inputs'!$H$28-1),N('APA Inputs'!$G$28),0),0))*IF('APA Inputs'!$I$28="",1,'APA Inputs'!$I$28))</f>
        <v>0</v>
      </c>
      <c r="K13" s="430" t="n">
        <f aca="false">IF('APA Inputs'!$C$28="",0,(IF(AND(K$4&gt;='APA Inputs'!$C$28,K$4&lt;EDATE('APA Inputs'!$C$28,N('APA Inputs'!$D$28))),'APA Inputs'!$J$28,0)+IF(N('APA Inputs'!$H$28)&gt;0,IF(K$4=EDATE('APA Inputs'!$C$28,'APA Inputs'!$H$28-1),N('APA Inputs'!$G$28),0),0))*IF('APA Inputs'!$I$28="",1,'APA Inputs'!$I$28))</f>
        <v>0</v>
      </c>
      <c r="L13" s="430" t="n">
        <f aca="false">IF('APA Inputs'!$C$28="",0,(IF(AND(L$4&gt;='APA Inputs'!$C$28,L$4&lt;EDATE('APA Inputs'!$C$28,N('APA Inputs'!$D$28))),'APA Inputs'!$J$28,0)+IF(N('APA Inputs'!$H$28)&gt;0,IF(L$4=EDATE('APA Inputs'!$C$28,'APA Inputs'!$H$28-1),N('APA Inputs'!$G$28),0),0))*IF('APA Inputs'!$I$28="",1,'APA Inputs'!$I$28))</f>
        <v>0</v>
      </c>
      <c r="M13" s="430" t="n">
        <f aca="false">IF('APA Inputs'!$C$28="",0,(IF(AND(M$4&gt;='APA Inputs'!$C$28,M$4&lt;EDATE('APA Inputs'!$C$28,N('APA Inputs'!$D$28))),'APA Inputs'!$J$28,0)+IF(N('APA Inputs'!$H$28)&gt;0,IF(M$4=EDATE('APA Inputs'!$C$28,'APA Inputs'!$H$28-1),N('APA Inputs'!$G$28),0),0))*IF('APA Inputs'!$I$28="",1,'APA Inputs'!$I$28))</f>
        <v>0</v>
      </c>
      <c r="N13" s="430" t="n">
        <f aca="false">IF('APA Inputs'!$C$28="",0,(IF(AND(N$4&gt;='APA Inputs'!$C$28,N$4&lt;EDATE('APA Inputs'!$C$28,N('APA Inputs'!$D$28))),'APA Inputs'!$J$28,0)+IF(N('APA Inputs'!$H$28)&gt;0,IF(N$4=EDATE('APA Inputs'!$C$28,'APA Inputs'!$H$28-1),N('APA Inputs'!$G$28),0),0))*IF('APA Inputs'!$I$28="",1,'APA Inputs'!$I$28))</f>
        <v>0</v>
      </c>
      <c r="O13" s="430" t="n">
        <f aca="false">IF('APA Inputs'!$C$28="",0,(IF(AND(O$4&gt;='APA Inputs'!$C$28,O$4&lt;EDATE('APA Inputs'!$C$28,N('APA Inputs'!$D$28))),'APA Inputs'!$J$28,0)+IF(N('APA Inputs'!$H$28)&gt;0,IF(O$4=EDATE('APA Inputs'!$C$28,'APA Inputs'!$H$28-1),N('APA Inputs'!$G$28),0),0))*IF('APA Inputs'!$I$28="",1,'APA Inputs'!$I$28))</f>
        <v>0</v>
      </c>
      <c r="P13" s="430" t="n">
        <f aca="false">IF('APA Inputs'!$C$28="",0,(IF(AND(P$4&gt;='APA Inputs'!$C$28,P$4&lt;EDATE('APA Inputs'!$C$28,N('APA Inputs'!$D$28))),'APA Inputs'!$J$28,0)+IF(N('APA Inputs'!$H$28)&gt;0,IF(P$4=EDATE('APA Inputs'!$C$28,'APA Inputs'!$H$28-1),N('APA Inputs'!$G$28),0),0))*IF('APA Inputs'!$I$28="",1,'APA Inputs'!$I$28))</f>
        <v>0</v>
      </c>
      <c r="Q13" s="430" t="n">
        <f aca="false">IF('APA Inputs'!$C$28="",0,(IF(AND(Q$4&gt;='APA Inputs'!$C$28,Q$4&lt;EDATE('APA Inputs'!$C$28,N('APA Inputs'!$D$28))),'APA Inputs'!$J$28,0)+IF(N('APA Inputs'!$H$28)&gt;0,IF(Q$4=EDATE('APA Inputs'!$C$28,'APA Inputs'!$H$28-1),N('APA Inputs'!$G$28),0),0))*IF('APA Inputs'!$I$28="",1,'APA Inputs'!$I$28))</f>
        <v>0</v>
      </c>
      <c r="R13" s="430" t="n">
        <f aca="false">IF('APA Inputs'!$C$28="",0,(IF(AND(R$4&gt;='APA Inputs'!$C$28,R$4&lt;EDATE('APA Inputs'!$C$28,N('APA Inputs'!$D$28))),'APA Inputs'!$J$28,0)+IF(N('APA Inputs'!$H$28)&gt;0,IF(R$4=EDATE('APA Inputs'!$C$28,'APA Inputs'!$H$28-1),N('APA Inputs'!$G$28),0),0))*IF('APA Inputs'!$I$28="",1,'APA Inputs'!$I$28))</f>
        <v>0</v>
      </c>
      <c r="S13" s="430" t="n">
        <f aca="false">IF('APA Inputs'!$C$28="",0,(IF(AND(S$4&gt;='APA Inputs'!$C$28,S$4&lt;EDATE('APA Inputs'!$C$28,N('APA Inputs'!$D$28))),'APA Inputs'!$J$28,0)+IF(N('APA Inputs'!$H$28)&gt;0,IF(S$4=EDATE('APA Inputs'!$C$28,'APA Inputs'!$H$28-1),N('APA Inputs'!$G$28),0),0))*IF('APA Inputs'!$I$28="",1,'APA Inputs'!$I$28))</f>
        <v>0</v>
      </c>
      <c r="T13" s="430" t="n">
        <f aca="false">IF('APA Inputs'!$C$28="",0,(IF(AND(T$4&gt;='APA Inputs'!$C$28,T$4&lt;EDATE('APA Inputs'!$C$28,N('APA Inputs'!$D$28))),'APA Inputs'!$J$28,0)+IF(N('APA Inputs'!$H$28)&gt;0,IF(T$4=EDATE('APA Inputs'!$C$28,'APA Inputs'!$H$28-1),N('APA Inputs'!$G$28),0),0))*IF('APA Inputs'!$I$28="",1,'APA Inputs'!$I$28))</f>
        <v>0</v>
      </c>
      <c r="U13" s="430" t="n">
        <f aca="false">IF('APA Inputs'!$C$28="",0,(IF(AND(U$4&gt;='APA Inputs'!$C$28,U$4&lt;EDATE('APA Inputs'!$C$28,N('APA Inputs'!$D$28))),'APA Inputs'!$J$28,0)+IF(N('APA Inputs'!$H$28)&gt;0,IF(U$4=EDATE('APA Inputs'!$C$28,'APA Inputs'!$H$28-1),N('APA Inputs'!$G$28),0),0))*IF('APA Inputs'!$I$28="",1,'APA Inputs'!$I$28))</f>
        <v>0</v>
      </c>
      <c r="V13" s="430" t="n">
        <f aca="false">IF('APA Inputs'!$C$28="",0,(IF(AND(V$4&gt;='APA Inputs'!$C$28,V$4&lt;EDATE('APA Inputs'!$C$28,N('APA Inputs'!$D$28))),'APA Inputs'!$J$28,0)+IF(N('APA Inputs'!$H$28)&gt;0,IF(V$4=EDATE('APA Inputs'!$C$28,'APA Inputs'!$H$28-1),N('APA Inputs'!$G$28),0),0))*IF('APA Inputs'!$I$28="",1,'APA Inputs'!$I$28))</f>
        <v>0</v>
      </c>
      <c r="W13" s="430" t="n">
        <f aca="false">IF('APA Inputs'!$C$28="",0,(IF(AND(W$4&gt;='APA Inputs'!$C$28,W$4&lt;EDATE('APA Inputs'!$C$28,N('APA Inputs'!$D$28))),'APA Inputs'!$J$28,0)+IF(N('APA Inputs'!$H$28)&gt;0,IF(W$4=EDATE('APA Inputs'!$C$28,'APA Inputs'!$H$28-1),N('APA Inputs'!$G$28),0),0))*IF('APA Inputs'!$I$28="",1,'APA Inputs'!$I$28))</f>
        <v>0</v>
      </c>
      <c r="X13" s="430" t="n">
        <f aca="false">IF('APA Inputs'!$C$28="",0,(IF(AND(X$4&gt;='APA Inputs'!$C$28,X$4&lt;EDATE('APA Inputs'!$C$28,N('APA Inputs'!$D$28))),'APA Inputs'!$J$28,0)+IF(N('APA Inputs'!$H$28)&gt;0,IF(X$4=EDATE('APA Inputs'!$C$28,'APA Inputs'!$H$28-1),N('APA Inputs'!$G$28),0),0))*IF('APA Inputs'!$I$28="",1,'APA Inputs'!$I$28))</f>
        <v>0</v>
      </c>
      <c r="Y13" s="430" t="n">
        <f aca="false">IF('APA Inputs'!$C$28="",0,(IF(AND(Y$4&gt;='APA Inputs'!$C$28,Y$4&lt;EDATE('APA Inputs'!$C$28,N('APA Inputs'!$D$28))),'APA Inputs'!$J$28,0)+IF(N('APA Inputs'!$H$28)&gt;0,IF(Y$4=EDATE('APA Inputs'!$C$28,'APA Inputs'!$H$28-1),N('APA Inputs'!$G$28),0),0))*IF('APA Inputs'!$I$28="",1,'APA Inputs'!$I$28))</f>
        <v>0</v>
      </c>
      <c r="Z13" s="430" t="n">
        <f aca="false">IF('APA Inputs'!$C$28="",0,(IF(AND(Z$4&gt;='APA Inputs'!$C$28,Z$4&lt;EDATE('APA Inputs'!$C$28,N('APA Inputs'!$D$28))),'APA Inputs'!$J$28,0)+IF(N('APA Inputs'!$H$28)&gt;0,IF(Z$4=EDATE('APA Inputs'!$C$28,'APA Inputs'!$H$28-1),N('APA Inputs'!$G$28),0),0))*IF('APA Inputs'!$I$28="",1,'APA Inputs'!$I$28))</f>
        <v>0</v>
      </c>
      <c r="AA13" s="430" t="n">
        <f aca="false">IF('APA Inputs'!$C$28="",0,(IF(AND(AA$4&gt;='APA Inputs'!$C$28,AA$4&lt;EDATE('APA Inputs'!$C$28,N('APA Inputs'!$D$28))),'APA Inputs'!$J$28,0)+IF(N('APA Inputs'!$H$28)&gt;0,IF(AA$4=EDATE('APA Inputs'!$C$28,'APA Inputs'!$H$28-1),N('APA Inputs'!$G$28),0),0))*IF('APA Inputs'!$I$28="",1,'APA Inputs'!$I$28))</f>
        <v>0</v>
      </c>
      <c r="AB13" s="430" t="n">
        <f aca="false">IF('APA Inputs'!$C$28="",0,(IF(AND(AB$4&gt;='APA Inputs'!$C$28,AB$4&lt;EDATE('APA Inputs'!$C$28,N('APA Inputs'!$D$28))),'APA Inputs'!$J$28,0)+IF(N('APA Inputs'!$H$28)&gt;0,IF(AB$4=EDATE('APA Inputs'!$C$28,'APA Inputs'!$H$28-1),N('APA Inputs'!$G$28),0),0))*IF('APA Inputs'!$I$28="",1,'APA Inputs'!$I$28))</f>
        <v>0</v>
      </c>
      <c r="AC13" s="430" t="n">
        <f aca="false">IF('APA Inputs'!$C$28="",0,(IF(AND(AC$4&gt;='APA Inputs'!$C$28,AC$4&lt;EDATE('APA Inputs'!$C$28,N('APA Inputs'!$D$28))),'APA Inputs'!$J$28,0)+IF(N('APA Inputs'!$H$28)&gt;0,IF(AC$4=EDATE('APA Inputs'!$C$28,'APA Inputs'!$H$28-1),N('APA Inputs'!$G$28),0),0))*IF('APA Inputs'!$I$28="",1,'APA Inputs'!$I$28))</f>
        <v>0</v>
      </c>
      <c r="AD13" s="430" t="n">
        <f aca="false">IF('APA Inputs'!$C$28="",0,(IF(AND(AD$4&gt;='APA Inputs'!$C$28,AD$4&lt;EDATE('APA Inputs'!$C$28,N('APA Inputs'!$D$28))),'APA Inputs'!$J$28,0)+IF(N('APA Inputs'!$H$28)&gt;0,IF(AD$4=EDATE('APA Inputs'!$C$28,'APA Inputs'!$H$28-1),N('APA Inputs'!$G$28),0),0))*IF('APA Inputs'!$I$28="",1,'APA Inputs'!$I$28))</f>
        <v>0</v>
      </c>
      <c r="AE13" s="430" t="n">
        <f aca="false">IF('APA Inputs'!$C$28="",0,(IF(AND(AE$4&gt;='APA Inputs'!$C$28,AE$4&lt;EDATE('APA Inputs'!$C$28,N('APA Inputs'!$D$28))),'APA Inputs'!$J$28,0)+IF(N('APA Inputs'!$H$28)&gt;0,IF(AE$4=EDATE('APA Inputs'!$C$28,'APA Inputs'!$H$28-1),N('APA Inputs'!$G$28),0),0))*IF('APA Inputs'!$I$28="",1,'APA Inputs'!$I$28))</f>
        <v>0</v>
      </c>
      <c r="AF13" s="430" t="n">
        <f aca="false">IF('APA Inputs'!$C$28="",0,(IF(AND(AF$4&gt;='APA Inputs'!$C$28,AF$4&lt;EDATE('APA Inputs'!$C$28,N('APA Inputs'!$D$28))),'APA Inputs'!$J$28,0)+IF(N('APA Inputs'!$H$28)&gt;0,IF(AF$4=EDATE('APA Inputs'!$C$28,'APA Inputs'!$H$28-1),N('APA Inputs'!$G$28),0),0))*IF('APA Inputs'!$I$28="",1,'APA Inputs'!$I$28))</f>
        <v>0</v>
      </c>
      <c r="AG13" s="430" t="n">
        <f aca="false">IF('APA Inputs'!$C$28="",0,(IF(AND(AG$4&gt;='APA Inputs'!$C$28,AG$4&lt;EDATE('APA Inputs'!$C$28,N('APA Inputs'!$D$28))),'APA Inputs'!$J$28,0)+IF(N('APA Inputs'!$H$28)&gt;0,IF(AG$4=EDATE('APA Inputs'!$C$28,'APA Inputs'!$H$28-1),N('APA Inputs'!$G$28),0),0))*IF('APA Inputs'!$I$28="",1,'APA Inputs'!$I$28))</f>
        <v>0</v>
      </c>
      <c r="AH13" s="430" t="n">
        <f aca="false">IF('APA Inputs'!$C$28="",0,(IF(AND(AH$4&gt;='APA Inputs'!$C$28,AH$4&lt;EDATE('APA Inputs'!$C$28,N('APA Inputs'!$D$28))),'APA Inputs'!$J$28,0)+IF(N('APA Inputs'!$H$28)&gt;0,IF(AH$4=EDATE('APA Inputs'!$C$28,'APA Inputs'!$H$28-1),N('APA Inputs'!$G$28),0),0))*IF('APA Inputs'!$I$28="",1,'APA Inputs'!$I$28))</f>
        <v>0</v>
      </c>
      <c r="AI13" s="430" t="n">
        <f aca="false">IF('APA Inputs'!$C$28="",0,(IF(AND(AI$4&gt;='APA Inputs'!$C$28,AI$4&lt;EDATE('APA Inputs'!$C$28,N('APA Inputs'!$D$28))),'APA Inputs'!$J$28,0)+IF(N('APA Inputs'!$H$28)&gt;0,IF(AI$4=EDATE('APA Inputs'!$C$28,'APA Inputs'!$H$28-1),N('APA Inputs'!$G$28),0),0))*IF('APA Inputs'!$I$28="",1,'APA Inputs'!$I$28))</f>
        <v>0</v>
      </c>
      <c r="AJ13" s="430" t="n">
        <f aca="false">IF('APA Inputs'!$C$28="",0,(IF(AND(AJ$4&gt;='APA Inputs'!$C$28,AJ$4&lt;EDATE('APA Inputs'!$C$28,N('APA Inputs'!$D$28))),'APA Inputs'!$J$28,0)+IF(N('APA Inputs'!$H$28)&gt;0,IF(AJ$4=EDATE('APA Inputs'!$C$28,'APA Inputs'!$H$28-1),N('APA Inputs'!$G$28),0),0))*IF('APA Inputs'!$I$28="",1,'APA Inputs'!$I$28))</f>
        <v>0</v>
      </c>
      <c r="AK13" s="430" t="n">
        <f aca="false">IF('APA Inputs'!$C$28="",0,(IF(AND(AK$4&gt;='APA Inputs'!$C$28,AK$4&lt;EDATE('APA Inputs'!$C$28,N('APA Inputs'!$D$28))),'APA Inputs'!$J$28,0)+IF(N('APA Inputs'!$H$28)&gt;0,IF(AK$4=EDATE('APA Inputs'!$C$28,'APA Inputs'!$H$28-1),N('APA Inputs'!$G$28),0),0))*IF('APA Inputs'!$I$28="",1,'APA Inputs'!$I$28))</f>
        <v>0</v>
      </c>
      <c r="AL13" s="430" t="n">
        <f aca="false">IF('APA Inputs'!$C$28="",0,(IF(AND(AL$4&gt;='APA Inputs'!$C$28,AL$4&lt;EDATE('APA Inputs'!$C$28,N('APA Inputs'!$D$28))),'APA Inputs'!$J$28,0)+IF(N('APA Inputs'!$H$28)&gt;0,IF(AL$4=EDATE('APA Inputs'!$C$28,'APA Inputs'!$H$28-1),N('APA Inputs'!$G$28),0),0))*IF('APA Inputs'!$I$28="",1,'APA Inputs'!$I$28))</f>
        <v>0</v>
      </c>
      <c r="AM13" s="430" t="n">
        <f aca="false">IF('APA Inputs'!$C$28="",0,(IF(AND(AM$4&gt;='APA Inputs'!$C$28,AM$4&lt;EDATE('APA Inputs'!$C$28,N('APA Inputs'!$D$28))),'APA Inputs'!$J$28,0)+IF(N('APA Inputs'!$H$28)&gt;0,IF(AM$4=EDATE('APA Inputs'!$C$28,'APA Inputs'!$H$28-1),N('APA Inputs'!$G$28),0),0))*IF('APA Inputs'!$I$28="",1,'APA Inputs'!$I$28))</f>
        <v>0</v>
      </c>
      <c r="AN13" s="430" t="n">
        <f aca="false">IF('APA Inputs'!$C$28="",0,(IF(AND(AN$4&gt;='APA Inputs'!$C$28,AN$4&lt;EDATE('APA Inputs'!$C$28,N('APA Inputs'!$D$28))),'APA Inputs'!$J$28,0)+IF(N('APA Inputs'!$H$28)&gt;0,IF(AN$4=EDATE('APA Inputs'!$C$28,'APA Inputs'!$H$28-1),N('APA Inputs'!$G$28),0),0))*IF('APA Inputs'!$I$28="",1,'APA Inputs'!$I$28))</f>
        <v>0</v>
      </c>
      <c r="AO13" s="430" t="n">
        <f aca="false">IF('APA Inputs'!$C$28="",0,(IF(AND(AO$4&gt;='APA Inputs'!$C$28,AO$4&lt;EDATE('APA Inputs'!$C$28,N('APA Inputs'!$D$28))),'APA Inputs'!$J$28,0)+IF(N('APA Inputs'!$H$28)&gt;0,IF(AO$4=EDATE('APA Inputs'!$C$28,'APA Inputs'!$H$28-1),N('APA Inputs'!$G$28),0),0))*IF('APA Inputs'!$I$28="",1,'APA Inputs'!$I$28))</f>
        <v>0</v>
      </c>
      <c r="AP13" s="430" t="n">
        <f aca="false">IF('APA Inputs'!$C$28="",0,(IF(AND(AP$4&gt;='APA Inputs'!$C$28,AP$4&lt;EDATE('APA Inputs'!$C$28,N('APA Inputs'!$D$28))),'APA Inputs'!$J$28,0)+IF(N('APA Inputs'!$H$28)&gt;0,IF(AP$4=EDATE('APA Inputs'!$C$28,'APA Inputs'!$H$28-1),N('APA Inputs'!$G$28),0),0))*IF('APA Inputs'!$I$28="",1,'APA Inputs'!$I$28))</f>
        <v>0</v>
      </c>
      <c r="AQ13" s="430" t="n">
        <f aca="false">IF('APA Inputs'!$C$28="",0,(IF(AND(AQ$4&gt;='APA Inputs'!$C$28,AQ$4&lt;EDATE('APA Inputs'!$C$28,N('APA Inputs'!$D$28))),'APA Inputs'!$J$28,0)+IF(N('APA Inputs'!$H$28)&gt;0,IF(AQ$4=EDATE('APA Inputs'!$C$28,'APA Inputs'!$H$28-1),N('APA Inputs'!$G$28),0),0))*IF('APA Inputs'!$I$28="",1,'APA Inputs'!$I$28))</f>
        <v>0</v>
      </c>
      <c r="AR13" s="430" t="n">
        <f aca="false">IF('APA Inputs'!$C$28="",0,(IF(AND(AR$4&gt;='APA Inputs'!$C$28,AR$4&lt;EDATE('APA Inputs'!$C$28,N('APA Inputs'!$D$28))),'APA Inputs'!$J$28,0)+IF(N('APA Inputs'!$H$28)&gt;0,IF(AR$4=EDATE('APA Inputs'!$C$28,'APA Inputs'!$H$28-1),N('APA Inputs'!$G$28),0),0))*IF('APA Inputs'!$I$28="",1,'APA Inputs'!$I$28))</f>
        <v>0</v>
      </c>
      <c r="AS13" s="430" t="n">
        <f aca="false">IF('APA Inputs'!$C$28="",0,(IF(AND(AS$4&gt;='APA Inputs'!$C$28,AS$4&lt;EDATE('APA Inputs'!$C$28,N('APA Inputs'!$D$28))),'APA Inputs'!$J$28,0)+IF(N('APA Inputs'!$H$28)&gt;0,IF(AS$4=EDATE('APA Inputs'!$C$28,'APA Inputs'!$H$28-1),N('APA Inputs'!$G$28),0),0))*IF('APA Inputs'!$I$28="",1,'APA Inputs'!$I$28))</f>
        <v>0</v>
      </c>
      <c r="AT13" s="430" t="n">
        <f aca="false">IF('APA Inputs'!$C$28="",0,(IF(AND(AT$4&gt;='APA Inputs'!$C$28,AT$4&lt;EDATE('APA Inputs'!$C$28,N('APA Inputs'!$D$28))),'APA Inputs'!$J$28,0)+IF(N('APA Inputs'!$H$28)&gt;0,IF(AT$4=EDATE('APA Inputs'!$C$28,'APA Inputs'!$H$28-1),N('APA Inputs'!$G$28),0),0))*IF('APA Inputs'!$I$28="",1,'APA Inputs'!$I$28))</f>
        <v>0</v>
      </c>
      <c r="AU13" s="430" t="n">
        <f aca="false">IF('APA Inputs'!$C$28="",0,(IF(AND(AU$4&gt;='APA Inputs'!$C$28,AU$4&lt;EDATE('APA Inputs'!$C$28,N('APA Inputs'!$D$28))),'APA Inputs'!$J$28,0)+IF(N('APA Inputs'!$H$28)&gt;0,IF(AU$4=EDATE('APA Inputs'!$C$28,'APA Inputs'!$H$28-1),N('APA Inputs'!$G$28),0),0))*IF('APA Inputs'!$I$28="",1,'APA Inputs'!$I$28))</f>
        <v>0</v>
      </c>
      <c r="AV13" s="430" t="n">
        <f aca="false">IF('APA Inputs'!$C$28="",0,(IF(AND(AV$4&gt;='APA Inputs'!$C$28,AV$4&lt;EDATE('APA Inputs'!$C$28,N('APA Inputs'!$D$28))),'APA Inputs'!$J$28,0)+IF(N('APA Inputs'!$H$28)&gt;0,IF(AV$4=EDATE('APA Inputs'!$C$28,'APA Inputs'!$H$28-1),N('APA Inputs'!$G$28),0),0))*IF('APA Inputs'!$I$28="",1,'APA Inputs'!$I$28))</f>
        <v>0</v>
      </c>
      <c r="AW13" s="430" t="n">
        <f aca="false">IF('APA Inputs'!$C$28="",0,(IF(AND(AW$4&gt;='APA Inputs'!$C$28,AW$4&lt;EDATE('APA Inputs'!$C$28,N('APA Inputs'!$D$28))),'APA Inputs'!$J$28,0)+IF(N('APA Inputs'!$H$28)&gt;0,IF(AW$4=EDATE('APA Inputs'!$C$28,'APA Inputs'!$H$28-1),N('APA Inputs'!$G$28),0),0))*IF('APA Inputs'!$I$28="",1,'APA Inputs'!$I$28))</f>
        <v>0</v>
      </c>
      <c r="AX13" s="430" t="n">
        <f aca="false">IF('APA Inputs'!$C$28="",0,(IF(AND(AX$4&gt;='APA Inputs'!$C$28,AX$4&lt;EDATE('APA Inputs'!$C$28,N('APA Inputs'!$D$28))),'APA Inputs'!$J$28,0)+IF(N('APA Inputs'!$H$28)&gt;0,IF(AX$4=EDATE('APA Inputs'!$C$28,'APA Inputs'!$H$28-1),N('APA Inputs'!$G$28),0),0))*IF('APA Inputs'!$I$28="",1,'APA Inputs'!$I$28))</f>
        <v>0</v>
      </c>
      <c r="AY13" s="430" t="n">
        <f aca="false">IF('APA Inputs'!$C$28="",0,(IF(AND(AY$4&gt;='APA Inputs'!$C$28,AY$4&lt;EDATE('APA Inputs'!$C$28,N('APA Inputs'!$D$28))),'APA Inputs'!$J$28,0)+IF(N('APA Inputs'!$H$28)&gt;0,IF(AY$4=EDATE('APA Inputs'!$C$28,'APA Inputs'!$H$28-1),N('APA Inputs'!$G$28),0),0))*IF('APA Inputs'!$I$28="",1,'APA Inputs'!$I$28))</f>
        <v>0</v>
      </c>
      <c r="AZ13" s="430" t="n">
        <f aca="false">IF('APA Inputs'!$C$28="",0,(IF(AND(AZ$4&gt;='APA Inputs'!$C$28,AZ$4&lt;EDATE('APA Inputs'!$C$28,N('APA Inputs'!$D$28))),'APA Inputs'!$J$28,0)+IF(N('APA Inputs'!$H$28)&gt;0,IF(AZ$4=EDATE('APA Inputs'!$C$28,'APA Inputs'!$H$28-1),N('APA Inputs'!$G$28),0),0))*IF('APA Inputs'!$I$28="",1,'APA Inputs'!$I$28))</f>
        <v>0</v>
      </c>
      <c r="BA13" s="430" t="n">
        <f aca="false">IF('APA Inputs'!$C$28="",0,(IF(AND(BA$4&gt;='APA Inputs'!$C$28,BA$4&lt;EDATE('APA Inputs'!$C$28,N('APA Inputs'!$D$28))),'APA Inputs'!$J$28,0)+IF(N('APA Inputs'!$H$28)&gt;0,IF(BA$4=EDATE('APA Inputs'!$C$28,'APA Inputs'!$H$28-1),N('APA Inputs'!$G$28),0),0))*IF('APA Inputs'!$I$28="",1,'APA Inputs'!$I$28))</f>
        <v>0</v>
      </c>
      <c r="BB13" s="430" t="n">
        <f aca="false">IF('APA Inputs'!$C$28="",0,(IF(AND(BB$4&gt;='APA Inputs'!$C$28,BB$4&lt;EDATE('APA Inputs'!$C$28,N('APA Inputs'!$D$28))),'APA Inputs'!$J$28,0)+IF(N('APA Inputs'!$H$28)&gt;0,IF(BB$4=EDATE('APA Inputs'!$C$28,'APA Inputs'!$H$28-1),N('APA Inputs'!$G$28),0),0))*IF('APA Inputs'!$I$28="",1,'APA Inputs'!$I$28))</f>
        <v>0</v>
      </c>
      <c r="BC13" s="430" t="n">
        <f aca="false">IF('APA Inputs'!$C$28="",0,(IF(AND(BC$4&gt;='APA Inputs'!$C$28,BC$4&lt;EDATE('APA Inputs'!$C$28,N('APA Inputs'!$D$28))),'APA Inputs'!$J$28,0)+IF(N('APA Inputs'!$H$28)&gt;0,IF(BC$4=EDATE('APA Inputs'!$C$28,'APA Inputs'!$H$28-1),N('APA Inputs'!$G$28),0),0))*IF('APA Inputs'!$I$28="",1,'APA Inputs'!$I$28))</f>
        <v>0</v>
      </c>
      <c r="BD13" s="430" t="n">
        <f aca="false">IF('APA Inputs'!$C$28="",0,(IF(AND(BD$4&gt;='APA Inputs'!$C$28,BD$4&lt;EDATE('APA Inputs'!$C$28,N('APA Inputs'!$D$28))),'APA Inputs'!$J$28,0)+IF(N('APA Inputs'!$H$28)&gt;0,IF(BD$4=EDATE('APA Inputs'!$C$28,'APA Inputs'!$H$28-1),N('APA Inputs'!$G$28),0),0))*IF('APA Inputs'!$I$28="",1,'APA Inputs'!$I$28))</f>
        <v>0</v>
      </c>
      <c r="BE13" s="430" t="n">
        <f aca="false">IF('APA Inputs'!$C$28="",0,(IF(AND(BE$4&gt;='APA Inputs'!$C$28,BE$4&lt;EDATE('APA Inputs'!$C$28,N('APA Inputs'!$D$28))),'APA Inputs'!$J$28,0)+IF(N('APA Inputs'!$H$28)&gt;0,IF(BE$4=EDATE('APA Inputs'!$C$28,'APA Inputs'!$H$28-1),N('APA Inputs'!$G$28),0),0))*IF('APA Inputs'!$I$28="",1,'APA Inputs'!$I$28))</f>
        <v>0</v>
      </c>
      <c r="BF13" s="430" t="n">
        <f aca="false">IF('APA Inputs'!$C$28="",0,(IF(AND(BF$4&gt;='APA Inputs'!$C$28,BF$4&lt;EDATE('APA Inputs'!$C$28,N('APA Inputs'!$D$28))),'APA Inputs'!$J$28,0)+IF(N('APA Inputs'!$H$28)&gt;0,IF(BF$4=EDATE('APA Inputs'!$C$28,'APA Inputs'!$H$28-1),N('APA Inputs'!$G$28),0),0))*IF('APA Inputs'!$I$28="",1,'APA Inputs'!$I$28))</f>
        <v>0</v>
      </c>
      <c r="BG13" s="430" t="n">
        <f aca="false">IF('APA Inputs'!$C$28="",0,(IF(AND(BG$4&gt;='APA Inputs'!$C$28,BG$4&lt;EDATE('APA Inputs'!$C$28,N('APA Inputs'!$D$28))),'APA Inputs'!$J$28,0)+IF(N('APA Inputs'!$H$28)&gt;0,IF(BG$4=EDATE('APA Inputs'!$C$28,'APA Inputs'!$H$28-1),N('APA Inputs'!$G$28),0),0))*IF('APA Inputs'!$I$28="",1,'APA Inputs'!$I$28))</f>
        <v>0</v>
      </c>
      <c r="BH13" s="430" t="n">
        <f aca="false">IF('APA Inputs'!$C$28="",0,(IF(AND(BH$4&gt;='APA Inputs'!$C$28,BH$4&lt;EDATE('APA Inputs'!$C$28,N('APA Inputs'!$D$28))),'APA Inputs'!$J$28,0)+IF(N('APA Inputs'!$H$28)&gt;0,IF(BH$4=EDATE('APA Inputs'!$C$28,'APA Inputs'!$H$28-1),N('APA Inputs'!$G$28),0),0))*IF('APA Inputs'!$I$28="",1,'APA Inputs'!$I$28))</f>
        <v>0</v>
      </c>
      <c r="BI13" s="430" t="n">
        <f aca="false">IF('APA Inputs'!$C$28="",0,(IF(AND(BI$4&gt;='APA Inputs'!$C$28,BI$4&lt;EDATE('APA Inputs'!$C$28,N('APA Inputs'!$D$28))),'APA Inputs'!$J$28,0)+IF(N('APA Inputs'!$H$28)&gt;0,IF(BI$4=EDATE('APA Inputs'!$C$28,'APA Inputs'!$H$28-1),N('APA Inputs'!$G$28),0),0))*IF('APA Inputs'!$I$28="",1,'APA Inputs'!$I$28))</f>
        <v>0</v>
      </c>
      <c r="BJ13" s="430" t="n">
        <f aca="false">IF('APA Inputs'!$C$28="",0,(IF(AND(BJ$4&gt;='APA Inputs'!$C$28,BJ$4&lt;EDATE('APA Inputs'!$C$28,N('APA Inputs'!$D$28))),'APA Inputs'!$J$28,0)+IF(N('APA Inputs'!$H$28)&gt;0,IF(BJ$4=EDATE('APA Inputs'!$C$28,'APA Inputs'!$H$28-1),N('APA Inputs'!$G$28),0),0))*IF('APA Inputs'!$I$28="",1,'APA Inputs'!$I$28))</f>
        <v>0</v>
      </c>
      <c r="BK13" s="430" t="n">
        <f aca="false">IF('APA Inputs'!$C$28="",0,(IF(AND(BK$4&gt;='APA Inputs'!$C$28,BK$4&lt;EDATE('APA Inputs'!$C$28,N('APA Inputs'!$D$28))),'APA Inputs'!$J$28,0)+IF(N('APA Inputs'!$H$28)&gt;0,IF(BK$4=EDATE('APA Inputs'!$C$28,'APA Inputs'!$H$28-1),N('APA Inputs'!$G$28),0),0))*IF('APA Inputs'!$I$28="",1,'APA Inputs'!$I$28))</f>
        <v>0</v>
      </c>
      <c r="BL13" s="430" t="n">
        <f aca="false">IF('APA Inputs'!$C$28="",0,(IF(AND(BL$4&gt;='APA Inputs'!$C$28,BL$4&lt;EDATE('APA Inputs'!$C$28,N('APA Inputs'!$D$28))),'APA Inputs'!$J$28,0)+IF(N('APA Inputs'!$H$28)&gt;0,IF(BL$4=EDATE('APA Inputs'!$C$28,'APA Inputs'!$H$28-1),N('APA Inputs'!$G$28),0),0))*IF('APA Inputs'!$I$28="",1,'APA Inputs'!$I$28))</f>
        <v>0</v>
      </c>
      <c r="BM13" s="430" t="n">
        <f aca="false">IF('APA Inputs'!$C$28="",0,(IF(AND(BM$4&gt;='APA Inputs'!$C$28,BM$4&lt;EDATE('APA Inputs'!$C$28,N('APA Inputs'!$D$28))),'APA Inputs'!$J$28,0)+IF(N('APA Inputs'!$H$28)&gt;0,IF(BM$4=EDATE('APA Inputs'!$C$28,'APA Inputs'!$H$28-1),N('APA Inputs'!$G$28),0),0))*IF('APA Inputs'!$I$28="",1,'APA Inputs'!$I$28))</f>
        <v>0</v>
      </c>
      <c r="BN13" s="430" t="n">
        <f aca="false">IF('APA Inputs'!$C$28="",0,(IF(AND(BN$4&gt;='APA Inputs'!$C$28,BN$4&lt;EDATE('APA Inputs'!$C$28,N('APA Inputs'!$D$28))),'APA Inputs'!$J$28,0)+IF(N('APA Inputs'!$H$28)&gt;0,IF(BN$4=EDATE('APA Inputs'!$C$28,'APA Inputs'!$H$28-1),N('APA Inputs'!$G$28),0),0))*IF('APA Inputs'!$I$28="",1,'APA Inputs'!$I$28))</f>
        <v>0</v>
      </c>
      <c r="BO13" s="430" t="n">
        <f aca="false">IF('APA Inputs'!$C$28="",0,(IF(AND(BO$4&gt;='APA Inputs'!$C$28,BO$4&lt;EDATE('APA Inputs'!$C$28,N('APA Inputs'!$D$28))),'APA Inputs'!$J$28,0)+IF(N('APA Inputs'!$H$28)&gt;0,IF(BO$4=EDATE('APA Inputs'!$C$28,'APA Inputs'!$H$28-1),N('APA Inputs'!$G$28),0),0))*IF('APA Inputs'!$I$28="",1,'APA Inputs'!$I$28))</f>
        <v>0</v>
      </c>
      <c r="BP13" s="430" t="n">
        <f aca="false">IF('APA Inputs'!$C$28="",0,(IF(AND(BP$4&gt;='APA Inputs'!$C$28,BP$4&lt;EDATE('APA Inputs'!$C$28,N('APA Inputs'!$D$28))),'APA Inputs'!$J$28,0)+IF(N('APA Inputs'!$H$28)&gt;0,IF(BP$4=EDATE('APA Inputs'!$C$28,'APA Inputs'!$H$28-1),N('APA Inputs'!$G$28),0),0))*IF('APA Inputs'!$I$28="",1,'APA Inputs'!$I$28))</f>
        <v>0</v>
      </c>
      <c r="BQ13" s="430" t="n">
        <f aca="false">IF('APA Inputs'!$C$28="",0,(IF(AND(BQ$4&gt;='APA Inputs'!$C$28,BQ$4&lt;EDATE('APA Inputs'!$C$28,N('APA Inputs'!$D$28))),'APA Inputs'!$J$28,0)+IF(N('APA Inputs'!$H$28)&gt;0,IF(BQ$4=EDATE('APA Inputs'!$C$28,'APA Inputs'!$H$28-1),N('APA Inputs'!$G$28),0),0))*IF('APA Inputs'!$I$28="",1,'APA Inputs'!$I$28))</f>
        <v>0</v>
      </c>
      <c r="BR13" s="430" t="n">
        <f aca="false">IF('APA Inputs'!$C$28="",0,(IF(AND(BR$4&gt;='APA Inputs'!$C$28,BR$4&lt;EDATE('APA Inputs'!$C$28,N('APA Inputs'!$D$28))),'APA Inputs'!$J$28,0)+IF(N('APA Inputs'!$H$28)&gt;0,IF(BR$4=EDATE('APA Inputs'!$C$28,'APA Inputs'!$H$28-1),N('APA Inputs'!$G$28),0),0))*IF('APA Inputs'!$I$28="",1,'APA Inputs'!$I$28))</f>
        <v>0</v>
      </c>
      <c r="BS13" s="430" t="n">
        <f aca="false">IF('APA Inputs'!$C$28="",0,(IF(AND(BS$4&gt;='APA Inputs'!$C$28,BS$4&lt;EDATE('APA Inputs'!$C$28,N('APA Inputs'!$D$28))),'APA Inputs'!$J$28,0)+IF(N('APA Inputs'!$H$28)&gt;0,IF(BS$4=EDATE('APA Inputs'!$C$28,'APA Inputs'!$H$28-1),N('APA Inputs'!$G$28),0),0))*IF('APA Inputs'!$I$28="",1,'APA Inputs'!$I$28))</f>
        <v>0</v>
      </c>
      <c r="BT13" s="430" t="n">
        <f aca="false">IF('APA Inputs'!$C$28="",0,(IF(AND(BT$4&gt;='APA Inputs'!$C$28,BT$4&lt;EDATE('APA Inputs'!$C$28,N('APA Inputs'!$D$28))),'APA Inputs'!$J$28,0)+IF(N('APA Inputs'!$H$28)&gt;0,IF(BT$4=EDATE('APA Inputs'!$C$28,'APA Inputs'!$H$28-1),N('APA Inputs'!$G$28),0),0))*IF('APA Inputs'!$I$28="",1,'APA Inputs'!$I$28))</f>
        <v>0</v>
      </c>
      <c r="BU13" s="430" t="n">
        <f aca="false">IF('APA Inputs'!$C$28="",0,(IF(AND(BU$4&gt;='APA Inputs'!$C$28,BU$4&lt;EDATE('APA Inputs'!$C$28,N('APA Inputs'!$D$28))),'APA Inputs'!$J$28,0)+IF(N('APA Inputs'!$H$28)&gt;0,IF(BU$4=EDATE('APA Inputs'!$C$28,'APA Inputs'!$H$28-1),N('APA Inputs'!$G$28),0),0))*IF('APA Inputs'!$I$28="",1,'APA Inputs'!$I$28))</f>
        <v>0</v>
      </c>
      <c r="BV13" s="430" t="n">
        <f aca="false">IF('APA Inputs'!$C$28="",0,(IF(AND(BV$4&gt;='APA Inputs'!$C$28,BV$4&lt;EDATE('APA Inputs'!$C$28,N('APA Inputs'!$D$28))),'APA Inputs'!$J$28,0)+IF(N('APA Inputs'!$H$28)&gt;0,IF(BV$4=EDATE('APA Inputs'!$C$28,'APA Inputs'!$H$28-1),N('APA Inputs'!$G$28),0),0))*IF('APA Inputs'!$I$28="",1,'APA Inputs'!$I$28))</f>
        <v>0</v>
      </c>
      <c r="BW13" s="430" t="n">
        <f aca="false">IF('APA Inputs'!$C$28="",0,(IF(AND(BW$4&gt;='APA Inputs'!$C$28,BW$4&lt;EDATE('APA Inputs'!$C$28,N('APA Inputs'!$D$28))),'APA Inputs'!$J$28,0)+IF(N('APA Inputs'!$H$28)&gt;0,IF(BW$4=EDATE('APA Inputs'!$C$28,'APA Inputs'!$H$28-1),N('APA Inputs'!$G$28),0),0))*IF('APA Inputs'!$I$28="",1,'APA Inputs'!$I$28))</f>
        <v>0</v>
      </c>
      <c r="BX13" s="430" t="n">
        <f aca="false">IF('APA Inputs'!$C$28="",0,(IF(AND(BX$4&gt;='APA Inputs'!$C$28,BX$4&lt;EDATE('APA Inputs'!$C$28,N('APA Inputs'!$D$28))),'APA Inputs'!$J$28,0)+IF(N('APA Inputs'!$H$28)&gt;0,IF(BX$4=EDATE('APA Inputs'!$C$28,'APA Inputs'!$H$28-1),N('APA Inputs'!$G$28),0),0))*IF('APA Inputs'!$I$28="",1,'APA Inputs'!$I$28))</f>
        <v>0</v>
      </c>
      <c r="BY13" s="430" t="n">
        <f aca="false">IF('APA Inputs'!$C$28="",0,(IF(AND(BY$4&gt;='APA Inputs'!$C$28,BY$4&lt;EDATE('APA Inputs'!$C$28,N('APA Inputs'!$D$28))),'APA Inputs'!$J$28,0)+IF(N('APA Inputs'!$H$28)&gt;0,IF(BY$4=EDATE('APA Inputs'!$C$28,'APA Inputs'!$H$28-1),N('APA Inputs'!$G$28),0),0))*IF('APA Inputs'!$I$28="",1,'APA Inputs'!$I$28))</f>
        <v>0</v>
      </c>
      <c r="BZ13" s="430" t="n">
        <f aca="false">IF('APA Inputs'!$C$28="",0,(IF(AND(BZ$4&gt;='APA Inputs'!$C$28,BZ$4&lt;EDATE('APA Inputs'!$C$28,N('APA Inputs'!$D$28))),'APA Inputs'!$J$28,0)+IF(N('APA Inputs'!$H$28)&gt;0,IF(BZ$4=EDATE('APA Inputs'!$C$28,'APA Inputs'!$H$28-1),N('APA Inputs'!$G$28),0),0))*IF('APA Inputs'!$I$28="",1,'APA Inputs'!$I$28))</f>
        <v>0</v>
      </c>
      <c r="CA13" s="430" t="n">
        <f aca="false">IF('APA Inputs'!$C$28="",0,(IF(AND(CA$4&gt;='APA Inputs'!$C$28,CA$4&lt;EDATE('APA Inputs'!$C$28,N('APA Inputs'!$D$28))),'APA Inputs'!$J$28,0)+IF(N('APA Inputs'!$H$28)&gt;0,IF(CA$4=EDATE('APA Inputs'!$C$28,'APA Inputs'!$H$28-1),N('APA Inputs'!$G$28),0),0))*IF('APA Inputs'!$I$28="",1,'APA Inputs'!$I$28))</f>
        <v>0</v>
      </c>
      <c r="CB13" s="430" t="n">
        <f aca="false">IF('APA Inputs'!$C$28="",0,(IF(AND(CB$4&gt;='APA Inputs'!$C$28,CB$4&lt;EDATE('APA Inputs'!$C$28,N('APA Inputs'!$D$28))),'APA Inputs'!$J$28,0)+IF(N('APA Inputs'!$H$28)&gt;0,IF(CB$4=EDATE('APA Inputs'!$C$28,'APA Inputs'!$H$28-1),N('APA Inputs'!$G$28),0),0))*IF('APA Inputs'!$I$28="",1,'APA Inputs'!$I$28))</f>
        <v>0</v>
      </c>
      <c r="CC13" s="430" t="n">
        <f aca="false">IF('APA Inputs'!$C$28="",0,(IF(AND(CC$4&gt;='APA Inputs'!$C$28,CC$4&lt;EDATE('APA Inputs'!$C$28,N('APA Inputs'!$D$28))),'APA Inputs'!$J$28,0)+IF(N('APA Inputs'!$H$28)&gt;0,IF(CC$4=EDATE('APA Inputs'!$C$28,'APA Inputs'!$H$28-1),N('APA Inputs'!$G$28),0),0))*IF('APA Inputs'!$I$28="",1,'APA Inputs'!$I$28))</f>
        <v>0</v>
      </c>
      <c r="CD13" s="430" t="n">
        <f aca="false">IF('APA Inputs'!$C$28="",0,(IF(AND(CD$4&gt;='APA Inputs'!$C$28,CD$4&lt;EDATE('APA Inputs'!$C$28,N('APA Inputs'!$D$28))),'APA Inputs'!$J$28,0)+IF(N('APA Inputs'!$H$28)&gt;0,IF(CD$4=EDATE('APA Inputs'!$C$28,'APA Inputs'!$H$28-1),N('APA Inputs'!$G$28),0),0))*IF('APA Inputs'!$I$28="",1,'APA Inputs'!$I$28))</f>
        <v>0</v>
      </c>
      <c r="CE13" s="430" t="n">
        <f aca="false">IF('APA Inputs'!$C$28="",0,(IF(AND(CE$4&gt;='APA Inputs'!$C$28,CE$4&lt;EDATE('APA Inputs'!$C$28,N('APA Inputs'!$D$28))),'APA Inputs'!$J$28,0)+IF(N('APA Inputs'!$H$28)&gt;0,IF(CE$4=EDATE('APA Inputs'!$C$28,'APA Inputs'!$H$28-1),N('APA Inputs'!$G$28),0),0))*IF('APA Inputs'!$I$28="",1,'APA Inputs'!$I$28))</f>
        <v>0</v>
      </c>
      <c r="CF13" s="430" t="n">
        <f aca="false">IF('APA Inputs'!$C$28="",0,(IF(AND(CF$4&gt;='APA Inputs'!$C$28,CF$4&lt;EDATE('APA Inputs'!$C$28,N('APA Inputs'!$D$28))),'APA Inputs'!$J$28,0)+IF(N('APA Inputs'!$H$28)&gt;0,IF(CF$4=EDATE('APA Inputs'!$C$28,'APA Inputs'!$H$28-1),N('APA Inputs'!$G$28),0),0))*IF('APA Inputs'!$I$28="",1,'APA Inputs'!$I$28))</f>
        <v>0</v>
      </c>
      <c r="CG13" s="430" t="n">
        <f aca="false">IF('APA Inputs'!$C$28="",0,(IF(AND(CG$4&gt;='APA Inputs'!$C$28,CG$4&lt;EDATE('APA Inputs'!$C$28,N('APA Inputs'!$D$28))),'APA Inputs'!$J$28,0)+IF(N('APA Inputs'!$H$28)&gt;0,IF(CG$4=EDATE('APA Inputs'!$C$28,'APA Inputs'!$H$28-1),N('APA Inputs'!$G$28),0),0))*IF('APA Inputs'!$I$28="",1,'APA Inputs'!$I$28))</f>
        <v>0</v>
      </c>
      <c r="CH13" s="430" t="n">
        <f aca="false">IF('APA Inputs'!$C$28="",0,(IF(AND(CH$4&gt;='APA Inputs'!$C$28,CH$4&lt;EDATE('APA Inputs'!$C$28,N('APA Inputs'!$D$28))),'APA Inputs'!$J$28,0)+IF(N('APA Inputs'!$H$28)&gt;0,IF(CH$4=EDATE('APA Inputs'!$C$28,'APA Inputs'!$H$28-1),N('APA Inputs'!$G$28),0),0))*IF('APA Inputs'!$I$28="",1,'APA Inputs'!$I$28))</f>
        <v>0</v>
      </c>
      <c r="CI13" s="430" t="n">
        <f aca="false">IF('APA Inputs'!$C$28="",0,(IF(AND(CI$4&gt;='APA Inputs'!$C$28,CI$4&lt;EDATE('APA Inputs'!$C$28,N('APA Inputs'!$D$28))),'APA Inputs'!$J$28,0)+IF(N('APA Inputs'!$H$28)&gt;0,IF(CI$4=EDATE('APA Inputs'!$C$28,'APA Inputs'!$H$28-1),N('APA Inputs'!$G$28),0),0))*IF('APA Inputs'!$I$28="",1,'APA Inputs'!$I$28))</f>
        <v>0</v>
      </c>
      <c r="CJ13" s="430" t="n">
        <f aca="false">IF('APA Inputs'!$C$28="",0,(IF(AND(CJ$4&gt;='APA Inputs'!$C$28,CJ$4&lt;EDATE('APA Inputs'!$C$28,N('APA Inputs'!$D$28))),'APA Inputs'!$J$28,0)+IF(N('APA Inputs'!$H$28)&gt;0,IF(CJ$4=EDATE('APA Inputs'!$C$28,'APA Inputs'!$H$28-1),N('APA Inputs'!$G$28),0),0))*IF('APA Inputs'!$I$28="",1,'APA Inputs'!$I$28))</f>
        <v>0</v>
      </c>
      <c r="CK13" s="430" t="n">
        <f aca="false">IF('APA Inputs'!$C$28="",0,(IF(AND(CK$4&gt;='APA Inputs'!$C$28,CK$4&lt;EDATE('APA Inputs'!$C$28,N('APA Inputs'!$D$28))),'APA Inputs'!$J$28,0)+IF(N('APA Inputs'!$H$28)&gt;0,IF(CK$4=EDATE('APA Inputs'!$C$28,'APA Inputs'!$H$28-1),N('APA Inputs'!$G$28),0),0))*IF('APA Inputs'!$I$28="",1,'APA Inputs'!$I$28))</f>
        <v>0</v>
      </c>
      <c r="CL13" s="430" t="n">
        <f aca="false">IF('APA Inputs'!$C$28="",0,(IF(AND(CL$4&gt;='APA Inputs'!$C$28,CL$4&lt;EDATE('APA Inputs'!$C$28,N('APA Inputs'!$D$28))),'APA Inputs'!$J$28,0)+IF(N('APA Inputs'!$H$28)&gt;0,IF(CL$4=EDATE('APA Inputs'!$C$28,'APA Inputs'!$H$28-1),N('APA Inputs'!$G$28),0),0))*IF('APA Inputs'!$I$28="",1,'APA Inputs'!$I$28))</f>
        <v>0</v>
      </c>
      <c r="CM13" s="430" t="n">
        <f aca="false">IF('APA Inputs'!$C$28="",0,(IF(AND(CM$4&gt;='APA Inputs'!$C$28,CM$4&lt;EDATE('APA Inputs'!$C$28,N('APA Inputs'!$D$28))),'APA Inputs'!$J$28,0)+IF(N('APA Inputs'!$H$28)&gt;0,IF(CM$4=EDATE('APA Inputs'!$C$28,'APA Inputs'!$H$28-1),N('APA Inputs'!$G$28),0),0))*IF('APA Inputs'!$I$28="",1,'APA Inputs'!$I$28))</f>
        <v>0</v>
      </c>
      <c r="CN13" s="430" t="n">
        <f aca="false">IF('APA Inputs'!$C$28="",0,(IF(AND(CN$4&gt;='APA Inputs'!$C$28,CN$4&lt;EDATE('APA Inputs'!$C$28,N('APA Inputs'!$D$28))),'APA Inputs'!$J$28,0)+IF(N('APA Inputs'!$H$28)&gt;0,IF(CN$4=EDATE('APA Inputs'!$C$28,'APA Inputs'!$H$28-1),N('APA Inputs'!$G$28),0),0))*IF('APA Inputs'!$I$28="",1,'APA Inputs'!$I$28))</f>
        <v>0</v>
      </c>
      <c r="CO13" s="430" t="n">
        <f aca="false">IF('APA Inputs'!$C$28="",0,(IF(AND(CO$4&gt;='APA Inputs'!$C$28,CO$4&lt;EDATE('APA Inputs'!$C$28,N('APA Inputs'!$D$28))),'APA Inputs'!$J$28,0)+IF(N('APA Inputs'!$H$28)&gt;0,IF(CO$4=EDATE('APA Inputs'!$C$28,'APA Inputs'!$H$28-1),N('APA Inputs'!$G$28),0),0))*IF('APA Inputs'!$I$28="",1,'APA Inputs'!$I$28))</f>
        <v>0</v>
      </c>
      <c r="CP13" s="430" t="n">
        <f aca="false">IF('APA Inputs'!$C$28="",0,(IF(AND(CP$4&gt;='APA Inputs'!$C$28,CP$4&lt;EDATE('APA Inputs'!$C$28,N('APA Inputs'!$D$28))),'APA Inputs'!$J$28,0)+IF(N('APA Inputs'!$H$28)&gt;0,IF(CP$4=EDATE('APA Inputs'!$C$28,'APA Inputs'!$H$28-1),N('APA Inputs'!$G$28),0),0))*IF('APA Inputs'!$I$28="",1,'APA Inputs'!$I$28))</f>
        <v>0</v>
      </c>
      <c r="CQ13" s="430" t="n">
        <f aca="false">IF('APA Inputs'!$C$28="",0,(IF(AND(CQ$4&gt;='APA Inputs'!$C$28,CQ$4&lt;EDATE('APA Inputs'!$C$28,N('APA Inputs'!$D$28))),'APA Inputs'!$J$28,0)+IF(N('APA Inputs'!$H$28)&gt;0,IF(CQ$4=EDATE('APA Inputs'!$C$28,'APA Inputs'!$H$28-1),N('APA Inputs'!$G$28),0),0))*IF('APA Inputs'!$I$28="",1,'APA Inputs'!$I$28))</f>
        <v>0</v>
      </c>
      <c r="CR13" s="430" t="n">
        <f aca="false">IF('APA Inputs'!$C$28="",0,(IF(AND(CR$4&gt;='APA Inputs'!$C$28,CR$4&lt;EDATE('APA Inputs'!$C$28,N('APA Inputs'!$D$28))),'APA Inputs'!$J$28,0)+IF(N('APA Inputs'!$H$28)&gt;0,IF(CR$4=EDATE('APA Inputs'!$C$28,'APA Inputs'!$H$28-1),N('APA Inputs'!$G$28),0),0))*IF('APA Inputs'!$I$28="",1,'APA Inputs'!$I$28))</f>
        <v>0</v>
      </c>
      <c r="CS13" s="430" t="n">
        <f aca="false">IF('APA Inputs'!$C$28="",0,(IF(AND(CS$4&gt;='APA Inputs'!$C$28,CS$4&lt;EDATE('APA Inputs'!$C$28,N('APA Inputs'!$D$28))),'APA Inputs'!$J$28,0)+IF(N('APA Inputs'!$H$28)&gt;0,IF(CS$4=EDATE('APA Inputs'!$C$28,'APA Inputs'!$H$28-1),N('APA Inputs'!$G$28),0),0))*IF('APA Inputs'!$I$28="",1,'APA Inputs'!$I$28))</f>
        <v>0</v>
      </c>
      <c r="CT13" s="430" t="n">
        <f aca="false">IF('APA Inputs'!$C$28="",0,(IF(AND(CT$4&gt;='APA Inputs'!$C$28,CT$4&lt;EDATE('APA Inputs'!$C$28,N('APA Inputs'!$D$28))),'APA Inputs'!$J$28,0)+IF(N('APA Inputs'!$H$28)&gt;0,IF(CT$4=EDATE('APA Inputs'!$C$28,'APA Inputs'!$H$28-1),N('APA Inputs'!$G$28),0),0))*IF('APA Inputs'!$I$28="",1,'APA Inputs'!$I$28))</f>
        <v>0</v>
      </c>
      <c r="CU13" s="430" t="n">
        <f aca="false">IF('APA Inputs'!$C$28="",0,(IF(AND(CU$4&gt;='APA Inputs'!$C$28,CU$4&lt;EDATE('APA Inputs'!$C$28,N('APA Inputs'!$D$28))),'APA Inputs'!$J$28,0)+IF(N('APA Inputs'!$H$28)&gt;0,IF(CU$4=EDATE('APA Inputs'!$C$28,'APA Inputs'!$H$28-1),N('APA Inputs'!$G$28),0),0))*IF('APA Inputs'!$I$28="",1,'APA Inputs'!$I$28))</f>
        <v>0</v>
      </c>
      <c r="CV13" s="430" t="n">
        <f aca="false">IF('APA Inputs'!$C$28="",0,(IF(AND(CV$4&gt;='APA Inputs'!$C$28,CV$4&lt;EDATE('APA Inputs'!$C$28,N('APA Inputs'!$D$28))),'APA Inputs'!$J$28,0)+IF(N('APA Inputs'!$H$28)&gt;0,IF(CV$4=EDATE('APA Inputs'!$C$28,'APA Inputs'!$H$28-1),N('APA Inputs'!$G$28),0),0))*IF('APA Inputs'!$I$28="",1,'APA Inputs'!$I$28))</f>
        <v>0</v>
      </c>
      <c r="CW13" s="430" t="n">
        <f aca="false">IF('APA Inputs'!$C$28="",0,(IF(AND(CW$4&gt;='APA Inputs'!$C$28,CW$4&lt;EDATE('APA Inputs'!$C$28,N('APA Inputs'!$D$28))),'APA Inputs'!$J$28,0)+IF(N('APA Inputs'!$H$28)&gt;0,IF(CW$4=EDATE('APA Inputs'!$C$28,'APA Inputs'!$H$28-1),N('APA Inputs'!$G$28),0),0))*IF('APA Inputs'!$I$28="",1,'APA Inputs'!$I$28))</f>
        <v>0</v>
      </c>
      <c r="CX13" s="430" t="n">
        <f aca="false">IF('APA Inputs'!$C$28="",0,(IF(AND(CX$4&gt;='APA Inputs'!$C$28,CX$4&lt;EDATE('APA Inputs'!$C$28,N('APA Inputs'!$D$28))),'APA Inputs'!$J$28,0)+IF(N('APA Inputs'!$H$28)&gt;0,IF(CX$4=EDATE('APA Inputs'!$C$28,'APA Inputs'!$H$28-1),N('APA Inputs'!$G$28),0),0))*IF('APA Inputs'!$I$28="",1,'APA Inputs'!$I$28))</f>
        <v>0</v>
      </c>
      <c r="CY13" s="430" t="n">
        <f aca="false">IF('APA Inputs'!$C$28="",0,(IF(AND(CY$4&gt;='APA Inputs'!$C$28,CY$4&lt;EDATE('APA Inputs'!$C$28,N('APA Inputs'!$D$28))),'APA Inputs'!$J$28,0)+IF(N('APA Inputs'!$H$28)&gt;0,IF(CY$4=EDATE('APA Inputs'!$C$28,'APA Inputs'!$H$28-1),N('APA Inputs'!$G$28),0),0))*IF('APA Inputs'!$I$28="",1,'APA Inputs'!$I$28))</f>
        <v>0</v>
      </c>
      <c r="CZ13" s="430" t="n">
        <f aca="false">IF('APA Inputs'!$C$28="",0,(IF(AND(CZ$4&gt;='APA Inputs'!$C$28,CZ$4&lt;EDATE('APA Inputs'!$C$28,N('APA Inputs'!$D$28))),'APA Inputs'!$J$28,0)+IF(N('APA Inputs'!$H$28)&gt;0,IF(CZ$4=EDATE('APA Inputs'!$C$28,'APA Inputs'!$H$28-1),N('APA Inputs'!$G$28),0),0))*IF('APA Inputs'!$I$28="",1,'APA Inputs'!$I$28))</f>
        <v>0</v>
      </c>
      <c r="DA13" s="430" t="n">
        <f aca="false">IF('APA Inputs'!$C$28="",0,(IF(AND(DA$4&gt;='APA Inputs'!$C$28,DA$4&lt;EDATE('APA Inputs'!$C$28,N('APA Inputs'!$D$28))),'APA Inputs'!$J$28,0)+IF(N('APA Inputs'!$H$28)&gt;0,IF(DA$4=EDATE('APA Inputs'!$C$28,'APA Inputs'!$H$28-1),N('APA Inputs'!$G$28),0),0))*IF('APA Inputs'!$I$28="",1,'APA Inputs'!$I$28))</f>
        <v>0</v>
      </c>
      <c r="DB13" s="430" t="n">
        <f aca="false">IF('APA Inputs'!$C$28="",0,(IF(AND(DB$4&gt;='APA Inputs'!$C$28,DB$4&lt;EDATE('APA Inputs'!$C$28,N('APA Inputs'!$D$28))),'APA Inputs'!$J$28,0)+IF(N('APA Inputs'!$H$28)&gt;0,IF(DB$4=EDATE('APA Inputs'!$C$28,'APA Inputs'!$H$28-1),N('APA Inputs'!$G$28),0),0))*IF('APA Inputs'!$I$28="",1,'APA Inputs'!$I$28))</f>
        <v>0</v>
      </c>
      <c r="DC13" s="430" t="n">
        <f aca="false">IF('APA Inputs'!$C$28="",0,(IF(AND(DC$4&gt;='APA Inputs'!$C$28,DC$4&lt;EDATE('APA Inputs'!$C$28,N('APA Inputs'!$D$28))),'APA Inputs'!$J$28,0)+IF(N('APA Inputs'!$H$28)&gt;0,IF(DC$4=EDATE('APA Inputs'!$C$28,'APA Inputs'!$H$28-1),N('APA Inputs'!$G$28),0),0))*IF('APA Inputs'!$I$28="",1,'APA Inputs'!$I$28))</f>
        <v>0</v>
      </c>
      <c r="DD13" s="430" t="n">
        <f aca="false">IF('APA Inputs'!$C$28="",0,(IF(AND(DD$4&gt;='APA Inputs'!$C$28,DD$4&lt;EDATE('APA Inputs'!$C$28,N('APA Inputs'!$D$28))),'APA Inputs'!$J$28,0)+IF(N('APA Inputs'!$H$28)&gt;0,IF(DD$4=EDATE('APA Inputs'!$C$28,'APA Inputs'!$H$28-1),N('APA Inputs'!$G$28),0),0))*IF('APA Inputs'!$I$28="",1,'APA Inputs'!$I$28))</f>
        <v>0</v>
      </c>
      <c r="DE13" s="430"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30" t="n">
        <f aca="false">IF('APA Inputs'!$C$29="",0,(IF(AND(B$4&gt;='APA Inputs'!$C$29,B$4&lt;EDATE('APA Inputs'!$C$29,N('APA Inputs'!$D$29))),'APA Inputs'!$J$29,0)+IF(N('APA Inputs'!$H$29)&gt;0,IF(B$4=EDATE('APA Inputs'!$C$29,'APA Inputs'!$H$29-1),N('APA Inputs'!$G$29),0),0))*IF('APA Inputs'!$I$29="",1,'APA Inputs'!$I$29))</f>
        <v>0</v>
      </c>
      <c r="C14" s="430" t="n">
        <f aca="false">IF('APA Inputs'!$C$29="",0,(IF(AND(C$4&gt;='APA Inputs'!$C$29,C$4&lt;EDATE('APA Inputs'!$C$29,N('APA Inputs'!$D$29))),'APA Inputs'!$J$29,0)+IF(N('APA Inputs'!$H$29)&gt;0,IF(C$4=EDATE('APA Inputs'!$C$29,'APA Inputs'!$H$29-1),N('APA Inputs'!$G$29),0),0))*IF('APA Inputs'!$I$29="",1,'APA Inputs'!$I$29))</f>
        <v>0</v>
      </c>
      <c r="D14" s="430" t="n">
        <f aca="false">IF('APA Inputs'!$C$29="",0,(IF(AND(D$4&gt;='APA Inputs'!$C$29,D$4&lt;EDATE('APA Inputs'!$C$29,N('APA Inputs'!$D$29))),'APA Inputs'!$J$29,0)+IF(N('APA Inputs'!$H$29)&gt;0,IF(D$4=EDATE('APA Inputs'!$C$29,'APA Inputs'!$H$29-1),N('APA Inputs'!$G$29),0),0))*IF('APA Inputs'!$I$29="",1,'APA Inputs'!$I$29))</f>
        <v>0</v>
      </c>
      <c r="E14" s="430" t="n">
        <f aca="false">IF('APA Inputs'!$C$29="",0,(IF(AND(E$4&gt;='APA Inputs'!$C$29,E$4&lt;EDATE('APA Inputs'!$C$29,N('APA Inputs'!$D$29))),'APA Inputs'!$J$29,0)+IF(N('APA Inputs'!$H$29)&gt;0,IF(E$4=EDATE('APA Inputs'!$C$29,'APA Inputs'!$H$29-1),N('APA Inputs'!$G$29),0),0))*IF('APA Inputs'!$I$29="",1,'APA Inputs'!$I$29))</f>
        <v>0</v>
      </c>
      <c r="F14" s="430" t="n">
        <f aca="false">IF('APA Inputs'!$C$29="",0,(IF(AND(F$4&gt;='APA Inputs'!$C$29,F$4&lt;EDATE('APA Inputs'!$C$29,N('APA Inputs'!$D$29))),'APA Inputs'!$J$29,0)+IF(N('APA Inputs'!$H$29)&gt;0,IF(F$4=EDATE('APA Inputs'!$C$29,'APA Inputs'!$H$29-1),N('APA Inputs'!$G$29),0),0))*IF('APA Inputs'!$I$29="",1,'APA Inputs'!$I$29))</f>
        <v>0</v>
      </c>
      <c r="G14" s="430" t="n">
        <f aca="false">IF('APA Inputs'!$C$29="",0,(IF(AND(G$4&gt;='APA Inputs'!$C$29,G$4&lt;EDATE('APA Inputs'!$C$29,N('APA Inputs'!$D$29))),'APA Inputs'!$J$29,0)+IF(N('APA Inputs'!$H$29)&gt;0,IF(G$4=EDATE('APA Inputs'!$C$29,'APA Inputs'!$H$29-1),N('APA Inputs'!$G$29),0),0))*IF('APA Inputs'!$I$29="",1,'APA Inputs'!$I$29))</f>
        <v>0</v>
      </c>
      <c r="H14" s="430" t="n">
        <f aca="false">IF('APA Inputs'!$C$29="",0,(IF(AND(H$4&gt;='APA Inputs'!$C$29,H$4&lt;EDATE('APA Inputs'!$C$29,N('APA Inputs'!$D$29))),'APA Inputs'!$J$29,0)+IF(N('APA Inputs'!$H$29)&gt;0,IF(H$4=EDATE('APA Inputs'!$C$29,'APA Inputs'!$H$29-1),N('APA Inputs'!$G$29),0),0))*IF('APA Inputs'!$I$29="",1,'APA Inputs'!$I$29))</f>
        <v>0</v>
      </c>
      <c r="I14" s="430" t="n">
        <f aca="false">IF('APA Inputs'!$C$29="",0,(IF(AND(I$4&gt;='APA Inputs'!$C$29,I$4&lt;EDATE('APA Inputs'!$C$29,N('APA Inputs'!$D$29))),'APA Inputs'!$J$29,0)+IF(N('APA Inputs'!$H$29)&gt;0,IF(I$4=EDATE('APA Inputs'!$C$29,'APA Inputs'!$H$29-1),N('APA Inputs'!$G$29),0),0))*IF('APA Inputs'!$I$29="",1,'APA Inputs'!$I$29))</f>
        <v>0</v>
      </c>
      <c r="J14" s="430" t="n">
        <f aca="false">IF('APA Inputs'!$C$29="",0,(IF(AND(J$4&gt;='APA Inputs'!$C$29,J$4&lt;EDATE('APA Inputs'!$C$29,N('APA Inputs'!$D$29))),'APA Inputs'!$J$29,0)+IF(N('APA Inputs'!$H$29)&gt;0,IF(J$4=EDATE('APA Inputs'!$C$29,'APA Inputs'!$H$29-1),N('APA Inputs'!$G$29),0),0))*IF('APA Inputs'!$I$29="",1,'APA Inputs'!$I$29))</f>
        <v>0</v>
      </c>
      <c r="K14" s="430" t="n">
        <f aca="false">IF('APA Inputs'!$C$29="",0,(IF(AND(K$4&gt;='APA Inputs'!$C$29,K$4&lt;EDATE('APA Inputs'!$C$29,N('APA Inputs'!$D$29))),'APA Inputs'!$J$29,0)+IF(N('APA Inputs'!$H$29)&gt;0,IF(K$4=EDATE('APA Inputs'!$C$29,'APA Inputs'!$H$29-1),N('APA Inputs'!$G$29),0),0))*IF('APA Inputs'!$I$29="",1,'APA Inputs'!$I$29))</f>
        <v>0</v>
      </c>
      <c r="L14" s="430" t="n">
        <f aca="false">IF('APA Inputs'!$C$29="",0,(IF(AND(L$4&gt;='APA Inputs'!$C$29,L$4&lt;EDATE('APA Inputs'!$C$29,N('APA Inputs'!$D$29))),'APA Inputs'!$J$29,0)+IF(N('APA Inputs'!$H$29)&gt;0,IF(L$4=EDATE('APA Inputs'!$C$29,'APA Inputs'!$H$29-1),N('APA Inputs'!$G$29),0),0))*IF('APA Inputs'!$I$29="",1,'APA Inputs'!$I$29))</f>
        <v>0</v>
      </c>
      <c r="M14" s="430" t="n">
        <f aca="false">IF('APA Inputs'!$C$29="",0,(IF(AND(M$4&gt;='APA Inputs'!$C$29,M$4&lt;EDATE('APA Inputs'!$C$29,N('APA Inputs'!$D$29))),'APA Inputs'!$J$29,0)+IF(N('APA Inputs'!$H$29)&gt;0,IF(M$4=EDATE('APA Inputs'!$C$29,'APA Inputs'!$H$29-1),N('APA Inputs'!$G$29),0),0))*IF('APA Inputs'!$I$29="",1,'APA Inputs'!$I$29))</f>
        <v>0</v>
      </c>
      <c r="N14" s="430" t="n">
        <f aca="false">IF('APA Inputs'!$C$29="",0,(IF(AND(N$4&gt;='APA Inputs'!$C$29,N$4&lt;EDATE('APA Inputs'!$C$29,N('APA Inputs'!$D$29))),'APA Inputs'!$J$29,0)+IF(N('APA Inputs'!$H$29)&gt;0,IF(N$4=EDATE('APA Inputs'!$C$29,'APA Inputs'!$H$29-1),N('APA Inputs'!$G$29),0),0))*IF('APA Inputs'!$I$29="",1,'APA Inputs'!$I$29))</f>
        <v>0</v>
      </c>
      <c r="O14" s="430" t="n">
        <f aca="false">IF('APA Inputs'!$C$29="",0,(IF(AND(O$4&gt;='APA Inputs'!$C$29,O$4&lt;EDATE('APA Inputs'!$C$29,N('APA Inputs'!$D$29))),'APA Inputs'!$J$29,0)+IF(N('APA Inputs'!$H$29)&gt;0,IF(O$4=EDATE('APA Inputs'!$C$29,'APA Inputs'!$H$29-1),N('APA Inputs'!$G$29),0),0))*IF('APA Inputs'!$I$29="",1,'APA Inputs'!$I$29))</f>
        <v>0</v>
      </c>
      <c r="P14" s="430" t="n">
        <f aca="false">IF('APA Inputs'!$C$29="",0,(IF(AND(P$4&gt;='APA Inputs'!$C$29,P$4&lt;EDATE('APA Inputs'!$C$29,N('APA Inputs'!$D$29))),'APA Inputs'!$J$29,0)+IF(N('APA Inputs'!$H$29)&gt;0,IF(P$4=EDATE('APA Inputs'!$C$29,'APA Inputs'!$H$29-1),N('APA Inputs'!$G$29),0),0))*IF('APA Inputs'!$I$29="",1,'APA Inputs'!$I$29))</f>
        <v>0</v>
      </c>
      <c r="Q14" s="430" t="n">
        <f aca="false">IF('APA Inputs'!$C$29="",0,(IF(AND(Q$4&gt;='APA Inputs'!$C$29,Q$4&lt;EDATE('APA Inputs'!$C$29,N('APA Inputs'!$D$29))),'APA Inputs'!$J$29,0)+IF(N('APA Inputs'!$H$29)&gt;0,IF(Q$4=EDATE('APA Inputs'!$C$29,'APA Inputs'!$H$29-1),N('APA Inputs'!$G$29),0),0))*IF('APA Inputs'!$I$29="",1,'APA Inputs'!$I$29))</f>
        <v>0</v>
      </c>
      <c r="R14" s="430" t="n">
        <f aca="false">IF('APA Inputs'!$C$29="",0,(IF(AND(R$4&gt;='APA Inputs'!$C$29,R$4&lt;EDATE('APA Inputs'!$C$29,N('APA Inputs'!$D$29))),'APA Inputs'!$J$29,0)+IF(N('APA Inputs'!$H$29)&gt;0,IF(R$4=EDATE('APA Inputs'!$C$29,'APA Inputs'!$H$29-1),N('APA Inputs'!$G$29),0),0))*IF('APA Inputs'!$I$29="",1,'APA Inputs'!$I$29))</f>
        <v>0</v>
      </c>
      <c r="S14" s="430" t="n">
        <f aca="false">IF('APA Inputs'!$C$29="",0,(IF(AND(S$4&gt;='APA Inputs'!$C$29,S$4&lt;EDATE('APA Inputs'!$C$29,N('APA Inputs'!$D$29))),'APA Inputs'!$J$29,0)+IF(N('APA Inputs'!$H$29)&gt;0,IF(S$4=EDATE('APA Inputs'!$C$29,'APA Inputs'!$H$29-1),N('APA Inputs'!$G$29),0),0))*IF('APA Inputs'!$I$29="",1,'APA Inputs'!$I$29))</f>
        <v>0</v>
      </c>
      <c r="T14" s="430" t="n">
        <f aca="false">IF('APA Inputs'!$C$29="",0,(IF(AND(T$4&gt;='APA Inputs'!$C$29,T$4&lt;EDATE('APA Inputs'!$C$29,N('APA Inputs'!$D$29))),'APA Inputs'!$J$29,0)+IF(N('APA Inputs'!$H$29)&gt;0,IF(T$4=EDATE('APA Inputs'!$C$29,'APA Inputs'!$H$29-1),N('APA Inputs'!$G$29),0),0))*IF('APA Inputs'!$I$29="",1,'APA Inputs'!$I$29))</f>
        <v>0</v>
      </c>
      <c r="U14" s="430" t="n">
        <f aca="false">IF('APA Inputs'!$C$29="",0,(IF(AND(U$4&gt;='APA Inputs'!$C$29,U$4&lt;EDATE('APA Inputs'!$C$29,N('APA Inputs'!$D$29))),'APA Inputs'!$J$29,0)+IF(N('APA Inputs'!$H$29)&gt;0,IF(U$4=EDATE('APA Inputs'!$C$29,'APA Inputs'!$H$29-1),N('APA Inputs'!$G$29),0),0))*IF('APA Inputs'!$I$29="",1,'APA Inputs'!$I$29))</f>
        <v>0</v>
      </c>
      <c r="V14" s="430" t="n">
        <f aca="false">IF('APA Inputs'!$C$29="",0,(IF(AND(V$4&gt;='APA Inputs'!$C$29,V$4&lt;EDATE('APA Inputs'!$C$29,N('APA Inputs'!$D$29))),'APA Inputs'!$J$29,0)+IF(N('APA Inputs'!$H$29)&gt;0,IF(V$4=EDATE('APA Inputs'!$C$29,'APA Inputs'!$H$29-1),N('APA Inputs'!$G$29),0),0))*IF('APA Inputs'!$I$29="",1,'APA Inputs'!$I$29))</f>
        <v>0</v>
      </c>
      <c r="W14" s="430" t="n">
        <f aca="false">IF('APA Inputs'!$C$29="",0,(IF(AND(W$4&gt;='APA Inputs'!$C$29,W$4&lt;EDATE('APA Inputs'!$C$29,N('APA Inputs'!$D$29))),'APA Inputs'!$J$29,0)+IF(N('APA Inputs'!$H$29)&gt;0,IF(W$4=EDATE('APA Inputs'!$C$29,'APA Inputs'!$H$29-1),N('APA Inputs'!$G$29),0),0))*IF('APA Inputs'!$I$29="",1,'APA Inputs'!$I$29))</f>
        <v>0</v>
      </c>
      <c r="X14" s="430" t="n">
        <f aca="false">IF('APA Inputs'!$C$29="",0,(IF(AND(X$4&gt;='APA Inputs'!$C$29,X$4&lt;EDATE('APA Inputs'!$C$29,N('APA Inputs'!$D$29))),'APA Inputs'!$J$29,0)+IF(N('APA Inputs'!$H$29)&gt;0,IF(X$4=EDATE('APA Inputs'!$C$29,'APA Inputs'!$H$29-1),N('APA Inputs'!$G$29),0),0))*IF('APA Inputs'!$I$29="",1,'APA Inputs'!$I$29))</f>
        <v>0</v>
      </c>
      <c r="Y14" s="430" t="n">
        <f aca="false">IF('APA Inputs'!$C$29="",0,(IF(AND(Y$4&gt;='APA Inputs'!$C$29,Y$4&lt;EDATE('APA Inputs'!$C$29,N('APA Inputs'!$D$29))),'APA Inputs'!$J$29,0)+IF(N('APA Inputs'!$H$29)&gt;0,IF(Y$4=EDATE('APA Inputs'!$C$29,'APA Inputs'!$H$29-1),N('APA Inputs'!$G$29),0),0))*IF('APA Inputs'!$I$29="",1,'APA Inputs'!$I$29))</f>
        <v>0</v>
      </c>
      <c r="Z14" s="430" t="n">
        <f aca="false">IF('APA Inputs'!$C$29="",0,(IF(AND(Z$4&gt;='APA Inputs'!$C$29,Z$4&lt;EDATE('APA Inputs'!$C$29,N('APA Inputs'!$D$29))),'APA Inputs'!$J$29,0)+IF(N('APA Inputs'!$H$29)&gt;0,IF(Z$4=EDATE('APA Inputs'!$C$29,'APA Inputs'!$H$29-1),N('APA Inputs'!$G$29),0),0))*IF('APA Inputs'!$I$29="",1,'APA Inputs'!$I$29))</f>
        <v>0</v>
      </c>
      <c r="AA14" s="430" t="n">
        <f aca="false">IF('APA Inputs'!$C$29="",0,(IF(AND(AA$4&gt;='APA Inputs'!$C$29,AA$4&lt;EDATE('APA Inputs'!$C$29,N('APA Inputs'!$D$29))),'APA Inputs'!$J$29,0)+IF(N('APA Inputs'!$H$29)&gt;0,IF(AA$4=EDATE('APA Inputs'!$C$29,'APA Inputs'!$H$29-1),N('APA Inputs'!$G$29),0),0))*IF('APA Inputs'!$I$29="",1,'APA Inputs'!$I$29))</f>
        <v>0</v>
      </c>
      <c r="AB14" s="430" t="n">
        <f aca="false">IF('APA Inputs'!$C$29="",0,(IF(AND(AB$4&gt;='APA Inputs'!$C$29,AB$4&lt;EDATE('APA Inputs'!$C$29,N('APA Inputs'!$D$29))),'APA Inputs'!$J$29,0)+IF(N('APA Inputs'!$H$29)&gt;0,IF(AB$4=EDATE('APA Inputs'!$C$29,'APA Inputs'!$H$29-1),N('APA Inputs'!$G$29),0),0))*IF('APA Inputs'!$I$29="",1,'APA Inputs'!$I$29))</f>
        <v>0</v>
      </c>
      <c r="AC14" s="430" t="n">
        <f aca="false">IF('APA Inputs'!$C$29="",0,(IF(AND(AC$4&gt;='APA Inputs'!$C$29,AC$4&lt;EDATE('APA Inputs'!$C$29,N('APA Inputs'!$D$29))),'APA Inputs'!$J$29,0)+IF(N('APA Inputs'!$H$29)&gt;0,IF(AC$4=EDATE('APA Inputs'!$C$29,'APA Inputs'!$H$29-1),N('APA Inputs'!$G$29),0),0))*IF('APA Inputs'!$I$29="",1,'APA Inputs'!$I$29))</f>
        <v>0</v>
      </c>
      <c r="AD14" s="430" t="n">
        <f aca="false">IF('APA Inputs'!$C$29="",0,(IF(AND(AD$4&gt;='APA Inputs'!$C$29,AD$4&lt;EDATE('APA Inputs'!$C$29,N('APA Inputs'!$D$29))),'APA Inputs'!$J$29,0)+IF(N('APA Inputs'!$H$29)&gt;0,IF(AD$4=EDATE('APA Inputs'!$C$29,'APA Inputs'!$H$29-1),N('APA Inputs'!$G$29),0),0))*IF('APA Inputs'!$I$29="",1,'APA Inputs'!$I$29))</f>
        <v>0</v>
      </c>
      <c r="AE14" s="430" t="n">
        <f aca="false">IF('APA Inputs'!$C$29="",0,(IF(AND(AE$4&gt;='APA Inputs'!$C$29,AE$4&lt;EDATE('APA Inputs'!$C$29,N('APA Inputs'!$D$29))),'APA Inputs'!$J$29,0)+IF(N('APA Inputs'!$H$29)&gt;0,IF(AE$4=EDATE('APA Inputs'!$C$29,'APA Inputs'!$H$29-1),N('APA Inputs'!$G$29),0),0))*IF('APA Inputs'!$I$29="",1,'APA Inputs'!$I$29))</f>
        <v>0</v>
      </c>
      <c r="AF14" s="430" t="n">
        <f aca="false">IF('APA Inputs'!$C$29="",0,(IF(AND(AF$4&gt;='APA Inputs'!$C$29,AF$4&lt;EDATE('APA Inputs'!$C$29,N('APA Inputs'!$D$29))),'APA Inputs'!$J$29,0)+IF(N('APA Inputs'!$H$29)&gt;0,IF(AF$4=EDATE('APA Inputs'!$C$29,'APA Inputs'!$H$29-1),N('APA Inputs'!$G$29),0),0))*IF('APA Inputs'!$I$29="",1,'APA Inputs'!$I$29))</f>
        <v>0</v>
      </c>
      <c r="AG14" s="430" t="n">
        <f aca="false">IF('APA Inputs'!$C$29="",0,(IF(AND(AG$4&gt;='APA Inputs'!$C$29,AG$4&lt;EDATE('APA Inputs'!$C$29,N('APA Inputs'!$D$29))),'APA Inputs'!$J$29,0)+IF(N('APA Inputs'!$H$29)&gt;0,IF(AG$4=EDATE('APA Inputs'!$C$29,'APA Inputs'!$H$29-1),N('APA Inputs'!$G$29),0),0))*IF('APA Inputs'!$I$29="",1,'APA Inputs'!$I$29))</f>
        <v>0</v>
      </c>
      <c r="AH14" s="430" t="n">
        <f aca="false">IF('APA Inputs'!$C$29="",0,(IF(AND(AH$4&gt;='APA Inputs'!$C$29,AH$4&lt;EDATE('APA Inputs'!$C$29,N('APA Inputs'!$D$29))),'APA Inputs'!$J$29,0)+IF(N('APA Inputs'!$H$29)&gt;0,IF(AH$4=EDATE('APA Inputs'!$C$29,'APA Inputs'!$H$29-1),N('APA Inputs'!$G$29),0),0))*IF('APA Inputs'!$I$29="",1,'APA Inputs'!$I$29))</f>
        <v>0</v>
      </c>
      <c r="AI14" s="430" t="n">
        <f aca="false">IF('APA Inputs'!$C$29="",0,(IF(AND(AI$4&gt;='APA Inputs'!$C$29,AI$4&lt;EDATE('APA Inputs'!$C$29,N('APA Inputs'!$D$29))),'APA Inputs'!$J$29,0)+IF(N('APA Inputs'!$H$29)&gt;0,IF(AI$4=EDATE('APA Inputs'!$C$29,'APA Inputs'!$H$29-1),N('APA Inputs'!$G$29),0),0))*IF('APA Inputs'!$I$29="",1,'APA Inputs'!$I$29))</f>
        <v>0</v>
      </c>
      <c r="AJ14" s="430" t="n">
        <f aca="false">IF('APA Inputs'!$C$29="",0,(IF(AND(AJ$4&gt;='APA Inputs'!$C$29,AJ$4&lt;EDATE('APA Inputs'!$C$29,N('APA Inputs'!$D$29))),'APA Inputs'!$J$29,0)+IF(N('APA Inputs'!$H$29)&gt;0,IF(AJ$4=EDATE('APA Inputs'!$C$29,'APA Inputs'!$H$29-1),N('APA Inputs'!$G$29),0),0))*IF('APA Inputs'!$I$29="",1,'APA Inputs'!$I$29))</f>
        <v>0</v>
      </c>
      <c r="AK14" s="430" t="n">
        <f aca="false">IF('APA Inputs'!$C$29="",0,(IF(AND(AK$4&gt;='APA Inputs'!$C$29,AK$4&lt;EDATE('APA Inputs'!$C$29,N('APA Inputs'!$D$29))),'APA Inputs'!$J$29,0)+IF(N('APA Inputs'!$H$29)&gt;0,IF(AK$4=EDATE('APA Inputs'!$C$29,'APA Inputs'!$H$29-1),N('APA Inputs'!$G$29),0),0))*IF('APA Inputs'!$I$29="",1,'APA Inputs'!$I$29))</f>
        <v>0</v>
      </c>
      <c r="AL14" s="430" t="n">
        <f aca="false">IF('APA Inputs'!$C$29="",0,(IF(AND(AL$4&gt;='APA Inputs'!$C$29,AL$4&lt;EDATE('APA Inputs'!$C$29,N('APA Inputs'!$D$29))),'APA Inputs'!$J$29,0)+IF(N('APA Inputs'!$H$29)&gt;0,IF(AL$4=EDATE('APA Inputs'!$C$29,'APA Inputs'!$H$29-1),N('APA Inputs'!$G$29),0),0))*IF('APA Inputs'!$I$29="",1,'APA Inputs'!$I$29))</f>
        <v>0</v>
      </c>
      <c r="AM14" s="430" t="n">
        <f aca="false">IF('APA Inputs'!$C$29="",0,(IF(AND(AM$4&gt;='APA Inputs'!$C$29,AM$4&lt;EDATE('APA Inputs'!$C$29,N('APA Inputs'!$D$29))),'APA Inputs'!$J$29,0)+IF(N('APA Inputs'!$H$29)&gt;0,IF(AM$4=EDATE('APA Inputs'!$C$29,'APA Inputs'!$H$29-1),N('APA Inputs'!$G$29),0),0))*IF('APA Inputs'!$I$29="",1,'APA Inputs'!$I$29))</f>
        <v>0</v>
      </c>
      <c r="AN14" s="430" t="n">
        <f aca="false">IF('APA Inputs'!$C$29="",0,(IF(AND(AN$4&gt;='APA Inputs'!$C$29,AN$4&lt;EDATE('APA Inputs'!$C$29,N('APA Inputs'!$D$29))),'APA Inputs'!$J$29,0)+IF(N('APA Inputs'!$H$29)&gt;0,IF(AN$4=EDATE('APA Inputs'!$C$29,'APA Inputs'!$H$29-1),N('APA Inputs'!$G$29),0),0))*IF('APA Inputs'!$I$29="",1,'APA Inputs'!$I$29))</f>
        <v>0</v>
      </c>
      <c r="AO14" s="430" t="n">
        <f aca="false">IF('APA Inputs'!$C$29="",0,(IF(AND(AO$4&gt;='APA Inputs'!$C$29,AO$4&lt;EDATE('APA Inputs'!$C$29,N('APA Inputs'!$D$29))),'APA Inputs'!$J$29,0)+IF(N('APA Inputs'!$H$29)&gt;0,IF(AO$4=EDATE('APA Inputs'!$C$29,'APA Inputs'!$H$29-1),N('APA Inputs'!$G$29),0),0))*IF('APA Inputs'!$I$29="",1,'APA Inputs'!$I$29))</f>
        <v>0</v>
      </c>
      <c r="AP14" s="430" t="n">
        <f aca="false">IF('APA Inputs'!$C$29="",0,(IF(AND(AP$4&gt;='APA Inputs'!$C$29,AP$4&lt;EDATE('APA Inputs'!$C$29,N('APA Inputs'!$D$29))),'APA Inputs'!$J$29,0)+IF(N('APA Inputs'!$H$29)&gt;0,IF(AP$4=EDATE('APA Inputs'!$C$29,'APA Inputs'!$H$29-1),N('APA Inputs'!$G$29),0),0))*IF('APA Inputs'!$I$29="",1,'APA Inputs'!$I$29))</f>
        <v>0</v>
      </c>
      <c r="AQ14" s="430" t="n">
        <f aca="false">IF('APA Inputs'!$C$29="",0,(IF(AND(AQ$4&gt;='APA Inputs'!$C$29,AQ$4&lt;EDATE('APA Inputs'!$C$29,N('APA Inputs'!$D$29))),'APA Inputs'!$J$29,0)+IF(N('APA Inputs'!$H$29)&gt;0,IF(AQ$4=EDATE('APA Inputs'!$C$29,'APA Inputs'!$H$29-1),N('APA Inputs'!$G$29),0),0))*IF('APA Inputs'!$I$29="",1,'APA Inputs'!$I$29))</f>
        <v>0</v>
      </c>
      <c r="AR14" s="430" t="n">
        <f aca="false">IF('APA Inputs'!$C$29="",0,(IF(AND(AR$4&gt;='APA Inputs'!$C$29,AR$4&lt;EDATE('APA Inputs'!$C$29,N('APA Inputs'!$D$29))),'APA Inputs'!$J$29,0)+IF(N('APA Inputs'!$H$29)&gt;0,IF(AR$4=EDATE('APA Inputs'!$C$29,'APA Inputs'!$H$29-1),N('APA Inputs'!$G$29),0),0))*IF('APA Inputs'!$I$29="",1,'APA Inputs'!$I$29))</f>
        <v>0</v>
      </c>
      <c r="AS14" s="430" t="n">
        <f aca="false">IF('APA Inputs'!$C$29="",0,(IF(AND(AS$4&gt;='APA Inputs'!$C$29,AS$4&lt;EDATE('APA Inputs'!$C$29,N('APA Inputs'!$D$29))),'APA Inputs'!$J$29,0)+IF(N('APA Inputs'!$H$29)&gt;0,IF(AS$4=EDATE('APA Inputs'!$C$29,'APA Inputs'!$H$29-1),N('APA Inputs'!$G$29),0),0))*IF('APA Inputs'!$I$29="",1,'APA Inputs'!$I$29))</f>
        <v>0</v>
      </c>
      <c r="AT14" s="430" t="n">
        <f aca="false">IF('APA Inputs'!$C$29="",0,(IF(AND(AT$4&gt;='APA Inputs'!$C$29,AT$4&lt;EDATE('APA Inputs'!$C$29,N('APA Inputs'!$D$29))),'APA Inputs'!$J$29,0)+IF(N('APA Inputs'!$H$29)&gt;0,IF(AT$4=EDATE('APA Inputs'!$C$29,'APA Inputs'!$H$29-1),N('APA Inputs'!$G$29),0),0))*IF('APA Inputs'!$I$29="",1,'APA Inputs'!$I$29))</f>
        <v>0</v>
      </c>
      <c r="AU14" s="430" t="n">
        <f aca="false">IF('APA Inputs'!$C$29="",0,(IF(AND(AU$4&gt;='APA Inputs'!$C$29,AU$4&lt;EDATE('APA Inputs'!$C$29,N('APA Inputs'!$D$29))),'APA Inputs'!$J$29,0)+IF(N('APA Inputs'!$H$29)&gt;0,IF(AU$4=EDATE('APA Inputs'!$C$29,'APA Inputs'!$H$29-1),N('APA Inputs'!$G$29),0),0))*IF('APA Inputs'!$I$29="",1,'APA Inputs'!$I$29))</f>
        <v>0</v>
      </c>
      <c r="AV14" s="430" t="n">
        <f aca="false">IF('APA Inputs'!$C$29="",0,(IF(AND(AV$4&gt;='APA Inputs'!$C$29,AV$4&lt;EDATE('APA Inputs'!$C$29,N('APA Inputs'!$D$29))),'APA Inputs'!$J$29,0)+IF(N('APA Inputs'!$H$29)&gt;0,IF(AV$4=EDATE('APA Inputs'!$C$29,'APA Inputs'!$H$29-1),N('APA Inputs'!$G$29),0),0))*IF('APA Inputs'!$I$29="",1,'APA Inputs'!$I$29))</f>
        <v>0</v>
      </c>
      <c r="AW14" s="430" t="n">
        <f aca="false">IF('APA Inputs'!$C$29="",0,(IF(AND(AW$4&gt;='APA Inputs'!$C$29,AW$4&lt;EDATE('APA Inputs'!$C$29,N('APA Inputs'!$D$29))),'APA Inputs'!$J$29,0)+IF(N('APA Inputs'!$H$29)&gt;0,IF(AW$4=EDATE('APA Inputs'!$C$29,'APA Inputs'!$H$29-1),N('APA Inputs'!$G$29),0),0))*IF('APA Inputs'!$I$29="",1,'APA Inputs'!$I$29))</f>
        <v>0</v>
      </c>
      <c r="AX14" s="430" t="n">
        <f aca="false">IF('APA Inputs'!$C$29="",0,(IF(AND(AX$4&gt;='APA Inputs'!$C$29,AX$4&lt;EDATE('APA Inputs'!$C$29,N('APA Inputs'!$D$29))),'APA Inputs'!$J$29,0)+IF(N('APA Inputs'!$H$29)&gt;0,IF(AX$4=EDATE('APA Inputs'!$C$29,'APA Inputs'!$H$29-1),N('APA Inputs'!$G$29),0),0))*IF('APA Inputs'!$I$29="",1,'APA Inputs'!$I$29))</f>
        <v>0</v>
      </c>
      <c r="AY14" s="430" t="n">
        <f aca="false">IF('APA Inputs'!$C$29="",0,(IF(AND(AY$4&gt;='APA Inputs'!$C$29,AY$4&lt;EDATE('APA Inputs'!$C$29,N('APA Inputs'!$D$29))),'APA Inputs'!$J$29,0)+IF(N('APA Inputs'!$H$29)&gt;0,IF(AY$4=EDATE('APA Inputs'!$C$29,'APA Inputs'!$H$29-1),N('APA Inputs'!$G$29),0),0))*IF('APA Inputs'!$I$29="",1,'APA Inputs'!$I$29))</f>
        <v>0</v>
      </c>
      <c r="AZ14" s="430" t="n">
        <f aca="false">IF('APA Inputs'!$C$29="",0,(IF(AND(AZ$4&gt;='APA Inputs'!$C$29,AZ$4&lt;EDATE('APA Inputs'!$C$29,N('APA Inputs'!$D$29))),'APA Inputs'!$J$29,0)+IF(N('APA Inputs'!$H$29)&gt;0,IF(AZ$4=EDATE('APA Inputs'!$C$29,'APA Inputs'!$H$29-1),N('APA Inputs'!$G$29),0),0))*IF('APA Inputs'!$I$29="",1,'APA Inputs'!$I$29))</f>
        <v>0</v>
      </c>
      <c r="BA14" s="430" t="n">
        <f aca="false">IF('APA Inputs'!$C$29="",0,(IF(AND(BA$4&gt;='APA Inputs'!$C$29,BA$4&lt;EDATE('APA Inputs'!$C$29,N('APA Inputs'!$D$29))),'APA Inputs'!$J$29,0)+IF(N('APA Inputs'!$H$29)&gt;0,IF(BA$4=EDATE('APA Inputs'!$C$29,'APA Inputs'!$H$29-1),N('APA Inputs'!$G$29),0),0))*IF('APA Inputs'!$I$29="",1,'APA Inputs'!$I$29))</f>
        <v>0</v>
      </c>
      <c r="BB14" s="430" t="n">
        <f aca="false">IF('APA Inputs'!$C$29="",0,(IF(AND(BB$4&gt;='APA Inputs'!$C$29,BB$4&lt;EDATE('APA Inputs'!$C$29,N('APA Inputs'!$D$29))),'APA Inputs'!$J$29,0)+IF(N('APA Inputs'!$H$29)&gt;0,IF(BB$4=EDATE('APA Inputs'!$C$29,'APA Inputs'!$H$29-1),N('APA Inputs'!$G$29),0),0))*IF('APA Inputs'!$I$29="",1,'APA Inputs'!$I$29))</f>
        <v>0</v>
      </c>
      <c r="BC14" s="430" t="n">
        <f aca="false">IF('APA Inputs'!$C$29="",0,(IF(AND(BC$4&gt;='APA Inputs'!$C$29,BC$4&lt;EDATE('APA Inputs'!$C$29,N('APA Inputs'!$D$29))),'APA Inputs'!$J$29,0)+IF(N('APA Inputs'!$H$29)&gt;0,IF(BC$4=EDATE('APA Inputs'!$C$29,'APA Inputs'!$H$29-1),N('APA Inputs'!$G$29),0),0))*IF('APA Inputs'!$I$29="",1,'APA Inputs'!$I$29))</f>
        <v>0</v>
      </c>
      <c r="BD14" s="430" t="n">
        <f aca="false">IF('APA Inputs'!$C$29="",0,(IF(AND(BD$4&gt;='APA Inputs'!$C$29,BD$4&lt;EDATE('APA Inputs'!$C$29,N('APA Inputs'!$D$29))),'APA Inputs'!$J$29,0)+IF(N('APA Inputs'!$H$29)&gt;0,IF(BD$4=EDATE('APA Inputs'!$C$29,'APA Inputs'!$H$29-1),N('APA Inputs'!$G$29),0),0))*IF('APA Inputs'!$I$29="",1,'APA Inputs'!$I$29))</f>
        <v>0</v>
      </c>
      <c r="BE14" s="430" t="n">
        <f aca="false">IF('APA Inputs'!$C$29="",0,(IF(AND(BE$4&gt;='APA Inputs'!$C$29,BE$4&lt;EDATE('APA Inputs'!$C$29,N('APA Inputs'!$D$29))),'APA Inputs'!$J$29,0)+IF(N('APA Inputs'!$H$29)&gt;0,IF(BE$4=EDATE('APA Inputs'!$C$29,'APA Inputs'!$H$29-1),N('APA Inputs'!$G$29),0),0))*IF('APA Inputs'!$I$29="",1,'APA Inputs'!$I$29))</f>
        <v>0</v>
      </c>
      <c r="BF14" s="430" t="n">
        <f aca="false">IF('APA Inputs'!$C$29="",0,(IF(AND(BF$4&gt;='APA Inputs'!$C$29,BF$4&lt;EDATE('APA Inputs'!$C$29,N('APA Inputs'!$D$29))),'APA Inputs'!$J$29,0)+IF(N('APA Inputs'!$H$29)&gt;0,IF(BF$4=EDATE('APA Inputs'!$C$29,'APA Inputs'!$H$29-1),N('APA Inputs'!$G$29),0),0))*IF('APA Inputs'!$I$29="",1,'APA Inputs'!$I$29))</f>
        <v>0</v>
      </c>
      <c r="BG14" s="430" t="n">
        <f aca="false">IF('APA Inputs'!$C$29="",0,(IF(AND(BG$4&gt;='APA Inputs'!$C$29,BG$4&lt;EDATE('APA Inputs'!$C$29,N('APA Inputs'!$D$29))),'APA Inputs'!$J$29,0)+IF(N('APA Inputs'!$H$29)&gt;0,IF(BG$4=EDATE('APA Inputs'!$C$29,'APA Inputs'!$H$29-1),N('APA Inputs'!$G$29),0),0))*IF('APA Inputs'!$I$29="",1,'APA Inputs'!$I$29))</f>
        <v>0</v>
      </c>
      <c r="BH14" s="430" t="n">
        <f aca="false">IF('APA Inputs'!$C$29="",0,(IF(AND(BH$4&gt;='APA Inputs'!$C$29,BH$4&lt;EDATE('APA Inputs'!$C$29,N('APA Inputs'!$D$29))),'APA Inputs'!$J$29,0)+IF(N('APA Inputs'!$H$29)&gt;0,IF(BH$4=EDATE('APA Inputs'!$C$29,'APA Inputs'!$H$29-1),N('APA Inputs'!$G$29),0),0))*IF('APA Inputs'!$I$29="",1,'APA Inputs'!$I$29))</f>
        <v>0</v>
      </c>
      <c r="BI14" s="430" t="n">
        <f aca="false">IF('APA Inputs'!$C$29="",0,(IF(AND(BI$4&gt;='APA Inputs'!$C$29,BI$4&lt;EDATE('APA Inputs'!$C$29,N('APA Inputs'!$D$29))),'APA Inputs'!$J$29,0)+IF(N('APA Inputs'!$H$29)&gt;0,IF(BI$4=EDATE('APA Inputs'!$C$29,'APA Inputs'!$H$29-1),N('APA Inputs'!$G$29),0),0))*IF('APA Inputs'!$I$29="",1,'APA Inputs'!$I$29))</f>
        <v>0</v>
      </c>
      <c r="BJ14" s="430" t="n">
        <f aca="false">IF('APA Inputs'!$C$29="",0,(IF(AND(BJ$4&gt;='APA Inputs'!$C$29,BJ$4&lt;EDATE('APA Inputs'!$C$29,N('APA Inputs'!$D$29))),'APA Inputs'!$J$29,0)+IF(N('APA Inputs'!$H$29)&gt;0,IF(BJ$4=EDATE('APA Inputs'!$C$29,'APA Inputs'!$H$29-1),N('APA Inputs'!$G$29),0),0))*IF('APA Inputs'!$I$29="",1,'APA Inputs'!$I$29))</f>
        <v>0</v>
      </c>
      <c r="BK14" s="430" t="n">
        <f aca="false">IF('APA Inputs'!$C$29="",0,(IF(AND(BK$4&gt;='APA Inputs'!$C$29,BK$4&lt;EDATE('APA Inputs'!$C$29,N('APA Inputs'!$D$29))),'APA Inputs'!$J$29,0)+IF(N('APA Inputs'!$H$29)&gt;0,IF(BK$4=EDATE('APA Inputs'!$C$29,'APA Inputs'!$H$29-1),N('APA Inputs'!$G$29),0),0))*IF('APA Inputs'!$I$29="",1,'APA Inputs'!$I$29))</f>
        <v>0</v>
      </c>
      <c r="BL14" s="430" t="n">
        <f aca="false">IF('APA Inputs'!$C$29="",0,(IF(AND(BL$4&gt;='APA Inputs'!$C$29,BL$4&lt;EDATE('APA Inputs'!$C$29,N('APA Inputs'!$D$29))),'APA Inputs'!$J$29,0)+IF(N('APA Inputs'!$H$29)&gt;0,IF(BL$4=EDATE('APA Inputs'!$C$29,'APA Inputs'!$H$29-1),N('APA Inputs'!$G$29),0),0))*IF('APA Inputs'!$I$29="",1,'APA Inputs'!$I$29))</f>
        <v>0</v>
      </c>
      <c r="BM14" s="430" t="n">
        <f aca="false">IF('APA Inputs'!$C$29="",0,(IF(AND(BM$4&gt;='APA Inputs'!$C$29,BM$4&lt;EDATE('APA Inputs'!$C$29,N('APA Inputs'!$D$29))),'APA Inputs'!$J$29,0)+IF(N('APA Inputs'!$H$29)&gt;0,IF(BM$4=EDATE('APA Inputs'!$C$29,'APA Inputs'!$H$29-1),N('APA Inputs'!$G$29),0),0))*IF('APA Inputs'!$I$29="",1,'APA Inputs'!$I$29))</f>
        <v>0</v>
      </c>
      <c r="BN14" s="430" t="n">
        <f aca="false">IF('APA Inputs'!$C$29="",0,(IF(AND(BN$4&gt;='APA Inputs'!$C$29,BN$4&lt;EDATE('APA Inputs'!$C$29,N('APA Inputs'!$D$29))),'APA Inputs'!$J$29,0)+IF(N('APA Inputs'!$H$29)&gt;0,IF(BN$4=EDATE('APA Inputs'!$C$29,'APA Inputs'!$H$29-1),N('APA Inputs'!$G$29),0),0))*IF('APA Inputs'!$I$29="",1,'APA Inputs'!$I$29))</f>
        <v>0</v>
      </c>
      <c r="BO14" s="430" t="n">
        <f aca="false">IF('APA Inputs'!$C$29="",0,(IF(AND(BO$4&gt;='APA Inputs'!$C$29,BO$4&lt;EDATE('APA Inputs'!$C$29,N('APA Inputs'!$D$29))),'APA Inputs'!$J$29,0)+IF(N('APA Inputs'!$H$29)&gt;0,IF(BO$4=EDATE('APA Inputs'!$C$29,'APA Inputs'!$H$29-1),N('APA Inputs'!$G$29),0),0))*IF('APA Inputs'!$I$29="",1,'APA Inputs'!$I$29))</f>
        <v>0</v>
      </c>
      <c r="BP14" s="430" t="n">
        <f aca="false">IF('APA Inputs'!$C$29="",0,(IF(AND(BP$4&gt;='APA Inputs'!$C$29,BP$4&lt;EDATE('APA Inputs'!$C$29,N('APA Inputs'!$D$29))),'APA Inputs'!$J$29,0)+IF(N('APA Inputs'!$H$29)&gt;0,IF(BP$4=EDATE('APA Inputs'!$C$29,'APA Inputs'!$H$29-1),N('APA Inputs'!$G$29),0),0))*IF('APA Inputs'!$I$29="",1,'APA Inputs'!$I$29))</f>
        <v>0</v>
      </c>
      <c r="BQ14" s="430" t="n">
        <f aca="false">IF('APA Inputs'!$C$29="",0,(IF(AND(BQ$4&gt;='APA Inputs'!$C$29,BQ$4&lt;EDATE('APA Inputs'!$C$29,N('APA Inputs'!$D$29))),'APA Inputs'!$J$29,0)+IF(N('APA Inputs'!$H$29)&gt;0,IF(BQ$4=EDATE('APA Inputs'!$C$29,'APA Inputs'!$H$29-1),N('APA Inputs'!$G$29),0),0))*IF('APA Inputs'!$I$29="",1,'APA Inputs'!$I$29))</f>
        <v>0</v>
      </c>
      <c r="BR14" s="430" t="n">
        <f aca="false">IF('APA Inputs'!$C$29="",0,(IF(AND(BR$4&gt;='APA Inputs'!$C$29,BR$4&lt;EDATE('APA Inputs'!$C$29,N('APA Inputs'!$D$29))),'APA Inputs'!$J$29,0)+IF(N('APA Inputs'!$H$29)&gt;0,IF(BR$4=EDATE('APA Inputs'!$C$29,'APA Inputs'!$H$29-1),N('APA Inputs'!$G$29),0),0))*IF('APA Inputs'!$I$29="",1,'APA Inputs'!$I$29))</f>
        <v>0</v>
      </c>
      <c r="BS14" s="430" t="n">
        <f aca="false">IF('APA Inputs'!$C$29="",0,(IF(AND(BS$4&gt;='APA Inputs'!$C$29,BS$4&lt;EDATE('APA Inputs'!$C$29,N('APA Inputs'!$D$29))),'APA Inputs'!$J$29,0)+IF(N('APA Inputs'!$H$29)&gt;0,IF(BS$4=EDATE('APA Inputs'!$C$29,'APA Inputs'!$H$29-1),N('APA Inputs'!$G$29),0),0))*IF('APA Inputs'!$I$29="",1,'APA Inputs'!$I$29))</f>
        <v>0</v>
      </c>
      <c r="BT14" s="430" t="n">
        <f aca="false">IF('APA Inputs'!$C$29="",0,(IF(AND(BT$4&gt;='APA Inputs'!$C$29,BT$4&lt;EDATE('APA Inputs'!$C$29,N('APA Inputs'!$D$29))),'APA Inputs'!$J$29,0)+IF(N('APA Inputs'!$H$29)&gt;0,IF(BT$4=EDATE('APA Inputs'!$C$29,'APA Inputs'!$H$29-1),N('APA Inputs'!$G$29),0),0))*IF('APA Inputs'!$I$29="",1,'APA Inputs'!$I$29))</f>
        <v>0</v>
      </c>
      <c r="BU14" s="430" t="n">
        <f aca="false">IF('APA Inputs'!$C$29="",0,(IF(AND(BU$4&gt;='APA Inputs'!$C$29,BU$4&lt;EDATE('APA Inputs'!$C$29,N('APA Inputs'!$D$29))),'APA Inputs'!$J$29,0)+IF(N('APA Inputs'!$H$29)&gt;0,IF(BU$4=EDATE('APA Inputs'!$C$29,'APA Inputs'!$H$29-1),N('APA Inputs'!$G$29),0),0))*IF('APA Inputs'!$I$29="",1,'APA Inputs'!$I$29))</f>
        <v>0</v>
      </c>
      <c r="BV14" s="430" t="n">
        <f aca="false">IF('APA Inputs'!$C$29="",0,(IF(AND(BV$4&gt;='APA Inputs'!$C$29,BV$4&lt;EDATE('APA Inputs'!$C$29,N('APA Inputs'!$D$29))),'APA Inputs'!$J$29,0)+IF(N('APA Inputs'!$H$29)&gt;0,IF(BV$4=EDATE('APA Inputs'!$C$29,'APA Inputs'!$H$29-1),N('APA Inputs'!$G$29),0),0))*IF('APA Inputs'!$I$29="",1,'APA Inputs'!$I$29))</f>
        <v>0</v>
      </c>
      <c r="BW14" s="430" t="n">
        <f aca="false">IF('APA Inputs'!$C$29="",0,(IF(AND(BW$4&gt;='APA Inputs'!$C$29,BW$4&lt;EDATE('APA Inputs'!$C$29,N('APA Inputs'!$D$29))),'APA Inputs'!$J$29,0)+IF(N('APA Inputs'!$H$29)&gt;0,IF(BW$4=EDATE('APA Inputs'!$C$29,'APA Inputs'!$H$29-1),N('APA Inputs'!$G$29),0),0))*IF('APA Inputs'!$I$29="",1,'APA Inputs'!$I$29))</f>
        <v>0</v>
      </c>
      <c r="BX14" s="430" t="n">
        <f aca="false">IF('APA Inputs'!$C$29="",0,(IF(AND(BX$4&gt;='APA Inputs'!$C$29,BX$4&lt;EDATE('APA Inputs'!$C$29,N('APA Inputs'!$D$29))),'APA Inputs'!$J$29,0)+IF(N('APA Inputs'!$H$29)&gt;0,IF(BX$4=EDATE('APA Inputs'!$C$29,'APA Inputs'!$H$29-1),N('APA Inputs'!$G$29),0),0))*IF('APA Inputs'!$I$29="",1,'APA Inputs'!$I$29))</f>
        <v>0</v>
      </c>
      <c r="BY14" s="430" t="n">
        <f aca="false">IF('APA Inputs'!$C$29="",0,(IF(AND(BY$4&gt;='APA Inputs'!$C$29,BY$4&lt;EDATE('APA Inputs'!$C$29,N('APA Inputs'!$D$29))),'APA Inputs'!$J$29,0)+IF(N('APA Inputs'!$H$29)&gt;0,IF(BY$4=EDATE('APA Inputs'!$C$29,'APA Inputs'!$H$29-1),N('APA Inputs'!$G$29),0),0))*IF('APA Inputs'!$I$29="",1,'APA Inputs'!$I$29))</f>
        <v>0</v>
      </c>
      <c r="BZ14" s="430" t="n">
        <f aca="false">IF('APA Inputs'!$C$29="",0,(IF(AND(BZ$4&gt;='APA Inputs'!$C$29,BZ$4&lt;EDATE('APA Inputs'!$C$29,N('APA Inputs'!$D$29))),'APA Inputs'!$J$29,0)+IF(N('APA Inputs'!$H$29)&gt;0,IF(BZ$4=EDATE('APA Inputs'!$C$29,'APA Inputs'!$H$29-1),N('APA Inputs'!$G$29),0),0))*IF('APA Inputs'!$I$29="",1,'APA Inputs'!$I$29))</f>
        <v>0</v>
      </c>
      <c r="CA14" s="430" t="n">
        <f aca="false">IF('APA Inputs'!$C$29="",0,(IF(AND(CA$4&gt;='APA Inputs'!$C$29,CA$4&lt;EDATE('APA Inputs'!$C$29,N('APA Inputs'!$D$29))),'APA Inputs'!$J$29,0)+IF(N('APA Inputs'!$H$29)&gt;0,IF(CA$4=EDATE('APA Inputs'!$C$29,'APA Inputs'!$H$29-1),N('APA Inputs'!$G$29),0),0))*IF('APA Inputs'!$I$29="",1,'APA Inputs'!$I$29))</f>
        <v>0</v>
      </c>
      <c r="CB14" s="430" t="n">
        <f aca="false">IF('APA Inputs'!$C$29="",0,(IF(AND(CB$4&gt;='APA Inputs'!$C$29,CB$4&lt;EDATE('APA Inputs'!$C$29,N('APA Inputs'!$D$29))),'APA Inputs'!$J$29,0)+IF(N('APA Inputs'!$H$29)&gt;0,IF(CB$4=EDATE('APA Inputs'!$C$29,'APA Inputs'!$H$29-1),N('APA Inputs'!$G$29),0),0))*IF('APA Inputs'!$I$29="",1,'APA Inputs'!$I$29))</f>
        <v>0</v>
      </c>
      <c r="CC14" s="430" t="n">
        <f aca="false">IF('APA Inputs'!$C$29="",0,(IF(AND(CC$4&gt;='APA Inputs'!$C$29,CC$4&lt;EDATE('APA Inputs'!$C$29,N('APA Inputs'!$D$29))),'APA Inputs'!$J$29,0)+IF(N('APA Inputs'!$H$29)&gt;0,IF(CC$4=EDATE('APA Inputs'!$C$29,'APA Inputs'!$H$29-1),N('APA Inputs'!$G$29),0),0))*IF('APA Inputs'!$I$29="",1,'APA Inputs'!$I$29))</f>
        <v>0</v>
      </c>
      <c r="CD14" s="430" t="n">
        <f aca="false">IF('APA Inputs'!$C$29="",0,(IF(AND(CD$4&gt;='APA Inputs'!$C$29,CD$4&lt;EDATE('APA Inputs'!$C$29,N('APA Inputs'!$D$29))),'APA Inputs'!$J$29,0)+IF(N('APA Inputs'!$H$29)&gt;0,IF(CD$4=EDATE('APA Inputs'!$C$29,'APA Inputs'!$H$29-1),N('APA Inputs'!$G$29),0),0))*IF('APA Inputs'!$I$29="",1,'APA Inputs'!$I$29))</f>
        <v>0</v>
      </c>
      <c r="CE14" s="430" t="n">
        <f aca="false">IF('APA Inputs'!$C$29="",0,(IF(AND(CE$4&gt;='APA Inputs'!$C$29,CE$4&lt;EDATE('APA Inputs'!$C$29,N('APA Inputs'!$D$29))),'APA Inputs'!$J$29,0)+IF(N('APA Inputs'!$H$29)&gt;0,IF(CE$4=EDATE('APA Inputs'!$C$29,'APA Inputs'!$H$29-1),N('APA Inputs'!$G$29),0),0))*IF('APA Inputs'!$I$29="",1,'APA Inputs'!$I$29))</f>
        <v>0</v>
      </c>
      <c r="CF14" s="430" t="n">
        <f aca="false">IF('APA Inputs'!$C$29="",0,(IF(AND(CF$4&gt;='APA Inputs'!$C$29,CF$4&lt;EDATE('APA Inputs'!$C$29,N('APA Inputs'!$D$29))),'APA Inputs'!$J$29,0)+IF(N('APA Inputs'!$H$29)&gt;0,IF(CF$4=EDATE('APA Inputs'!$C$29,'APA Inputs'!$H$29-1),N('APA Inputs'!$G$29),0),0))*IF('APA Inputs'!$I$29="",1,'APA Inputs'!$I$29))</f>
        <v>0</v>
      </c>
      <c r="CG14" s="430" t="n">
        <f aca="false">IF('APA Inputs'!$C$29="",0,(IF(AND(CG$4&gt;='APA Inputs'!$C$29,CG$4&lt;EDATE('APA Inputs'!$C$29,N('APA Inputs'!$D$29))),'APA Inputs'!$J$29,0)+IF(N('APA Inputs'!$H$29)&gt;0,IF(CG$4=EDATE('APA Inputs'!$C$29,'APA Inputs'!$H$29-1),N('APA Inputs'!$G$29),0),0))*IF('APA Inputs'!$I$29="",1,'APA Inputs'!$I$29))</f>
        <v>0</v>
      </c>
      <c r="CH14" s="430" t="n">
        <f aca="false">IF('APA Inputs'!$C$29="",0,(IF(AND(CH$4&gt;='APA Inputs'!$C$29,CH$4&lt;EDATE('APA Inputs'!$C$29,N('APA Inputs'!$D$29))),'APA Inputs'!$J$29,0)+IF(N('APA Inputs'!$H$29)&gt;0,IF(CH$4=EDATE('APA Inputs'!$C$29,'APA Inputs'!$H$29-1),N('APA Inputs'!$G$29),0),0))*IF('APA Inputs'!$I$29="",1,'APA Inputs'!$I$29))</f>
        <v>0</v>
      </c>
      <c r="CI14" s="430" t="n">
        <f aca="false">IF('APA Inputs'!$C$29="",0,(IF(AND(CI$4&gt;='APA Inputs'!$C$29,CI$4&lt;EDATE('APA Inputs'!$C$29,N('APA Inputs'!$D$29))),'APA Inputs'!$J$29,0)+IF(N('APA Inputs'!$H$29)&gt;0,IF(CI$4=EDATE('APA Inputs'!$C$29,'APA Inputs'!$H$29-1),N('APA Inputs'!$G$29),0),0))*IF('APA Inputs'!$I$29="",1,'APA Inputs'!$I$29))</f>
        <v>0</v>
      </c>
      <c r="CJ14" s="430" t="n">
        <f aca="false">IF('APA Inputs'!$C$29="",0,(IF(AND(CJ$4&gt;='APA Inputs'!$C$29,CJ$4&lt;EDATE('APA Inputs'!$C$29,N('APA Inputs'!$D$29))),'APA Inputs'!$J$29,0)+IF(N('APA Inputs'!$H$29)&gt;0,IF(CJ$4=EDATE('APA Inputs'!$C$29,'APA Inputs'!$H$29-1),N('APA Inputs'!$G$29),0),0))*IF('APA Inputs'!$I$29="",1,'APA Inputs'!$I$29))</f>
        <v>0</v>
      </c>
      <c r="CK14" s="430" t="n">
        <f aca="false">IF('APA Inputs'!$C$29="",0,(IF(AND(CK$4&gt;='APA Inputs'!$C$29,CK$4&lt;EDATE('APA Inputs'!$C$29,N('APA Inputs'!$D$29))),'APA Inputs'!$J$29,0)+IF(N('APA Inputs'!$H$29)&gt;0,IF(CK$4=EDATE('APA Inputs'!$C$29,'APA Inputs'!$H$29-1),N('APA Inputs'!$G$29),0),0))*IF('APA Inputs'!$I$29="",1,'APA Inputs'!$I$29))</f>
        <v>0</v>
      </c>
      <c r="CL14" s="430" t="n">
        <f aca="false">IF('APA Inputs'!$C$29="",0,(IF(AND(CL$4&gt;='APA Inputs'!$C$29,CL$4&lt;EDATE('APA Inputs'!$C$29,N('APA Inputs'!$D$29))),'APA Inputs'!$J$29,0)+IF(N('APA Inputs'!$H$29)&gt;0,IF(CL$4=EDATE('APA Inputs'!$C$29,'APA Inputs'!$H$29-1),N('APA Inputs'!$G$29),0),0))*IF('APA Inputs'!$I$29="",1,'APA Inputs'!$I$29))</f>
        <v>0</v>
      </c>
      <c r="CM14" s="430" t="n">
        <f aca="false">IF('APA Inputs'!$C$29="",0,(IF(AND(CM$4&gt;='APA Inputs'!$C$29,CM$4&lt;EDATE('APA Inputs'!$C$29,N('APA Inputs'!$D$29))),'APA Inputs'!$J$29,0)+IF(N('APA Inputs'!$H$29)&gt;0,IF(CM$4=EDATE('APA Inputs'!$C$29,'APA Inputs'!$H$29-1),N('APA Inputs'!$G$29),0),0))*IF('APA Inputs'!$I$29="",1,'APA Inputs'!$I$29))</f>
        <v>0</v>
      </c>
      <c r="CN14" s="430" t="n">
        <f aca="false">IF('APA Inputs'!$C$29="",0,(IF(AND(CN$4&gt;='APA Inputs'!$C$29,CN$4&lt;EDATE('APA Inputs'!$C$29,N('APA Inputs'!$D$29))),'APA Inputs'!$J$29,0)+IF(N('APA Inputs'!$H$29)&gt;0,IF(CN$4=EDATE('APA Inputs'!$C$29,'APA Inputs'!$H$29-1),N('APA Inputs'!$G$29),0),0))*IF('APA Inputs'!$I$29="",1,'APA Inputs'!$I$29))</f>
        <v>0</v>
      </c>
      <c r="CO14" s="430" t="n">
        <f aca="false">IF('APA Inputs'!$C$29="",0,(IF(AND(CO$4&gt;='APA Inputs'!$C$29,CO$4&lt;EDATE('APA Inputs'!$C$29,N('APA Inputs'!$D$29))),'APA Inputs'!$J$29,0)+IF(N('APA Inputs'!$H$29)&gt;0,IF(CO$4=EDATE('APA Inputs'!$C$29,'APA Inputs'!$H$29-1),N('APA Inputs'!$G$29),0),0))*IF('APA Inputs'!$I$29="",1,'APA Inputs'!$I$29))</f>
        <v>0</v>
      </c>
      <c r="CP14" s="430" t="n">
        <f aca="false">IF('APA Inputs'!$C$29="",0,(IF(AND(CP$4&gt;='APA Inputs'!$C$29,CP$4&lt;EDATE('APA Inputs'!$C$29,N('APA Inputs'!$D$29))),'APA Inputs'!$J$29,0)+IF(N('APA Inputs'!$H$29)&gt;0,IF(CP$4=EDATE('APA Inputs'!$C$29,'APA Inputs'!$H$29-1),N('APA Inputs'!$G$29),0),0))*IF('APA Inputs'!$I$29="",1,'APA Inputs'!$I$29))</f>
        <v>0</v>
      </c>
      <c r="CQ14" s="430" t="n">
        <f aca="false">IF('APA Inputs'!$C$29="",0,(IF(AND(CQ$4&gt;='APA Inputs'!$C$29,CQ$4&lt;EDATE('APA Inputs'!$C$29,N('APA Inputs'!$D$29))),'APA Inputs'!$J$29,0)+IF(N('APA Inputs'!$H$29)&gt;0,IF(CQ$4=EDATE('APA Inputs'!$C$29,'APA Inputs'!$H$29-1),N('APA Inputs'!$G$29),0),0))*IF('APA Inputs'!$I$29="",1,'APA Inputs'!$I$29))</f>
        <v>0</v>
      </c>
      <c r="CR14" s="430" t="n">
        <f aca="false">IF('APA Inputs'!$C$29="",0,(IF(AND(CR$4&gt;='APA Inputs'!$C$29,CR$4&lt;EDATE('APA Inputs'!$C$29,N('APA Inputs'!$D$29))),'APA Inputs'!$J$29,0)+IF(N('APA Inputs'!$H$29)&gt;0,IF(CR$4=EDATE('APA Inputs'!$C$29,'APA Inputs'!$H$29-1),N('APA Inputs'!$G$29),0),0))*IF('APA Inputs'!$I$29="",1,'APA Inputs'!$I$29))</f>
        <v>0</v>
      </c>
      <c r="CS14" s="430" t="n">
        <f aca="false">IF('APA Inputs'!$C$29="",0,(IF(AND(CS$4&gt;='APA Inputs'!$C$29,CS$4&lt;EDATE('APA Inputs'!$C$29,N('APA Inputs'!$D$29))),'APA Inputs'!$J$29,0)+IF(N('APA Inputs'!$H$29)&gt;0,IF(CS$4=EDATE('APA Inputs'!$C$29,'APA Inputs'!$H$29-1),N('APA Inputs'!$G$29),0),0))*IF('APA Inputs'!$I$29="",1,'APA Inputs'!$I$29))</f>
        <v>0</v>
      </c>
      <c r="CT14" s="430" t="n">
        <f aca="false">IF('APA Inputs'!$C$29="",0,(IF(AND(CT$4&gt;='APA Inputs'!$C$29,CT$4&lt;EDATE('APA Inputs'!$C$29,N('APA Inputs'!$D$29))),'APA Inputs'!$J$29,0)+IF(N('APA Inputs'!$H$29)&gt;0,IF(CT$4=EDATE('APA Inputs'!$C$29,'APA Inputs'!$H$29-1),N('APA Inputs'!$G$29),0),0))*IF('APA Inputs'!$I$29="",1,'APA Inputs'!$I$29))</f>
        <v>0</v>
      </c>
      <c r="CU14" s="430" t="n">
        <f aca="false">IF('APA Inputs'!$C$29="",0,(IF(AND(CU$4&gt;='APA Inputs'!$C$29,CU$4&lt;EDATE('APA Inputs'!$C$29,N('APA Inputs'!$D$29))),'APA Inputs'!$J$29,0)+IF(N('APA Inputs'!$H$29)&gt;0,IF(CU$4=EDATE('APA Inputs'!$C$29,'APA Inputs'!$H$29-1),N('APA Inputs'!$G$29),0),0))*IF('APA Inputs'!$I$29="",1,'APA Inputs'!$I$29))</f>
        <v>0</v>
      </c>
      <c r="CV14" s="430" t="n">
        <f aca="false">IF('APA Inputs'!$C$29="",0,(IF(AND(CV$4&gt;='APA Inputs'!$C$29,CV$4&lt;EDATE('APA Inputs'!$C$29,N('APA Inputs'!$D$29))),'APA Inputs'!$J$29,0)+IF(N('APA Inputs'!$H$29)&gt;0,IF(CV$4=EDATE('APA Inputs'!$C$29,'APA Inputs'!$H$29-1),N('APA Inputs'!$G$29),0),0))*IF('APA Inputs'!$I$29="",1,'APA Inputs'!$I$29))</f>
        <v>0</v>
      </c>
      <c r="CW14" s="430" t="n">
        <f aca="false">IF('APA Inputs'!$C$29="",0,(IF(AND(CW$4&gt;='APA Inputs'!$C$29,CW$4&lt;EDATE('APA Inputs'!$C$29,N('APA Inputs'!$D$29))),'APA Inputs'!$J$29,0)+IF(N('APA Inputs'!$H$29)&gt;0,IF(CW$4=EDATE('APA Inputs'!$C$29,'APA Inputs'!$H$29-1),N('APA Inputs'!$G$29),0),0))*IF('APA Inputs'!$I$29="",1,'APA Inputs'!$I$29))</f>
        <v>0</v>
      </c>
      <c r="CX14" s="430" t="n">
        <f aca="false">IF('APA Inputs'!$C$29="",0,(IF(AND(CX$4&gt;='APA Inputs'!$C$29,CX$4&lt;EDATE('APA Inputs'!$C$29,N('APA Inputs'!$D$29))),'APA Inputs'!$J$29,0)+IF(N('APA Inputs'!$H$29)&gt;0,IF(CX$4=EDATE('APA Inputs'!$C$29,'APA Inputs'!$H$29-1),N('APA Inputs'!$G$29),0),0))*IF('APA Inputs'!$I$29="",1,'APA Inputs'!$I$29))</f>
        <v>0</v>
      </c>
      <c r="CY14" s="430" t="n">
        <f aca="false">IF('APA Inputs'!$C$29="",0,(IF(AND(CY$4&gt;='APA Inputs'!$C$29,CY$4&lt;EDATE('APA Inputs'!$C$29,N('APA Inputs'!$D$29))),'APA Inputs'!$J$29,0)+IF(N('APA Inputs'!$H$29)&gt;0,IF(CY$4=EDATE('APA Inputs'!$C$29,'APA Inputs'!$H$29-1),N('APA Inputs'!$G$29),0),0))*IF('APA Inputs'!$I$29="",1,'APA Inputs'!$I$29))</f>
        <v>0</v>
      </c>
      <c r="CZ14" s="430" t="n">
        <f aca="false">IF('APA Inputs'!$C$29="",0,(IF(AND(CZ$4&gt;='APA Inputs'!$C$29,CZ$4&lt;EDATE('APA Inputs'!$C$29,N('APA Inputs'!$D$29))),'APA Inputs'!$J$29,0)+IF(N('APA Inputs'!$H$29)&gt;0,IF(CZ$4=EDATE('APA Inputs'!$C$29,'APA Inputs'!$H$29-1),N('APA Inputs'!$G$29),0),0))*IF('APA Inputs'!$I$29="",1,'APA Inputs'!$I$29))</f>
        <v>0</v>
      </c>
      <c r="DA14" s="430" t="n">
        <f aca="false">IF('APA Inputs'!$C$29="",0,(IF(AND(DA$4&gt;='APA Inputs'!$C$29,DA$4&lt;EDATE('APA Inputs'!$C$29,N('APA Inputs'!$D$29))),'APA Inputs'!$J$29,0)+IF(N('APA Inputs'!$H$29)&gt;0,IF(DA$4=EDATE('APA Inputs'!$C$29,'APA Inputs'!$H$29-1),N('APA Inputs'!$G$29),0),0))*IF('APA Inputs'!$I$29="",1,'APA Inputs'!$I$29))</f>
        <v>0</v>
      </c>
      <c r="DB14" s="430" t="n">
        <f aca="false">IF('APA Inputs'!$C$29="",0,(IF(AND(DB$4&gt;='APA Inputs'!$C$29,DB$4&lt;EDATE('APA Inputs'!$C$29,N('APA Inputs'!$D$29))),'APA Inputs'!$J$29,0)+IF(N('APA Inputs'!$H$29)&gt;0,IF(DB$4=EDATE('APA Inputs'!$C$29,'APA Inputs'!$H$29-1),N('APA Inputs'!$G$29),0),0))*IF('APA Inputs'!$I$29="",1,'APA Inputs'!$I$29))</f>
        <v>0</v>
      </c>
      <c r="DC14" s="430" t="n">
        <f aca="false">IF('APA Inputs'!$C$29="",0,(IF(AND(DC$4&gt;='APA Inputs'!$C$29,DC$4&lt;EDATE('APA Inputs'!$C$29,N('APA Inputs'!$D$29))),'APA Inputs'!$J$29,0)+IF(N('APA Inputs'!$H$29)&gt;0,IF(DC$4=EDATE('APA Inputs'!$C$29,'APA Inputs'!$H$29-1),N('APA Inputs'!$G$29),0),0))*IF('APA Inputs'!$I$29="",1,'APA Inputs'!$I$29))</f>
        <v>0</v>
      </c>
      <c r="DD14" s="430" t="n">
        <f aca="false">IF('APA Inputs'!$C$29="",0,(IF(AND(DD$4&gt;='APA Inputs'!$C$29,DD$4&lt;EDATE('APA Inputs'!$C$29,N('APA Inputs'!$D$29))),'APA Inputs'!$J$29,0)+IF(N('APA Inputs'!$H$29)&gt;0,IF(DD$4=EDATE('APA Inputs'!$C$29,'APA Inputs'!$H$29-1),N('APA Inputs'!$G$29),0),0))*IF('APA Inputs'!$I$29="",1,'APA Inputs'!$I$29))</f>
        <v>0</v>
      </c>
      <c r="DE14" s="430"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30" t="n">
        <f aca="false">IF('APA Inputs'!$C$30="",0,(IF(AND(B$4&gt;='APA Inputs'!$C$30,B$4&lt;EDATE('APA Inputs'!$C$30,N('APA Inputs'!$D$30))),'APA Inputs'!$J$30,0)+IF(N('APA Inputs'!$H$30)&gt;0,IF(B$4=EDATE('APA Inputs'!$C$30,'APA Inputs'!$H$30-1),N('APA Inputs'!$G$30),0),0))*IF('APA Inputs'!$I$30="",1,'APA Inputs'!$I$30))</f>
        <v>0</v>
      </c>
      <c r="C15" s="430" t="n">
        <f aca="false">IF('APA Inputs'!$C$30="",0,(IF(AND(C$4&gt;='APA Inputs'!$C$30,C$4&lt;EDATE('APA Inputs'!$C$30,N('APA Inputs'!$D$30))),'APA Inputs'!$J$30,0)+IF(N('APA Inputs'!$H$30)&gt;0,IF(C$4=EDATE('APA Inputs'!$C$30,'APA Inputs'!$H$30-1),N('APA Inputs'!$G$30),0),0))*IF('APA Inputs'!$I$30="",1,'APA Inputs'!$I$30))</f>
        <v>0</v>
      </c>
      <c r="D15" s="430" t="n">
        <f aca="false">IF('APA Inputs'!$C$30="",0,(IF(AND(D$4&gt;='APA Inputs'!$C$30,D$4&lt;EDATE('APA Inputs'!$C$30,N('APA Inputs'!$D$30))),'APA Inputs'!$J$30,0)+IF(N('APA Inputs'!$H$30)&gt;0,IF(D$4=EDATE('APA Inputs'!$C$30,'APA Inputs'!$H$30-1),N('APA Inputs'!$G$30),0),0))*IF('APA Inputs'!$I$30="",1,'APA Inputs'!$I$30))</f>
        <v>0</v>
      </c>
      <c r="E15" s="430" t="n">
        <f aca="false">IF('APA Inputs'!$C$30="",0,(IF(AND(E$4&gt;='APA Inputs'!$C$30,E$4&lt;EDATE('APA Inputs'!$C$30,N('APA Inputs'!$D$30))),'APA Inputs'!$J$30,0)+IF(N('APA Inputs'!$H$30)&gt;0,IF(E$4=EDATE('APA Inputs'!$C$30,'APA Inputs'!$H$30-1),N('APA Inputs'!$G$30),0),0))*IF('APA Inputs'!$I$30="",1,'APA Inputs'!$I$30))</f>
        <v>0</v>
      </c>
      <c r="F15" s="430" t="n">
        <f aca="false">IF('APA Inputs'!$C$30="",0,(IF(AND(F$4&gt;='APA Inputs'!$C$30,F$4&lt;EDATE('APA Inputs'!$C$30,N('APA Inputs'!$D$30))),'APA Inputs'!$J$30,0)+IF(N('APA Inputs'!$H$30)&gt;0,IF(F$4=EDATE('APA Inputs'!$C$30,'APA Inputs'!$H$30-1),N('APA Inputs'!$G$30),0),0))*IF('APA Inputs'!$I$30="",1,'APA Inputs'!$I$30))</f>
        <v>0</v>
      </c>
      <c r="G15" s="430" t="n">
        <f aca="false">IF('APA Inputs'!$C$30="",0,(IF(AND(G$4&gt;='APA Inputs'!$C$30,G$4&lt;EDATE('APA Inputs'!$C$30,N('APA Inputs'!$D$30))),'APA Inputs'!$J$30,0)+IF(N('APA Inputs'!$H$30)&gt;0,IF(G$4=EDATE('APA Inputs'!$C$30,'APA Inputs'!$H$30-1),N('APA Inputs'!$G$30),0),0))*IF('APA Inputs'!$I$30="",1,'APA Inputs'!$I$30))</f>
        <v>0</v>
      </c>
      <c r="H15" s="430" t="n">
        <f aca="false">IF('APA Inputs'!$C$30="",0,(IF(AND(H$4&gt;='APA Inputs'!$C$30,H$4&lt;EDATE('APA Inputs'!$C$30,N('APA Inputs'!$D$30))),'APA Inputs'!$J$30,0)+IF(N('APA Inputs'!$H$30)&gt;0,IF(H$4=EDATE('APA Inputs'!$C$30,'APA Inputs'!$H$30-1),N('APA Inputs'!$G$30),0),0))*IF('APA Inputs'!$I$30="",1,'APA Inputs'!$I$30))</f>
        <v>0</v>
      </c>
      <c r="I15" s="430" t="n">
        <f aca="false">IF('APA Inputs'!$C$30="",0,(IF(AND(I$4&gt;='APA Inputs'!$C$30,I$4&lt;EDATE('APA Inputs'!$C$30,N('APA Inputs'!$D$30))),'APA Inputs'!$J$30,0)+IF(N('APA Inputs'!$H$30)&gt;0,IF(I$4=EDATE('APA Inputs'!$C$30,'APA Inputs'!$H$30-1),N('APA Inputs'!$G$30),0),0))*IF('APA Inputs'!$I$30="",1,'APA Inputs'!$I$30))</f>
        <v>0</v>
      </c>
      <c r="J15" s="430" t="n">
        <f aca="false">IF('APA Inputs'!$C$30="",0,(IF(AND(J$4&gt;='APA Inputs'!$C$30,J$4&lt;EDATE('APA Inputs'!$C$30,N('APA Inputs'!$D$30))),'APA Inputs'!$J$30,0)+IF(N('APA Inputs'!$H$30)&gt;0,IF(J$4=EDATE('APA Inputs'!$C$30,'APA Inputs'!$H$30-1),N('APA Inputs'!$G$30),0),0))*IF('APA Inputs'!$I$30="",1,'APA Inputs'!$I$30))</f>
        <v>0</v>
      </c>
      <c r="K15" s="430" t="n">
        <f aca="false">IF('APA Inputs'!$C$30="",0,(IF(AND(K$4&gt;='APA Inputs'!$C$30,K$4&lt;EDATE('APA Inputs'!$C$30,N('APA Inputs'!$D$30))),'APA Inputs'!$J$30,0)+IF(N('APA Inputs'!$H$30)&gt;0,IF(K$4=EDATE('APA Inputs'!$C$30,'APA Inputs'!$H$30-1),N('APA Inputs'!$G$30),0),0))*IF('APA Inputs'!$I$30="",1,'APA Inputs'!$I$30))</f>
        <v>0</v>
      </c>
      <c r="L15" s="430" t="n">
        <f aca="false">IF('APA Inputs'!$C$30="",0,(IF(AND(L$4&gt;='APA Inputs'!$C$30,L$4&lt;EDATE('APA Inputs'!$C$30,N('APA Inputs'!$D$30))),'APA Inputs'!$J$30,0)+IF(N('APA Inputs'!$H$30)&gt;0,IF(L$4=EDATE('APA Inputs'!$C$30,'APA Inputs'!$H$30-1),N('APA Inputs'!$G$30),0),0))*IF('APA Inputs'!$I$30="",1,'APA Inputs'!$I$30))</f>
        <v>0</v>
      </c>
      <c r="M15" s="430" t="n">
        <f aca="false">IF('APA Inputs'!$C$30="",0,(IF(AND(M$4&gt;='APA Inputs'!$C$30,M$4&lt;EDATE('APA Inputs'!$C$30,N('APA Inputs'!$D$30))),'APA Inputs'!$J$30,0)+IF(N('APA Inputs'!$H$30)&gt;0,IF(M$4=EDATE('APA Inputs'!$C$30,'APA Inputs'!$H$30-1),N('APA Inputs'!$G$30),0),0))*IF('APA Inputs'!$I$30="",1,'APA Inputs'!$I$30))</f>
        <v>0</v>
      </c>
      <c r="N15" s="430" t="n">
        <f aca="false">IF('APA Inputs'!$C$30="",0,(IF(AND(N$4&gt;='APA Inputs'!$C$30,N$4&lt;EDATE('APA Inputs'!$C$30,N('APA Inputs'!$D$30))),'APA Inputs'!$J$30,0)+IF(N('APA Inputs'!$H$30)&gt;0,IF(N$4=EDATE('APA Inputs'!$C$30,'APA Inputs'!$H$30-1),N('APA Inputs'!$G$30),0),0))*IF('APA Inputs'!$I$30="",1,'APA Inputs'!$I$30))</f>
        <v>0</v>
      </c>
      <c r="O15" s="430" t="n">
        <f aca="false">IF('APA Inputs'!$C$30="",0,(IF(AND(O$4&gt;='APA Inputs'!$C$30,O$4&lt;EDATE('APA Inputs'!$C$30,N('APA Inputs'!$D$30))),'APA Inputs'!$J$30,0)+IF(N('APA Inputs'!$H$30)&gt;0,IF(O$4=EDATE('APA Inputs'!$C$30,'APA Inputs'!$H$30-1),N('APA Inputs'!$G$30),0),0))*IF('APA Inputs'!$I$30="",1,'APA Inputs'!$I$30))</f>
        <v>0</v>
      </c>
      <c r="P15" s="430" t="n">
        <f aca="false">IF('APA Inputs'!$C$30="",0,(IF(AND(P$4&gt;='APA Inputs'!$C$30,P$4&lt;EDATE('APA Inputs'!$C$30,N('APA Inputs'!$D$30))),'APA Inputs'!$J$30,0)+IF(N('APA Inputs'!$H$30)&gt;0,IF(P$4=EDATE('APA Inputs'!$C$30,'APA Inputs'!$H$30-1),N('APA Inputs'!$G$30),0),0))*IF('APA Inputs'!$I$30="",1,'APA Inputs'!$I$30))</f>
        <v>0</v>
      </c>
      <c r="Q15" s="430" t="n">
        <f aca="false">IF('APA Inputs'!$C$30="",0,(IF(AND(Q$4&gt;='APA Inputs'!$C$30,Q$4&lt;EDATE('APA Inputs'!$C$30,N('APA Inputs'!$D$30))),'APA Inputs'!$J$30,0)+IF(N('APA Inputs'!$H$30)&gt;0,IF(Q$4=EDATE('APA Inputs'!$C$30,'APA Inputs'!$H$30-1),N('APA Inputs'!$G$30),0),0))*IF('APA Inputs'!$I$30="",1,'APA Inputs'!$I$30))</f>
        <v>0</v>
      </c>
      <c r="R15" s="430" t="n">
        <f aca="false">IF('APA Inputs'!$C$30="",0,(IF(AND(R$4&gt;='APA Inputs'!$C$30,R$4&lt;EDATE('APA Inputs'!$C$30,N('APA Inputs'!$D$30))),'APA Inputs'!$J$30,0)+IF(N('APA Inputs'!$H$30)&gt;0,IF(R$4=EDATE('APA Inputs'!$C$30,'APA Inputs'!$H$30-1),N('APA Inputs'!$G$30),0),0))*IF('APA Inputs'!$I$30="",1,'APA Inputs'!$I$30))</f>
        <v>0</v>
      </c>
      <c r="S15" s="430" t="n">
        <f aca="false">IF('APA Inputs'!$C$30="",0,(IF(AND(S$4&gt;='APA Inputs'!$C$30,S$4&lt;EDATE('APA Inputs'!$C$30,N('APA Inputs'!$D$30))),'APA Inputs'!$J$30,0)+IF(N('APA Inputs'!$H$30)&gt;0,IF(S$4=EDATE('APA Inputs'!$C$30,'APA Inputs'!$H$30-1),N('APA Inputs'!$G$30),0),0))*IF('APA Inputs'!$I$30="",1,'APA Inputs'!$I$30))</f>
        <v>0</v>
      </c>
      <c r="T15" s="430" t="n">
        <f aca="false">IF('APA Inputs'!$C$30="",0,(IF(AND(T$4&gt;='APA Inputs'!$C$30,T$4&lt;EDATE('APA Inputs'!$C$30,N('APA Inputs'!$D$30))),'APA Inputs'!$J$30,0)+IF(N('APA Inputs'!$H$30)&gt;0,IF(T$4=EDATE('APA Inputs'!$C$30,'APA Inputs'!$H$30-1),N('APA Inputs'!$G$30),0),0))*IF('APA Inputs'!$I$30="",1,'APA Inputs'!$I$30))</f>
        <v>0</v>
      </c>
      <c r="U15" s="430" t="n">
        <f aca="false">IF('APA Inputs'!$C$30="",0,(IF(AND(U$4&gt;='APA Inputs'!$C$30,U$4&lt;EDATE('APA Inputs'!$C$30,N('APA Inputs'!$D$30))),'APA Inputs'!$J$30,0)+IF(N('APA Inputs'!$H$30)&gt;0,IF(U$4=EDATE('APA Inputs'!$C$30,'APA Inputs'!$H$30-1),N('APA Inputs'!$G$30),0),0))*IF('APA Inputs'!$I$30="",1,'APA Inputs'!$I$30))</f>
        <v>0</v>
      </c>
      <c r="V15" s="430" t="n">
        <f aca="false">IF('APA Inputs'!$C$30="",0,(IF(AND(V$4&gt;='APA Inputs'!$C$30,V$4&lt;EDATE('APA Inputs'!$C$30,N('APA Inputs'!$D$30))),'APA Inputs'!$J$30,0)+IF(N('APA Inputs'!$H$30)&gt;0,IF(V$4=EDATE('APA Inputs'!$C$30,'APA Inputs'!$H$30-1),N('APA Inputs'!$G$30),0),0))*IF('APA Inputs'!$I$30="",1,'APA Inputs'!$I$30))</f>
        <v>0</v>
      </c>
      <c r="W15" s="430" t="n">
        <f aca="false">IF('APA Inputs'!$C$30="",0,(IF(AND(W$4&gt;='APA Inputs'!$C$30,W$4&lt;EDATE('APA Inputs'!$C$30,N('APA Inputs'!$D$30))),'APA Inputs'!$J$30,0)+IF(N('APA Inputs'!$H$30)&gt;0,IF(W$4=EDATE('APA Inputs'!$C$30,'APA Inputs'!$H$30-1),N('APA Inputs'!$G$30),0),0))*IF('APA Inputs'!$I$30="",1,'APA Inputs'!$I$30))</f>
        <v>0</v>
      </c>
      <c r="X15" s="430" t="n">
        <f aca="false">IF('APA Inputs'!$C$30="",0,(IF(AND(X$4&gt;='APA Inputs'!$C$30,X$4&lt;EDATE('APA Inputs'!$C$30,N('APA Inputs'!$D$30))),'APA Inputs'!$J$30,0)+IF(N('APA Inputs'!$H$30)&gt;0,IF(X$4=EDATE('APA Inputs'!$C$30,'APA Inputs'!$H$30-1),N('APA Inputs'!$G$30),0),0))*IF('APA Inputs'!$I$30="",1,'APA Inputs'!$I$30))</f>
        <v>0</v>
      </c>
      <c r="Y15" s="430" t="n">
        <f aca="false">IF('APA Inputs'!$C$30="",0,(IF(AND(Y$4&gt;='APA Inputs'!$C$30,Y$4&lt;EDATE('APA Inputs'!$C$30,N('APA Inputs'!$D$30))),'APA Inputs'!$J$30,0)+IF(N('APA Inputs'!$H$30)&gt;0,IF(Y$4=EDATE('APA Inputs'!$C$30,'APA Inputs'!$H$30-1),N('APA Inputs'!$G$30),0),0))*IF('APA Inputs'!$I$30="",1,'APA Inputs'!$I$30))</f>
        <v>0</v>
      </c>
      <c r="Z15" s="430" t="n">
        <f aca="false">IF('APA Inputs'!$C$30="",0,(IF(AND(Z$4&gt;='APA Inputs'!$C$30,Z$4&lt;EDATE('APA Inputs'!$C$30,N('APA Inputs'!$D$30))),'APA Inputs'!$J$30,0)+IF(N('APA Inputs'!$H$30)&gt;0,IF(Z$4=EDATE('APA Inputs'!$C$30,'APA Inputs'!$H$30-1),N('APA Inputs'!$G$30),0),0))*IF('APA Inputs'!$I$30="",1,'APA Inputs'!$I$30))</f>
        <v>0</v>
      </c>
      <c r="AA15" s="430" t="n">
        <f aca="false">IF('APA Inputs'!$C$30="",0,(IF(AND(AA$4&gt;='APA Inputs'!$C$30,AA$4&lt;EDATE('APA Inputs'!$C$30,N('APA Inputs'!$D$30))),'APA Inputs'!$J$30,0)+IF(N('APA Inputs'!$H$30)&gt;0,IF(AA$4=EDATE('APA Inputs'!$C$30,'APA Inputs'!$H$30-1),N('APA Inputs'!$G$30),0),0))*IF('APA Inputs'!$I$30="",1,'APA Inputs'!$I$30))</f>
        <v>0</v>
      </c>
      <c r="AB15" s="430" t="n">
        <f aca="false">IF('APA Inputs'!$C$30="",0,(IF(AND(AB$4&gt;='APA Inputs'!$C$30,AB$4&lt;EDATE('APA Inputs'!$C$30,N('APA Inputs'!$D$30))),'APA Inputs'!$J$30,0)+IF(N('APA Inputs'!$H$30)&gt;0,IF(AB$4=EDATE('APA Inputs'!$C$30,'APA Inputs'!$H$30-1),N('APA Inputs'!$G$30),0),0))*IF('APA Inputs'!$I$30="",1,'APA Inputs'!$I$30))</f>
        <v>0</v>
      </c>
      <c r="AC15" s="430" t="n">
        <f aca="false">IF('APA Inputs'!$C$30="",0,(IF(AND(AC$4&gt;='APA Inputs'!$C$30,AC$4&lt;EDATE('APA Inputs'!$C$30,N('APA Inputs'!$D$30))),'APA Inputs'!$J$30,0)+IF(N('APA Inputs'!$H$30)&gt;0,IF(AC$4=EDATE('APA Inputs'!$C$30,'APA Inputs'!$H$30-1),N('APA Inputs'!$G$30),0),0))*IF('APA Inputs'!$I$30="",1,'APA Inputs'!$I$30))</f>
        <v>0</v>
      </c>
      <c r="AD15" s="430" t="n">
        <f aca="false">IF('APA Inputs'!$C$30="",0,(IF(AND(AD$4&gt;='APA Inputs'!$C$30,AD$4&lt;EDATE('APA Inputs'!$C$30,N('APA Inputs'!$D$30))),'APA Inputs'!$J$30,0)+IF(N('APA Inputs'!$H$30)&gt;0,IF(AD$4=EDATE('APA Inputs'!$C$30,'APA Inputs'!$H$30-1),N('APA Inputs'!$G$30),0),0))*IF('APA Inputs'!$I$30="",1,'APA Inputs'!$I$30))</f>
        <v>0</v>
      </c>
      <c r="AE15" s="430" t="n">
        <f aca="false">IF('APA Inputs'!$C$30="",0,(IF(AND(AE$4&gt;='APA Inputs'!$C$30,AE$4&lt;EDATE('APA Inputs'!$C$30,N('APA Inputs'!$D$30))),'APA Inputs'!$J$30,0)+IF(N('APA Inputs'!$H$30)&gt;0,IF(AE$4=EDATE('APA Inputs'!$C$30,'APA Inputs'!$H$30-1),N('APA Inputs'!$G$30),0),0))*IF('APA Inputs'!$I$30="",1,'APA Inputs'!$I$30))</f>
        <v>0</v>
      </c>
      <c r="AF15" s="430" t="n">
        <f aca="false">IF('APA Inputs'!$C$30="",0,(IF(AND(AF$4&gt;='APA Inputs'!$C$30,AF$4&lt;EDATE('APA Inputs'!$C$30,N('APA Inputs'!$D$30))),'APA Inputs'!$J$30,0)+IF(N('APA Inputs'!$H$30)&gt;0,IF(AF$4=EDATE('APA Inputs'!$C$30,'APA Inputs'!$H$30-1),N('APA Inputs'!$G$30),0),0))*IF('APA Inputs'!$I$30="",1,'APA Inputs'!$I$30))</f>
        <v>0</v>
      </c>
      <c r="AG15" s="430" t="n">
        <f aca="false">IF('APA Inputs'!$C$30="",0,(IF(AND(AG$4&gt;='APA Inputs'!$C$30,AG$4&lt;EDATE('APA Inputs'!$C$30,N('APA Inputs'!$D$30))),'APA Inputs'!$J$30,0)+IF(N('APA Inputs'!$H$30)&gt;0,IF(AG$4=EDATE('APA Inputs'!$C$30,'APA Inputs'!$H$30-1),N('APA Inputs'!$G$30),0),0))*IF('APA Inputs'!$I$30="",1,'APA Inputs'!$I$30))</f>
        <v>0</v>
      </c>
      <c r="AH15" s="430" t="n">
        <f aca="false">IF('APA Inputs'!$C$30="",0,(IF(AND(AH$4&gt;='APA Inputs'!$C$30,AH$4&lt;EDATE('APA Inputs'!$C$30,N('APA Inputs'!$D$30))),'APA Inputs'!$J$30,0)+IF(N('APA Inputs'!$H$30)&gt;0,IF(AH$4=EDATE('APA Inputs'!$C$30,'APA Inputs'!$H$30-1),N('APA Inputs'!$G$30),0),0))*IF('APA Inputs'!$I$30="",1,'APA Inputs'!$I$30))</f>
        <v>0</v>
      </c>
      <c r="AI15" s="430" t="n">
        <f aca="false">IF('APA Inputs'!$C$30="",0,(IF(AND(AI$4&gt;='APA Inputs'!$C$30,AI$4&lt;EDATE('APA Inputs'!$C$30,N('APA Inputs'!$D$30))),'APA Inputs'!$J$30,0)+IF(N('APA Inputs'!$H$30)&gt;0,IF(AI$4=EDATE('APA Inputs'!$C$30,'APA Inputs'!$H$30-1),N('APA Inputs'!$G$30),0),0))*IF('APA Inputs'!$I$30="",1,'APA Inputs'!$I$30))</f>
        <v>0</v>
      </c>
      <c r="AJ15" s="430" t="n">
        <f aca="false">IF('APA Inputs'!$C$30="",0,(IF(AND(AJ$4&gt;='APA Inputs'!$C$30,AJ$4&lt;EDATE('APA Inputs'!$C$30,N('APA Inputs'!$D$30))),'APA Inputs'!$J$30,0)+IF(N('APA Inputs'!$H$30)&gt;0,IF(AJ$4=EDATE('APA Inputs'!$C$30,'APA Inputs'!$H$30-1),N('APA Inputs'!$G$30),0),0))*IF('APA Inputs'!$I$30="",1,'APA Inputs'!$I$30))</f>
        <v>0</v>
      </c>
      <c r="AK15" s="430" t="n">
        <f aca="false">IF('APA Inputs'!$C$30="",0,(IF(AND(AK$4&gt;='APA Inputs'!$C$30,AK$4&lt;EDATE('APA Inputs'!$C$30,N('APA Inputs'!$D$30))),'APA Inputs'!$J$30,0)+IF(N('APA Inputs'!$H$30)&gt;0,IF(AK$4=EDATE('APA Inputs'!$C$30,'APA Inputs'!$H$30-1),N('APA Inputs'!$G$30),0),0))*IF('APA Inputs'!$I$30="",1,'APA Inputs'!$I$30))</f>
        <v>0</v>
      </c>
      <c r="AL15" s="430" t="n">
        <f aca="false">IF('APA Inputs'!$C$30="",0,(IF(AND(AL$4&gt;='APA Inputs'!$C$30,AL$4&lt;EDATE('APA Inputs'!$C$30,N('APA Inputs'!$D$30))),'APA Inputs'!$J$30,0)+IF(N('APA Inputs'!$H$30)&gt;0,IF(AL$4=EDATE('APA Inputs'!$C$30,'APA Inputs'!$H$30-1),N('APA Inputs'!$G$30),0),0))*IF('APA Inputs'!$I$30="",1,'APA Inputs'!$I$30))</f>
        <v>0</v>
      </c>
      <c r="AM15" s="430" t="n">
        <f aca="false">IF('APA Inputs'!$C$30="",0,(IF(AND(AM$4&gt;='APA Inputs'!$C$30,AM$4&lt;EDATE('APA Inputs'!$C$30,N('APA Inputs'!$D$30))),'APA Inputs'!$J$30,0)+IF(N('APA Inputs'!$H$30)&gt;0,IF(AM$4=EDATE('APA Inputs'!$C$30,'APA Inputs'!$H$30-1),N('APA Inputs'!$G$30),0),0))*IF('APA Inputs'!$I$30="",1,'APA Inputs'!$I$30))</f>
        <v>0</v>
      </c>
      <c r="AN15" s="430" t="n">
        <f aca="false">IF('APA Inputs'!$C$30="",0,(IF(AND(AN$4&gt;='APA Inputs'!$C$30,AN$4&lt;EDATE('APA Inputs'!$C$30,N('APA Inputs'!$D$30))),'APA Inputs'!$J$30,0)+IF(N('APA Inputs'!$H$30)&gt;0,IF(AN$4=EDATE('APA Inputs'!$C$30,'APA Inputs'!$H$30-1),N('APA Inputs'!$G$30),0),0))*IF('APA Inputs'!$I$30="",1,'APA Inputs'!$I$30))</f>
        <v>0</v>
      </c>
      <c r="AO15" s="430" t="n">
        <f aca="false">IF('APA Inputs'!$C$30="",0,(IF(AND(AO$4&gt;='APA Inputs'!$C$30,AO$4&lt;EDATE('APA Inputs'!$C$30,N('APA Inputs'!$D$30))),'APA Inputs'!$J$30,0)+IF(N('APA Inputs'!$H$30)&gt;0,IF(AO$4=EDATE('APA Inputs'!$C$30,'APA Inputs'!$H$30-1),N('APA Inputs'!$G$30),0),0))*IF('APA Inputs'!$I$30="",1,'APA Inputs'!$I$30))</f>
        <v>0</v>
      </c>
      <c r="AP15" s="430" t="n">
        <f aca="false">IF('APA Inputs'!$C$30="",0,(IF(AND(AP$4&gt;='APA Inputs'!$C$30,AP$4&lt;EDATE('APA Inputs'!$C$30,N('APA Inputs'!$D$30))),'APA Inputs'!$J$30,0)+IF(N('APA Inputs'!$H$30)&gt;0,IF(AP$4=EDATE('APA Inputs'!$C$30,'APA Inputs'!$H$30-1),N('APA Inputs'!$G$30),0),0))*IF('APA Inputs'!$I$30="",1,'APA Inputs'!$I$30))</f>
        <v>0</v>
      </c>
      <c r="AQ15" s="430" t="n">
        <f aca="false">IF('APA Inputs'!$C$30="",0,(IF(AND(AQ$4&gt;='APA Inputs'!$C$30,AQ$4&lt;EDATE('APA Inputs'!$C$30,N('APA Inputs'!$D$30))),'APA Inputs'!$J$30,0)+IF(N('APA Inputs'!$H$30)&gt;0,IF(AQ$4=EDATE('APA Inputs'!$C$30,'APA Inputs'!$H$30-1),N('APA Inputs'!$G$30),0),0))*IF('APA Inputs'!$I$30="",1,'APA Inputs'!$I$30))</f>
        <v>0</v>
      </c>
      <c r="AR15" s="430" t="n">
        <f aca="false">IF('APA Inputs'!$C$30="",0,(IF(AND(AR$4&gt;='APA Inputs'!$C$30,AR$4&lt;EDATE('APA Inputs'!$C$30,N('APA Inputs'!$D$30))),'APA Inputs'!$J$30,0)+IF(N('APA Inputs'!$H$30)&gt;0,IF(AR$4=EDATE('APA Inputs'!$C$30,'APA Inputs'!$H$30-1),N('APA Inputs'!$G$30),0),0))*IF('APA Inputs'!$I$30="",1,'APA Inputs'!$I$30))</f>
        <v>0</v>
      </c>
      <c r="AS15" s="430" t="n">
        <f aca="false">IF('APA Inputs'!$C$30="",0,(IF(AND(AS$4&gt;='APA Inputs'!$C$30,AS$4&lt;EDATE('APA Inputs'!$C$30,N('APA Inputs'!$D$30))),'APA Inputs'!$J$30,0)+IF(N('APA Inputs'!$H$30)&gt;0,IF(AS$4=EDATE('APA Inputs'!$C$30,'APA Inputs'!$H$30-1),N('APA Inputs'!$G$30),0),0))*IF('APA Inputs'!$I$30="",1,'APA Inputs'!$I$30))</f>
        <v>0</v>
      </c>
      <c r="AT15" s="430" t="n">
        <f aca="false">IF('APA Inputs'!$C$30="",0,(IF(AND(AT$4&gt;='APA Inputs'!$C$30,AT$4&lt;EDATE('APA Inputs'!$C$30,N('APA Inputs'!$D$30))),'APA Inputs'!$J$30,0)+IF(N('APA Inputs'!$H$30)&gt;0,IF(AT$4=EDATE('APA Inputs'!$C$30,'APA Inputs'!$H$30-1),N('APA Inputs'!$G$30),0),0))*IF('APA Inputs'!$I$30="",1,'APA Inputs'!$I$30))</f>
        <v>0</v>
      </c>
      <c r="AU15" s="430" t="n">
        <f aca="false">IF('APA Inputs'!$C$30="",0,(IF(AND(AU$4&gt;='APA Inputs'!$C$30,AU$4&lt;EDATE('APA Inputs'!$C$30,N('APA Inputs'!$D$30))),'APA Inputs'!$J$30,0)+IF(N('APA Inputs'!$H$30)&gt;0,IF(AU$4=EDATE('APA Inputs'!$C$30,'APA Inputs'!$H$30-1),N('APA Inputs'!$G$30),0),0))*IF('APA Inputs'!$I$30="",1,'APA Inputs'!$I$30))</f>
        <v>0</v>
      </c>
      <c r="AV15" s="430" t="n">
        <f aca="false">IF('APA Inputs'!$C$30="",0,(IF(AND(AV$4&gt;='APA Inputs'!$C$30,AV$4&lt;EDATE('APA Inputs'!$C$30,N('APA Inputs'!$D$30))),'APA Inputs'!$J$30,0)+IF(N('APA Inputs'!$H$30)&gt;0,IF(AV$4=EDATE('APA Inputs'!$C$30,'APA Inputs'!$H$30-1),N('APA Inputs'!$G$30),0),0))*IF('APA Inputs'!$I$30="",1,'APA Inputs'!$I$30))</f>
        <v>0</v>
      </c>
      <c r="AW15" s="430" t="n">
        <f aca="false">IF('APA Inputs'!$C$30="",0,(IF(AND(AW$4&gt;='APA Inputs'!$C$30,AW$4&lt;EDATE('APA Inputs'!$C$30,N('APA Inputs'!$D$30))),'APA Inputs'!$J$30,0)+IF(N('APA Inputs'!$H$30)&gt;0,IF(AW$4=EDATE('APA Inputs'!$C$30,'APA Inputs'!$H$30-1),N('APA Inputs'!$G$30),0),0))*IF('APA Inputs'!$I$30="",1,'APA Inputs'!$I$30))</f>
        <v>0</v>
      </c>
      <c r="AX15" s="430" t="n">
        <f aca="false">IF('APA Inputs'!$C$30="",0,(IF(AND(AX$4&gt;='APA Inputs'!$C$30,AX$4&lt;EDATE('APA Inputs'!$C$30,N('APA Inputs'!$D$30))),'APA Inputs'!$J$30,0)+IF(N('APA Inputs'!$H$30)&gt;0,IF(AX$4=EDATE('APA Inputs'!$C$30,'APA Inputs'!$H$30-1),N('APA Inputs'!$G$30),0),0))*IF('APA Inputs'!$I$30="",1,'APA Inputs'!$I$30))</f>
        <v>0</v>
      </c>
      <c r="AY15" s="430" t="n">
        <f aca="false">IF('APA Inputs'!$C$30="",0,(IF(AND(AY$4&gt;='APA Inputs'!$C$30,AY$4&lt;EDATE('APA Inputs'!$C$30,N('APA Inputs'!$D$30))),'APA Inputs'!$J$30,0)+IF(N('APA Inputs'!$H$30)&gt;0,IF(AY$4=EDATE('APA Inputs'!$C$30,'APA Inputs'!$H$30-1),N('APA Inputs'!$G$30),0),0))*IF('APA Inputs'!$I$30="",1,'APA Inputs'!$I$30))</f>
        <v>0</v>
      </c>
      <c r="AZ15" s="430" t="n">
        <f aca="false">IF('APA Inputs'!$C$30="",0,(IF(AND(AZ$4&gt;='APA Inputs'!$C$30,AZ$4&lt;EDATE('APA Inputs'!$C$30,N('APA Inputs'!$D$30))),'APA Inputs'!$J$30,0)+IF(N('APA Inputs'!$H$30)&gt;0,IF(AZ$4=EDATE('APA Inputs'!$C$30,'APA Inputs'!$H$30-1),N('APA Inputs'!$G$30),0),0))*IF('APA Inputs'!$I$30="",1,'APA Inputs'!$I$30))</f>
        <v>0</v>
      </c>
      <c r="BA15" s="430" t="n">
        <f aca="false">IF('APA Inputs'!$C$30="",0,(IF(AND(BA$4&gt;='APA Inputs'!$C$30,BA$4&lt;EDATE('APA Inputs'!$C$30,N('APA Inputs'!$D$30))),'APA Inputs'!$J$30,0)+IF(N('APA Inputs'!$H$30)&gt;0,IF(BA$4=EDATE('APA Inputs'!$C$30,'APA Inputs'!$H$30-1),N('APA Inputs'!$G$30),0),0))*IF('APA Inputs'!$I$30="",1,'APA Inputs'!$I$30))</f>
        <v>0</v>
      </c>
      <c r="BB15" s="430" t="n">
        <f aca="false">IF('APA Inputs'!$C$30="",0,(IF(AND(BB$4&gt;='APA Inputs'!$C$30,BB$4&lt;EDATE('APA Inputs'!$C$30,N('APA Inputs'!$D$30))),'APA Inputs'!$J$30,0)+IF(N('APA Inputs'!$H$30)&gt;0,IF(BB$4=EDATE('APA Inputs'!$C$30,'APA Inputs'!$H$30-1),N('APA Inputs'!$G$30),0),0))*IF('APA Inputs'!$I$30="",1,'APA Inputs'!$I$30))</f>
        <v>0</v>
      </c>
      <c r="BC15" s="430" t="n">
        <f aca="false">IF('APA Inputs'!$C$30="",0,(IF(AND(BC$4&gt;='APA Inputs'!$C$30,BC$4&lt;EDATE('APA Inputs'!$C$30,N('APA Inputs'!$D$30))),'APA Inputs'!$J$30,0)+IF(N('APA Inputs'!$H$30)&gt;0,IF(BC$4=EDATE('APA Inputs'!$C$30,'APA Inputs'!$H$30-1),N('APA Inputs'!$G$30),0),0))*IF('APA Inputs'!$I$30="",1,'APA Inputs'!$I$30))</f>
        <v>0</v>
      </c>
      <c r="BD15" s="430" t="n">
        <f aca="false">IF('APA Inputs'!$C$30="",0,(IF(AND(BD$4&gt;='APA Inputs'!$C$30,BD$4&lt;EDATE('APA Inputs'!$C$30,N('APA Inputs'!$D$30))),'APA Inputs'!$J$30,0)+IF(N('APA Inputs'!$H$30)&gt;0,IF(BD$4=EDATE('APA Inputs'!$C$30,'APA Inputs'!$H$30-1),N('APA Inputs'!$G$30),0),0))*IF('APA Inputs'!$I$30="",1,'APA Inputs'!$I$30))</f>
        <v>0</v>
      </c>
      <c r="BE15" s="430" t="n">
        <f aca="false">IF('APA Inputs'!$C$30="",0,(IF(AND(BE$4&gt;='APA Inputs'!$C$30,BE$4&lt;EDATE('APA Inputs'!$C$30,N('APA Inputs'!$D$30))),'APA Inputs'!$J$30,0)+IF(N('APA Inputs'!$H$30)&gt;0,IF(BE$4=EDATE('APA Inputs'!$C$30,'APA Inputs'!$H$30-1),N('APA Inputs'!$G$30),0),0))*IF('APA Inputs'!$I$30="",1,'APA Inputs'!$I$30))</f>
        <v>0</v>
      </c>
      <c r="BF15" s="430" t="n">
        <f aca="false">IF('APA Inputs'!$C$30="",0,(IF(AND(BF$4&gt;='APA Inputs'!$C$30,BF$4&lt;EDATE('APA Inputs'!$C$30,N('APA Inputs'!$D$30))),'APA Inputs'!$J$30,0)+IF(N('APA Inputs'!$H$30)&gt;0,IF(BF$4=EDATE('APA Inputs'!$C$30,'APA Inputs'!$H$30-1),N('APA Inputs'!$G$30),0),0))*IF('APA Inputs'!$I$30="",1,'APA Inputs'!$I$30))</f>
        <v>0</v>
      </c>
      <c r="BG15" s="430" t="n">
        <f aca="false">IF('APA Inputs'!$C$30="",0,(IF(AND(BG$4&gt;='APA Inputs'!$C$30,BG$4&lt;EDATE('APA Inputs'!$C$30,N('APA Inputs'!$D$30))),'APA Inputs'!$J$30,0)+IF(N('APA Inputs'!$H$30)&gt;0,IF(BG$4=EDATE('APA Inputs'!$C$30,'APA Inputs'!$H$30-1),N('APA Inputs'!$G$30),0),0))*IF('APA Inputs'!$I$30="",1,'APA Inputs'!$I$30))</f>
        <v>0</v>
      </c>
      <c r="BH15" s="430" t="n">
        <f aca="false">IF('APA Inputs'!$C$30="",0,(IF(AND(BH$4&gt;='APA Inputs'!$C$30,BH$4&lt;EDATE('APA Inputs'!$C$30,N('APA Inputs'!$D$30))),'APA Inputs'!$J$30,0)+IF(N('APA Inputs'!$H$30)&gt;0,IF(BH$4=EDATE('APA Inputs'!$C$30,'APA Inputs'!$H$30-1),N('APA Inputs'!$G$30),0),0))*IF('APA Inputs'!$I$30="",1,'APA Inputs'!$I$30))</f>
        <v>0</v>
      </c>
      <c r="BI15" s="430" t="n">
        <f aca="false">IF('APA Inputs'!$C$30="",0,(IF(AND(BI$4&gt;='APA Inputs'!$C$30,BI$4&lt;EDATE('APA Inputs'!$C$30,N('APA Inputs'!$D$30))),'APA Inputs'!$J$30,0)+IF(N('APA Inputs'!$H$30)&gt;0,IF(BI$4=EDATE('APA Inputs'!$C$30,'APA Inputs'!$H$30-1),N('APA Inputs'!$G$30),0),0))*IF('APA Inputs'!$I$30="",1,'APA Inputs'!$I$30))</f>
        <v>0</v>
      </c>
      <c r="BJ15" s="430" t="n">
        <f aca="false">IF('APA Inputs'!$C$30="",0,(IF(AND(BJ$4&gt;='APA Inputs'!$C$30,BJ$4&lt;EDATE('APA Inputs'!$C$30,N('APA Inputs'!$D$30))),'APA Inputs'!$J$30,0)+IF(N('APA Inputs'!$H$30)&gt;0,IF(BJ$4=EDATE('APA Inputs'!$C$30,'APA Inputs'!$H$30-1),N('APA Inputs'!$G$30),0),0))*IF('APA Inputs'!$I$30="",1,'APA Inputs'!$I$30))</f>
        <v>0</v>
      </c>
      <c r="BK15" s="430" t="n">
        <f aca="false">IF('APA Inputs'!$C$30="",0,(IF(AND(BK$4&gt;='APA Inputs'!$C$30,BK$4&lt;EDATE('APA Inputs'!$C$30,N('APA Inputs'!$D$30))),'APA Inputs'!$J$30,0)+IF(N('APA Inputs'!$H$30)&gt;0,IF(BK$4=EDATE('APA Inputs'!$C$30,'APA Inputs'!$H$30-1),N('APA Inputs'!$G$30),0),0))*IF('APA Inputs'!$I$30="",1,'APA Inputs'!$I$30))</f>
        <v>0</v>
      </c>
      <c r="BL15" s="430" t="n">
        <f aca="false">IF('APA Inputs'!$C$30="",0,(IF(AND(BL$4&gt;='APA Inputs'!$C$30,BL$4&lt;EDATE('APA Inputs'!$C$30,N('APA Inputs'!$D$30))),'APA Inputs'!$J$30,0)+IF(N('APA Inputs'!$H$30)&gt;0,IF(BL$4=EDATE('APA Inputs'!$C$30,'APA Inputs'!$H$30-1),N('APA Inputs'!$G$30),0),0))*IF('APA Inputs'!$I$30="",1,'APA Inputs'!$I$30))</f>
        <v>0</v>
      </c>
      <c r="BM15" s="430" t="n">
        <f aca="false">IF('APA Inputs'!$C$30="",0,(IF(AND(BM$4&gt;='APA Inputs'!$C$30,BM$4&lt;EDATE('APA Inputs'!$C$30,N('APA Inputs'!$D$30))),'APA Inputs'!$J$30,0)+IF(N('APA Inputs'!$H$30)&gt;0,IF(BM$4=EDATE('APA Inputs'!$C$30,'APA Inputs'!$H$30-1),N('APA Inputs'!$G$30),0),0))*IF('APA Inputs'!$I$30="",1,'APA Inputs'!$I$30))</f>
        <v>0</v>
      </c>
      <c r="BN15" s="430" t="n">
        <f aca="false">IF('APA Inputs'!$C$30="",0,(IF(AND(BN$4&gt;='APA Inputs'!$C$30,BN$4&lt;EDATE('APA Inputs'!$C$30,N('APA Inputs'!$D$30))),'APA Inputs'!$J$30,0)+IF(N('APA Inputs'!$H$30)&gt;0,IF(BN$4=EDATE('APA Inputs'!$C$30,'APA Inputs'!$H$30-1),N('APA Inputs'!$G$30),0),0))*IF('APA Inputs'!$I$30="",1,'APA Inputs'!$I$30))</f>
        <v>0</v>
      </c>
      <c r="BO15" s="430" t="n">
        <f aca="false">IF('APA Inputs'!$C$30="",0,(IF(AND(BO$4&gt;='APA Inputs'!$C$30,BO$4&lt;EDATE('APA Inputs'!$C$30,N('APA Inputs'!$D$30))),'APA Inputs'!$J$30,0)+IF(N('APA Inputs'!$H$30)&gt;0,IF(BO$4=EDATE('APA Inputs'!$C$30,'APA Inputs'!$H$30-1),N('APA Inputs'!$G$30),0),0))*IF('APA Inputs'!$I$30="",1,'APA Inputs'!$I$30))</f>
        <v>0</v>
      </c>
      <c r="BP15" s="430" t="n">
        <f aca="false">IF('APA Inputs'!$C$30="",0,(IF(AND(BP$4&gt;='APA Inputs'!$C$30,BP$4&lt;EDATE('APA Inputs'!$C$30,N('APA Inputs'!$D$30))),'APA Inputs'!$J$30,0)+IF(N('APA Inputs'!$H$30)&gt;0,IF(BP$4=EDATE('APA Inputs'!$C$30,'APA Inputs'!$H$30-1),N('APA Inputs'!$G$30),0),0))*IF('APA Inputs'!$I$30="",1,'APA Inputs'!$I$30))</f>
        <v>0</v>
      </c>
      <c r="BQ15" s="430" t="n">
        <f aca="false">IF('APA Inputs'!$C$30="",0,(IF(AND(BQ$4&gt;='APA Inputs'!$C$30,BQ$4&lt;EDATE('APA Inputs'!$C$30,N('APA Inputs'!$D$30))),'APA Inputs'!$J$30,0)+IF(N('APA Inputs'!$H$30)&gt;0,IF(BQ$4=EDATE('APA Inputs'!$C$30,'APA Inputs'!$H$30-1),N('APA Inputs'!$G$30),0),0))*IF('APA Inputs'!$I$30="",1,'APA Inputs'!$I$30))</f>
        <v>0</v>
      </c>
      <c r="BR15" s="430" t="n">
        <f aca="false">IF('APA Inputs'!$C$30="",0,(IF(AND(BR$4&gt;='APA Inputs'!$C$30,BR$4&lt;EDATE('APA Inputs'!$C$30,N('APA Inputs'!$D$30))),'APA Inputs'!$J$30,0)+IF(N('APA Inputs'!$H$30)&gt;0,IF(BR$4=EDATE('APA Inputs'!$C$30,'APA Inputs'!$H$30-1),N('APA Inputs'!$G$30),0),0))*IF('APA Inputs'!$I$30="",1,'APA Inputs'!$I$30))</f>
        <v>0</v>
      </c>
      <c r="BS15" s="430" t="n">
        <f aca="false">IF('APA Inputs'!$C$30="",0,(IF(AND(BS$4&gt;='APA Inputs'!$C$30,BS$4&lt;EDATE('APA Inputs'!$C$30,N('APA Inputs'!$D$30))),'APA Inputs'!$J$30,0)+IF(N('APA Inputs'!$H$30)&gt;0,IF(BS$4=EDATE('APA Inputs'!$C$30,'APA Inputs'!$H$30-1),N('APA Inputs'!$G$30),0),0))*IF('APA Inputs'!$I$30="",1,'APA Inputs'!$I$30))</f>
        <v>0</v>
      </c>
      <c r="BT15" s="430" t="n">
        <f aca="false">IF('APA Inputs'!$C$30="",0,(IF(AND(BT$4&gt;='APA Inputs'!$C$30,BT$4&lt;EDATE('APA Inputs'!$C$30,N('APA Inputs'!$D$30))),'APA Inputs'!$J$30,0)+IF(N('APA Inputs'!$H$30)&gt;0,IF(BT$4=EDATE('APA Inputs'!$C$30,'APA Inputs'!$H$30-1),N('APA Inputs'!$G$30),0),0))*IF('APA Inputs'!$I$30="",1,'APA Inputs'!$I$30))</f>
        <v>0</v>
      </c>
      <c r="BU15" s="430" t="n">
        <f aca="false">IF('APA Inputs'!$C$30="",0,(IF(AND(BU$4&gt;='APA Inputs'!$C$30,BU$4&lt;EDATE('APA Inputs'!$C$30,N('APA Inputs'!$D$30))),'APA Inputs'!$J$30,0)+IF(N('APA Inputs'!$H$30)&gt;0,IF(BU$4=EDATE('APA Inputs'!$C$30,'APA Inputs'!$H$30-1),N('APA Inputs'!$G$30),0),0))*IF('APA Inputs'!$I$30="",1,'APA Inputs'!$I$30))</f>
        <v>0</v>
      </c>
      <c r="BV15" s="430" t="n">
        <f aca="false">IF('APA Inputs'!$C$30="",0,(IF(AND(BV$4&gt;='APA Inputs'!$C$30,BV$4&lt;EDATE('APA Inputs'!$C$30,N('APA Inputs'!$D$30))),'APA Inputs'!$J$30,0)+IF(N('APA Inputs'!$H$30)&gt;0,IF(BV$4=EDATE('APA Inputs'!$C$30,'APA Inputs'!$H$30-1),N('APA Inputs'!$G$30),0),0))*IF('APA Inputs'!$I$30="",1,'APA Inputs'!$I$30))</f>
        <v>0</v>
      </c>
      <c r="BW15" s="430" t="n">
        <f aca="false">IF('APA Inputs'!$C$30="",0,(IF(AND(BW$4&gt;='APA Inputs'!$C$30,BW$4&lt;EDATE('APA Inputs'!$C$30,N('APA Inputs'!$D$30))),'APA Inputs'!$J$30,0)+IF(N('APA Inputs'!$H$30)&gt;0,IF(BW$4=EDATE('APA Inputs'!$C$30,'APA Inputs'!$H$30-1),N('APA Inputs'!$G$30),0),0))*IF('APA Inputs'!$I$30="",1,'APA Inputs'!$I$30))</f>
        <v>0</v>
      </c>
      <c r="BX15" s="430" t="n">
        <f aca="false">IF('APA Inputs'!$C$30="",0,(IF(AND(BX$4&gt;='APA Inputs'!$C$30,BX$4&lt;EDATE('APA Inputs'!$C$30,N('APA Inputs'!$D$30))),'APA Inputs'!$J$30,0)+IF(N('APA Inputs'!$H$30)&gt;0,IF(BX$4=EDATE('APA Inputs'!$C$30,'APA Inputs'!$H$30-1),N('APA Inputs'!$G$30),0),0))*IF('APA Inputs'!$I$30="",1,'APA Inputs'!$I$30))</f>
        <v>0</v>
      </c>
      <c r="BY15" s="430" t="n">
        <f aca="false">IF('APA Inputs'!$C$30="",0,(IF(AND(BY$4&gt;='APA Inputs'!$C$30,BY$4&lt;EDATE('APA Inputs'!$C$30,N('APA Inputs'!$D$30))),'APA Inputs'!$J$30,0)+IF(N('APA Inputs'!$H$30)&gt;0,IF(BY$4=EDATE('APA Inputs'!$C$30,'APA Inputs'!$H$30-1),N('APA Inputs'!$G$30),0),0))*IF('APA Inputs'!$I$30="",1,'APA Inputs'!$I$30))</f>
        <v>0</v>
      </c>
      <c r="BZ15" s="430" t="n">
        <f aca="false">IF('APA Inputs'!$C$30="",0,(IF(AND(BZ$4&gt;='APA Inputs'!$C$30,BZ$4&lt;EDATE('APA Inputs'!$C$30,N('APA Inputs'!$D$30))),'APA Inputs'!$J$30,0)+IF(N('APA Inputs'!$H$30)&gt;0,IF(BZ$4=EDATE('APA Inputs'!$C$30,'APA Inputs'!$H$30-1),N('APA Inputs'!$G$30),0),0))*IF('APA Inputs'!$I$30="",1,'APA Inputs'!$I$30))</f>
        <v>0</v>
      </c>
      <c r="CA15" s="430" t="n">
        <f aca="false">IF('APA Inputs'!$C$30="",0,(IF(AND(CA$4&gt;='APA Inputs'!$C$30,CA$4&lt;EDATE('APA Inputs'!$C$30,N('APA Inputs'!$D$30))),'APA Inputs'!$J$30,0)+IF(N('APA Inputs'!$H$30)&gt;0,IF(CA$4=EDATE('APA Inputs'!$C$30,'APA Inputs'!$H$30-1),N('APA Inputs'!$G$30),0),0))*IF('APA Inputs'!$I$30="",1,'APA Inputs'!$I$30))</f>
        <v>0</v>
      </c>
      <c r="CB15" s="430" t="n">
        <f aca="false">IF('APA Inputs'!$C$30="",0,(IF(AND(CB$4&gt;='APA Inputs'!$C$30,CB$4&lt;EDATE('APA Inputs'!$C$30,N('APA Inputs'!$D$30))),'APA Inputs'!$J$30,0)+IF(N('APA Inputs'!$H$30)&gt;0,IF(CB$4=EDATE('APA Inputs'!$C$30,'APA Inputs'!$H$30-1),N('APA Inputs'!$G$30),0),0))*IF('APA Inputs'!$I$30="",1,'APA Inputs'!$I$30))</f>
        <v>0</v>
      </c>
      <c r="CC15" s="430" t="n">
        <f aca="false">IF('APA Inputs'!$C$30="",0,(IF(AND(CC$4&gt;='APA Inputs'!$C$30,CC$4&lt;EDATE('APA Inputs'!$C$30,N('APA Inputs'!$D$30))),'APA Inputs'!$J$30,0)+IF(N('APA Inputs'!$H$30)&gt;0,IF(CC$4=EDATE('APA Inputs'!$C$30,'APA Inputs'!$H$30-1),N('APA Inputs'!$G$30),0),0))*IF('APA Inputs'!$I$30="",1,'APA Inputs'!$I$30))</f>
        <v>0</v>
      </c>
      <c r="CD15" s="430" t="n">
        <f aca="false">IF('APA Inputs'!$C$30="",0,(IF(AND(CD$4&gt;='APA Inputs'!$C$30,CD$4&lt;EDATE('APA Inputs'!$C$30,N('APA Inputs'!$D$30))),'APA Inputs'!$J$30,0)+IF(N('APA Inputs'!$H$30)&gt;0,IF(CD$4=EDATE('APA Inputs'!$C$30,'APA Inputs'!$H$30-1),N('APA Inputs'!$G$30),0),0))*IF('APA Inputs'!$I$30="",1,'APA Inputs'!$I$30))</f>
        <v>0</v>
      </c>
      <c r="CE15" s="430" t="n">
        <f aca="false">IF('APA Inputs'!$C$30="",0,(IF(AND(CE$4&gt;='APA Inputs'!$C$30,CE$4&lt;EDATE('APA Inputs'!$C$30,N('APA Inputs'!$D$30))),'APA Inputs'!$J$30,0)+IF(N('APA Inputs'!$H$30)&gt;0,IF(CE$4=EDATE('APA Inputs'!$C$30,'APA Inputs'!$H$30-1),N('APA Inputs'!$G$30),0),0))*IF('APA Inputs'!$I$30="",1,'APA Inputs'!$I$30))</f>
        <v>0</v>
      </c>
      <c r="CF15" s="430" t="n">
        <f aca="false">IF('APA Inputs'!$C$30="",0,(IF(AND(CF$4&gt;='APA Inputs'!$C$30,CF$4&lt;EDATE('APA Inputs'!$C$30,N('APA Inputs'!$D$30))),'APA Inputs'!$J$30,0)+IF(N('APA Inputs'!$H$30)&gt;0,IF(CF$4=EDATE('APA Inputs'!$C$30,'APA Inputs'!$H$30-1),N('APA Inputs'!$G$30),0),0))*IF('APA Inputs'!$I$30="",1,'APA Inputs'!$I$30))</f>
        <v>0</v>
      </c>
      <c r="CG15" s="430" t="n">
        <f aca="false">IF('APA Inputs'!$C$30="",0,(IF(AND(CG$4&gt;='APA Inputs'!$C$30,CG$4&lt;EDATE('APA Inputs'!$C$30,N('APA Inputs'!$D$30))),'APA Inputs'!$J$30,0)+IF(N('APA Inputs'!$H$30)&gt;0,IF(CG$4=EDATE('APA Inputs'!$C$30,'APA Inputs'!$H$30-1),N('APA Inputs'!$G$30),0),0))*IF('APA Inputs'!$I$30="",1,'APA Inputs'!$I$30))</f>
        <v>0</v>
      </c>
      <c r="CH15" s="430" t="n">
        <f aca="false">IF('APA Inputs'!$C$30="",0,(IF(AND(CH$4&gt;='APA Inputs'!$C$30,CH$4&lt;EDATE('APA Inputs'!$C$30,N('APA Inputs'!$D$30))),'APA Inputs'!$J$30,0)+IF(N('APA Inputs'!$H$30)&gt;0,IF(CH$4=EDATE('APA Inputs'!$C$30,'APA Inputs'!$H$30-1),N('APA Inputs'!$G$30),0),0))*IF('APA Inputs'!$I$30="",1,'APA Inputs'!$I$30))</f>
        <v>0</v>
      </c>
      <c r="CI15" s="430" t="n">
        <f aca="false">IF('APA Inputs'!$C$30="",0,(IF(AND(CI$4&gt;='APA Inputs'!$C$30,CI$4&lt;EDATE('APA Inputs'!$C$30,N('APA Inputs'!$D$30))),'APA Inputs'!$J$30,0)+IF(N('APA Inputs'!$H$30)&gt;0,IF(CI$4=EDATE('APA Inputs'!$C$30,'APA Inputs'!$H$30-1),N('APA Inputs'!$G$30),0),0))*IF('APA Inputs'!$I$30="",1,'APA Inputs'!$I$30))</f>
        <v>0</v>
      </c>
      <c r="CJ15" s="430" t="n">
        <f aca="false">IF('APA Inputs'!$C$30="",0,(IF(AND(CJ$4&gt;='APA Inputs'!$C$30,CJ$4&lt;EDATE('APA Inputs'!$C$30,N('APA Inputs'!$D$30))),'APA Inputs'!$J$30,0)+IF(N('APA Inputs'!$H$30)&gt;0,IF(CJ$4=EDATE('APA Inputs'!$C$30,'APA Inputs'!$H$30-1),N('APA Inputs'!$G$30),0),0))*IF('APA Inputs'!$I$30="",1,'APA Inputs'!$I$30))</f>
        <v>0</v>
      </c>
      <c r="CK15" s="430" t="n">
        <f aca="false">IF('APA Inputs'!$C$30="",0,(IF(AND(CK$4&gt;='APA Inputs'!$C$30,CK$4&lt;EDATE('APA Inputs'!$C$30,N('APA Inputs'!$D$30))),'APA Inputs'!$J$30,0)+IF(N('APA Inputs'!$H$30)&gt;0,IF(CK$4=EDATE('APA Inputs'!$C$30,'APA Inputs'!$H$30-1),N('APA Inputs'!$G$30),0),0))*IF('APA Inputs'!$I$30="",1,'APA Inputs'!$I$30))</f>
        <v>0</v>
      </c>
      <c r="CL15" s="430" t="n">
        <f aca="false">IF('APA Inputs'!$C$30="",0,(IF(AND(CL$4&gt;='APA Inputs'!$C$30,CL$4&lt;EDATE('APA Inputs'!$C$30,N('APA Inputs'!$D$30))),'APA Inputs'!$J$30,0)+IF(N('APA Inputs'!$H$30)&gt;0,IF(CL$4=EDATE('APA Inputs'!$C$30,'APA Inputs'!$H$30-1),N('APA Inputs'!$G$30),0),0))*IF('APA Inputs'!$I$30="",1,'APA Inputs'!$I$30))</f>
        <v>0</v>
      </c>
      <c r="CM15" s="430" t="n">
        <f aca="false">IF('APA Inputs'!$C$30="",0,(IF(AND(CM$4&gt;='APA Inputs'!$C$30,CM$4&lt;EDATE('APA Inputs'!$C$30,N('APA Inputs'!$D$30))),'APA Inputs'!$J$30,0)+IF(N('APA Inputs'!$H$30)&gt;0,IF(CM$4=EDATE('APA Inputs'!$C$30,'APA Inputs'!$H$30-1),N('APA Inputs'!$G$30),0),0))*IF('APA Inputs'!$I$30="",1,'APA Inputs'!$I$30))</f>
        <v>0</v>
      </c>
      <c r="CN15" s="430" t="n">
        <f aca="false">IF('APA Inputs'!$C$30="",0,(IF(AND(CN$4&gt;='APA Inputs'!$C$30,CN$4&lt;EDATE('APA Inputs'!$C$30,N('APA Inputs'!$D$30))),'APA Inputs'!$J$30,0)+IF(N('APA Inputs'!$H$30)&gt;0,IF(CN$4=EDATE('APA Inputs'!$C$30,'APA Inputs'!$H$30-1),N('APA Inputs'!$G$30),0),0))*IF('APA Inputs'!$I$30="",1,'APA Inputs'!$I$30))</f>
        <v>0</v>
      </c>
      <c r="CO15" s="430" t="n">
        <f aca="false">IF('APA Inputs'!$C$30="",0,(IF(AND(CO$4&gt;='APA Inputs'!$C$30,CO$4&lt;EDATE('APA Inputs'!$C$30,N('APA Inputs'!$D$30))),'APA Inputs'!$J$30,0)+IF(N('APA Inputs'!$H$30)&gt;0,IF(CO$4=EDATE('APA Inputs'!$C$30,'APA Inputs'!$H$30-1),N('APA Inputs'!$G$30),0),0))*IF('APA Inputs'!$I$30="",1,'APA Inputs'!$I$30))</f>
        <v>0</v>
      </c>
      <c r="CP15" s="430" t="n">
        <f aca="false">IF('APA Inputs'!$C$30="",0,(IF(AND(CP$4&gt;='APA Inputs'!$C$30,CP$4&lt;EDATE('APA Inputs'!$C$30,N('APA Inputs'!$D$30))),'APA Inputs'!$J$30,0)+IF(N('APA Inputs'!$H$30)&gt;0,IF(CP$4=EDATE('APA Inputs'!$C$30,'APA Inputs'!$H$30-1),N('APA Inputs'!$G$30),0),0))*IF('APA Inputs'!$I$30="",1,'APA Inputs'!$I$30))</f>
        <v>0</v>
      </c>
      <c r="CQ15" s="430" t="n">
        <f aca="false">IF('APA Inputs'!$C$30="",0,(IF(AND(CQ$4&gt;='APA Inputs'!$C$30,CQ$4&lt;EDATE('APA Inputs'!$C$30,N('APA Inputs'!$D$30))),'APA Inputs'!$J$30,0)+IF(N('APA Inputs'!$H$30)&gt;0,IF(CQ$4=EDATE('APA Inputs'!$C$30,'APA Inputs'!$H$30-1),N('APA Inputs'!$G$30),0),0))*IF('APA Inputs'!$I$30="",1,'APA Inputs'!$I$30))</f>
        <v>0</v>
      </c>
      <c r="CR15" s="430" t="n">
        <f aca="false">IF('APA Inputs'!$C$30="",0,(IF(AND(CR$4&gt;='APA Inputs'!$C$30,CR$4&lt;EDATE('APA Inputs'!$C$30,N('APA Inputs'!$D$30))),'APA Inputs'!$J$30,0)+IF(N('APA Inputs'!$H$30)&gt;0,IF(CR$4=EDATE('APA Inputs'!$C$30,'APA Inputs'!$H$30-1),N('APA Inputs'!$G$30),0),0))*IF('APA Inputs'!$I$30="",1,'APA Inputs'!$I$30))</f>
        <v>0</v>
      </c>
      <c r="CS15" s="430" t="n">
        <f aca="false">IF('APA Inputs'!$C$30="",0,(IF(AND(CS$4&gt;='APA Inputs'!$C$30,CS$4&lt;EDATE('APA Inputs'!$C$30,N('APA Inputs'!$D$30))),'APA Inputs'!$J$30,0)+IF(N('APA Inputs'!$H$30)&gt;0,IF(CS$4=EDATE('APA Inputs'!$C$30,'APA Inputs'!$H$30-1),N('APA Inputs'!$G$30),0),0))*IF('APA Inputs'!$I$30="",1,'APA Inputs'!$I$30))</f>
        <v>0</v>
      </c>
      <c r="CT15" s="430" t="n">
        <f aca="false">IF('APA Inputs'!$C$30="",0,(IF(AND(CT$4&gt;='APA Inputs'!$C$30,CT$4&lt;EDATE('APA Inputs'!$C$30,N('APA Inputs'!$D$30))),'APA Inputs'!$J$30,0)+IF(N('APA Inputs'!$H$30)&gt;0,IF(CT$4=EDATE('APA Inputs'!$C$30,'APA Inputs'!$H$30-1),N('APA Inputs'!$G$30),0),0))*IF('APA Inputs'!$I$30="",1,'APA Inputs'!$I$30))</f>
        <v>0</v>
      </c>
      <c r="CU15" s="430" t="n">
        <f aca="false">IF('APA Inputs'!$C$30="",0,(IF(AND(CU$4&gt;='APA Inputs'!$C$30,CU$4&lt;EDATE('APA Inputs'!$C$30,N('APA Inputs'!$D$30))),'APA Inputs'!$J$30,0)+IF(N('APA Inputs'!$H$30)&gt;0,IF(CU$4=EDATE('APA Inputs'!$C$30,'APA Inputs'!$H$30-1),N('APA Inputs'!$G$30),0),0))*IF('APA Inputs'!$I$30="",1,'APA Inputs'!$I$30))</f>
        <v>0</v>
      </c>
      <c r="CV15" s="430" t="n">
        <f aca="false">IF('APA Inputs'!$C$30="",0,(IF(AND(CV$4&gt;='APA Inputs'!$C$30,CV$4&lt;EDATE('APA Inputs'!$C$30,N('APA Inputs'!$D$30))),'APA Inputs'!$J$30,0)+IF(N('APA Inputs'!$H$30)&gt;0,IF(CV$4=EDATE('APA Inputs'!$C$30,'APA Inputs'!$H$30-1),N('APA Inputs'!$G$30),0),0))*IF('APA Inputs'!$I$30="",1,'APA Inputs'!$I$30))</f>
        <v>0</v>
      </c>
      <c r="CW15" s="430" t="n">
        <f aca="false">IF('APA Inputs'!$C$30="",0,(IF(AND(CW$4&gt;='APA Inputs'!$C$30,CW$4&lt;EDATE('APA Inputs'!$C$30,N('APA Inputs'!$D$30))),'APA Inputs'!$J$30,0)+IF(N('APA Inputs'!$H$30)&gt;0,IF(CW$4=EDATE('APA Inputs'!$C$30,'APA Inputs'!$H$30-1),N('APA Inputs'!$G$30),0),0))*IF('APA Inputs'!$I$30="",1,'APA Inputs'!$I$30))</f>
        <v>0</v>
      </c>
      <c r="CX15" s="430" t="n">
        <f aca="false">IF('APA Inputs'!$C$30="",0,(IF(AND(CX$4&gt;='APA Inputs'!$C$30,CX$4&lt;EDATE('APA Inputs'!$C$30,N('APA Inputs'!$D$30))),'APA Inputs'!$J$30,0)+IF(N('APA Inputs'!$H$30)&gt;0,IF(CX$4=EDATE('APA Inputs'!$C$30,'APA Inputs'!$H$30-1),N('APA Inputs'!$G$30),0),0))*IF('APA Inputs'!$I$30="",1,'APA Inputs'!$I$30))</f>
        <v>0</v>
      </c>
      <c r="CY15" s="430" t="n">
        <f aca="false">IF('APA Inputs'!$C$30="",0,(IF(AND(CY$4&gt;='APA Inputs'!$C$30,CY$4&lt;EDATE('APA Inputs'!$C$30,N('APA Inputs'!$D$30))),'APA Inputs'!$J$30,0)+IF(N('APA Inputs'!$H$30)&gt;0,IF(CY$4=EDATE('APA Inputs'!$C$30,'APA Inputs'!$H$30-1),N('APA Inputs'!$G$30),0),0))*IF('APA Inputs'!$I$30="",1,'APA Inputs'!$I$30))</f>
        <v>0</v>
      </c>
      <c r="CZ15" s="430" t="n">
        <f aca="false">IF('APA Inputs'!$C$30="",0,(IF(AND(CZ$4&gt;='APA Inputs'!$C$30,CZ$4&lt;EDATE('APA Inputs'!$C$30,N('APA Inputs'!$D$30))),'APA Inputs'!$J$30,0)+IF(N('APA Inputs'!$H$30)&gt;0,IF(CZ$4=EDATE('APA Inputs'!$C$30,'APA Inputs'!$H$30-1),N('APA Inputs'!$G$30),0),0))*IF('APA Inputs'!$I$30="",1,'APA Inputs'!$I$30))</f>
        <v>0</v>
      </c>
      <c r="DA15" s="430" t="n">
        <f aca="false">IF('APA Inputs'!$C$30="",0,(IF(AND(DA$4&gt;='APA Inputs'!$C$30,DA$4&lt;EDATE('APA Inputs'!$C$30,N('APA Inputs'!$D$30))),'APA Inputs'!$J$30,0)+IF(N('APA Inputs'!$H$30)&gt;0,IF(DA$4=EDATE('APA Inputs'!$C$30,'APA Inputs'!$H$30-1),N('APA Inputs'!$G$30),0),0))*IF('APA Inputs'!$I$30="",1,'APA Inputs'!$I$30))</f>
        <v>0</v>
      </c>
      <c r="DB15" s="430" t="n">
        <f aca="false">IF('APA Inputs'!$C$30="",0,(IF(AND(DB$4&gt;='APA Inputs'!$C$30,DB$4&lt;EDATE('APA Inputs'!$C$30,N('APA Inputs'!$D$30))),'APA Inputs'!$J$30,0)+IF(N('APA Inputs'!$H$30)&gt;0,IF(DB$4=EDATE('APA Inputs'!$C$30,'APA Inputs'!$H$30-1),N('APA Inputs'!$G$30),0),0))*IF('APA Inputs'!$I$30="",1,'APA Inputs'!$I$30))</f>
        <v>0</v>
      </c>
      <c r="DC15" s="430" t="n">
        <f aca="false">IF('APA Inputs'!$C$30="",0,(IF(AND(DC$4&gt;='APA Inputs'!$C$30,DC$4&lt;EDATE('APA Inputs'!$C$30,N('APA Inputs'!$D$30))),'APA Inputs'!$J$30,0)+IF(N('APA Inputs'!$H$30)&gt;0,IF(DC$4=EDATE('APA Inputs'!$C$30,'APA Inputs'!$H$30-1),N('APA Inputs'!$G$30),0),0))*IF('APA Inputs'!$I$30="",1,'APA Inputs'!$I$30))</f>
        <v>0</v>
      </c>
      <c r="DD15" s="430" t="n">
        <f aca="false">IF('APA Inputs'!$C$30="",0,(IF(AND(DD$4&gt;='APA Inputs'!$C$30,DD$4&lt;EDATE('APA Inputs'!$C$30,N('APA Inputs'!$D$30))),'APA Inputs'!$J$30,0)+IF(N('APA Inputs'!$H$30)&gt;0,IF(DD$4=EDATE('APA Inputs'!$C$30,'APA Inputs'!$H$30-1),N('APA Inputs'!$G$30),0),0))*IF('APA Inputs'!$I$30="",1,'APA Inputs'!$I$30))</f>
        <v>0</v>
      </c>
      <c r="DE15" s="430"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30" t="n">
        <f aca="false">IF('APA Inputs'!$C$31="",0,(IF(AND(B$4&gt;='APA Inputs'!$C$31,B$4&lt;EDATE('APA Inputs'!$C$31,N('APA Inputs'!$D$31))),'APA Inputs'!$J$31,0)+IF(N('APA Inputs'!$H$31)&gt;0,IF(B$4=EDATE('APA Inputs'!$C$31,'APA Inputs'!$H$31-1),N('APA Inputs'!$G$31),0),0))*IF('APA Inputs'!$I$31="",1,'APA Inputs'!$I$31))</f>
        <v>0</v>
      </c>
      <c r="C16" s="430" t="n">
        <f aca="false">IF('APA Inputs'!$C$31="",0,(IF(AND(C$4&gt;='APA Inputs'!$C$31,C$4&lt;EDATE('APA Inputs'!$C$31,N('APA Inputs'!$D$31))),'APA Inputs'!$J$31,0)+IF(N('APA Inputs'!$H$31)&gt;0,IF(C$4=EDATE('APA Inputs'!$C$31,'APA Inputs'!$H$31-1),N('APA Inputs'!$G$31),0),0))*IF('APA Inputs'!$I$31="",1,'APA Inputs'!$I$31))</f>
        <v>0</v>
      </c>
      <c r="D16" s="430" t="n">
        <f aca="false">IF('APA Inputs'!$C$31="",0,(IF(AND(D$4&gt;='APA Inputs'!$C$31,D$4&lt;EDATE('APA Inputs'!$C$31,N('APA Inputs'!$D$31))),'APA Inputs'!$J$31,0)+IF(N('APA Inputs'!$H$31)&gt;0,IF(D$4=EDATE('APA Inputs'!$C$31,'APA Inputs'!$H$31-1),N('APA Inputs'!$G$31),0),0))*IF('APA Inputs'!$I$31="",1,'APA Inputs'!$I$31))</f>
        <v>0</v>
      </c>
      <c r="E16" s="430" t="n">
        <f aca="false">IF('APA Inputs'!$C$31="",0,(IF(AND(E$4&gt;='APA Inputs'!$C$31,E$4&lt;EDATE('APA Inputs'!$C$31,N('APA Inputs'!$D$31))),'APA Inputs'!$J$31,0)+IF(N('APA Inputs'!$H$31)&gt;0,IF(E$4=EDATE('APA Inputs'!$C$31,'APA Inputs'!$H$31-1),N('APA Inputs'!$G$31),0),0))*IF('APA Inputs'!$I$31="",1,'APA Inputs'!$I$31))</f>
        <v>0</v>
      </c>
      <c r="F16" s="430" t="n">
        <f aca="false">IF('APA Inputs'!$C$31="",0,(IF(AND(F$4&gt;='APA Inputs'!$C$31,F$4&lt;EDATE('APA Inputs'!$C$31,N('APA Inputs'!$D$31))),'APA Inputs'!$J$31,0)+IF(N('APA Inputs'!$H$31)&gt;0,IF(F$4=EDATE('APA Inputs'!$C$31,'APA Inputs'!$H$31-1),N('APA Inputs'!$G$31),0),0))*IF('APA Inputs'!$I$31="",1,'APA Inputs'!$I$31))</f>
        <v>0</v>
      </c>
      <c r="G16" s="430" t="n">
        <f aca="false">IF('APA Inputs'!$C$31="",0,(IF(AND(G$4&gt;='APA Inputs'!$C$31,G$4&lt;EDATE('APA Inputs'!$C$31,N('APA Inputs'!$D$31))),'APA Inputs'!$J$31,0)+IF(N('APA Inputs'!$H$31)&gt;0,IF(G$4=EDATE('APA Inputs'!$C$31,'APA Inputs'!$H$31-1),N('APA Inputs'!$G$31),0),0))*IF('APA Inputs'!$I$31="",1,'APA Inputs'!$I$31))</f>
        <v>0</v>
      </c>
      <c r="H16" s="430" t="n">
        <f aca="false">IF('APA Inputs'!$C$31="",0,(IF(AND(H$4&gt;='APA Inputs'!$C$31,H$4&lt;EDATE('APA Inputs'!$C$31,N('APA Inputs'!$D$31))),'APA Inputs'!$J$31,0)+IF(N('APA Inputs'!$H$31)&gt;0,IF(H$4=EDATE('APA Inputs'!$C$31,'APA Inputs'!$H$31-1),N('APA Inputs'!$G$31),0),0))*IF('APA Inputs'!$I$31="",1,'APA Inputs'!$I$31))</f>
        <v>0</v>
      </c>
      <c r="I16" s="430" t="n">
        <f aca="false">IF('APA Inputs'!$C$31="",0,(IF(AND(I$4&gt;='APA Inputs'!$C$31,I$4&lt;EDATE('APA Inputs'!$C$31,N('APA Inputs'!$D$31))),'APA Inputs'!$J$31,0)+IF(N('APA Inputs'!$H$31)&gt;0,IF(I$4=EDATE('APA Inputs'!$C$31,'APA Inputs'!$H$31-1),N('APA Inputs'!$G$31),0),0))*IF('APA Inputs'!$I$31="",1,'APA Inputs'!$I$31))</f>
        <v>0</v>
      </c>
      <c r="J16" s="430" t="n">
        <f aca="false">IF('APA Inputs'!$C$31="",0,(IF(AND(J$4&gt;='APA Inputs'!$C$31,J$4&lt;EDATE('APA Inputs'!$C$31,N('APA Inputs'!$D$31))),'APA Inputs'!$J$31,0)+IF(N('APA Inputs'!$H$31)&gt;0,IF(J$4=EDATE('APA Inputs'!$C$31,'APA Inputs'!$H$31-1),N('APA Inputs'!$G$31),0),0))*IF('APA Inputs'!$I$31="",1,'APA Inputs'!$I$31))</f>
        <v>0</v>
      </c>
      <c r="K16" s="430" t="n">
        <f aca="false">IF('APA Inputs'!$C$31="",0,(IF(AND(K$4&gt;='APA Inputs'!$C$31,K$4&lt;EDATE('APA Inputs'!$C$31,N('APA Inputs'!$D$31))),'APA Inputs'!$J$31,0)+IF(N('APA Inputs'!$H$31)&gt;0,IF(K$4=EDATE('APA Inputs'!$C$31,'APA Inputs'!$H$31-1),N('APA Inputs'!$G$31),0),0))*IF('APA Inputs'!$I$31="",1,'APA Inputs'!$I$31))</f>
        <v>0</v>
      </c>
      <c r="L16" s="430" t="n">
        <f aca="false">IF('APA Inputs'!$C$31="",0,(IF(AND(L$4&gt;='APA Inputs'!$C$31,L$4&lt;EDATE('APA Inputs'!$C$31,N('APA Inputs'!$D$31))),'APA Inputs'!$J$31,0)+IF(N('APA Inputs'!$H$31)&gt;0,IF(L$4=EDATE('APA Inputs'!$C$31,'APA Inputs'!$H$31-1),N('APA Inputs'!$G$31),0),0))*IF('APA Inputs'!$I$31="",1,'APA Inputs'!$I$31))</f>
        <v>0</v>
      </c>
      <c r="M16" s="430" t="n">
        <f aca="false">IF('APA Inputs'!$C$31="",0,(IF(AND(M$4&gt;='APA Inputs'!$C$31,M$4&lt;EDATE('APA Inputs'!$C$31,N('APA Inputs'!$D$31))),'APA Inputs'!$J$31,0)+IF(N('APA Inputs'!$H$31)&gt;0,IF(M$4=EDATE('APA Inputs'!$C$31,'APA Inputs'!$H$31-1),N('APA Inputs'!$G$31),0),0))*IF('APA Inputs'!$I$31="",1,'APA Inputs'!$I$31))</f>
        <v>0</v>
      </c>
      <c r="N16" s="430" t="n">
        <f aca="false">IF('APA Inputs'!$C$31="",0,(IF(AND(N$4&gt;='APA Inputs'!$C$31,N$4&lt;EDATE('APA Inputs'!$C$31,N('APA Inputs'!$D$31))),'APA Inputs'!$J$31,0)+IF(N('APA Inputs'!$H$31)&gt;0,IF(N$4=EDATE('APA Inputs'!$C$31,'APA Inputs'!$H$31-1),N('APA Inputs'!$G$31),0),0))*IF('APA Inputs'!$I$31="",1,'APA Inputs'!$I$31))</f>
        <v>0</v>
      </c>
      <c r="O16" s="430" t="n">
        <f aca="false">IF('APA Inputs'!$C$31="",0,(IF(AND(O$4&gt;='APA Inputs'!$C$31,O$4&lt;EDATE('APA Inputs'!$C$31,N('APA Inputs'!$D$31))),'APA Inputs'!$J$31,0)+IF(N('APA Inputs'!$H$31)&gt;0,IF(O$4=EDATE('APA Inputs'!$C$31,'APA Inputs'!$H$31-1),N('APA Inputs'!$G$31),0),0))*IF('APA Inputs'!$I$31="",1,'APA Inputs'!$I$31))</f>
        <v>0</v>
      </c>
      <c r="P16" s="430" t="n">
        <f aca="false">IF('APA Inputs'!$C$31="",0,(IF(AND(P$4&gt;='APA Inputs'!$C$31,P$4&lt;EDATE('APA Inputs'!$C$31,N('APA Inputs'!$D$31))),'APA Inputs'!$J$31,0)+IF(N('APA Inputs'!$H$31)&gt;0,IF(P$4=EDATE('APA Inputs'!$C$31,'APA Inputs'!$H$31-1),N('APA Inputs'!$G$31),0),0))*IF('APA Inputs'!$I$31="",1,'APA Inputs'!$I$31))</f>
        <v>0</v>
      </c>
      <c r="Q16" s="430" t="n">
        <f aca="false">IF('APA Inputs'!$C$31="",0,(IF(AND(Q$4&gt;='APA Inputs'!$C$31,Q$4&lt;EDATE('APA Inputs'!$C$31,N('APA Inputs'!$D$31))),'APA Inputs'!$J$31,0)+IF(N('APA Inputs'!$H$31)&gt;0,IF(Q$4=EDATE('APA Inputs'!$C$31,'APA Inputs'!$H$31-1),N('APA Inputs'!$G$31),0),0))*IF('APA Inputs'!$I$31="",1,'APA Inputs'!$I$31))</f>
        <v>0</v>
      </c>
      <c r="R16" s="430" t="n">
        <f aca="false">IF('APA Inputs'!$C$31="",0,(IF(AND(R$4&gt;='APA Inputs'!$C$31,R$4&lt;EDATE('APA Inputs'!$C$31,N('APA Inputs'!$D$31))),'APA Inputs'!$J$31,0)+IF(N('APA Inputs'!$H$31)&gt;0,IF(R$4=EDATE('APA Inputs'!$C$31,'APA Inputs'!$H$31-1),N('APA Inputs'!$G$31),0),0))*IF('APA Inputs'!$I$31="",1,'APA Inputs'!$I$31))</f>
        <v>0</v>
      </c>
      <c r="S16" s="430" t="n">
        <f aca="false">IF('APA Inputs'!$C$31="",0,(IF(AND(S$4&gt;='APA Inputs'!$C$31,S$4&lt;EDATE('APA Inputs'!$C$31,N('APA Inputs'!$D$31))),'APA Inputs'!$J$31,0)+IF(N('APA Inputs'!$H$31)&gt;0,IF(S$4=EDATE('APA Inputs'!$C$31,'APA Inputs'!$H$31-1),N('APA Inputs'!$G$31),0),0))*IF('APA Inputs'!$I$31="",1,'APA Inputs'!$I$31))</f>
        <v>0</v>
      </c>
      <c r="T16" s="430" t="n">
        <f aca="false">IF('APA Inputs'!$C$31="",0,(IF(AND(T$4&gt;='APA Inputs'!$C$31,T$4&lt;EDATE('APA Inputs'!$C$31,N('APA Inputs'!$D$31))),'APA Inputs'!$J$31,0)+IF(N('APA Inputs'!$H$31)&gt;0,IF(T$4=EDATE('APA Inputs'!$C$31,'APA Inputs'!$H$31-1),N('APA Inputs'!$G$31),0),0))*IF('APA Inputs'!$I$31="",1,'APA Inputs'!$I$31))</f>
        <v>0</v>
      </c>
      <c r="U16" s="430" t="n">
        <f aca="false">IF('APA Inputs'!$C$31="",0,(IF(AND(U$4&gt;='APA Inputs'!$C$31,U$4&lt;EDATE('APA Inputs'!$C$31,N('APA Inputs'!$D$31))),'APA Inputs'!$J$31,0)+IF(N('APA Inputs'!$H$31)&gt;0,IF(U$4=EDATE('APA Inputs'!$C$31,'APA Inputs'!$H$31-1),N('APA Inputs'!$G$31),0),0))*IF('APA Inputs'!$I$31="",1,'APA Inputs'!$I$31))</f>
        <v>0</v>
      </c>
      <c r="V16" s="430" t="n">
        <f aca="false">IF('APA Inputs'!$C$31="",0,(IF(AND(V$4&gt;='APA Inputs'!$C$31,V$4&lt;EDATE('APA Inputs'!$C$31,N('APA Inputs'!$D$31))),'APA Inputs'!$J$31,0)+IF(N('APA Inputs'!$H$31)&gt;0,IF(V$4=EDATE('APA Inputs'!$C$31,'APA Inputs'!$H$31-1),N('APA Inputs'!$G$31),0),0))*IF('APA Inputs'!$I$31="",1,'APA Inputs'!$I$31))</f>
        <v>0</v>
      </c>
      <c r="W16" s="430" t="n">
        <f aca="false">IF('APA Inputs'!$C$31="",0,(IF(AND(W$4&gt;='APA Inputs'!$C$31,W$4&lt;EDATE('APA Inputs'!$C$31,N('APA Inputs'!$D$31))),'APA Inputs'!$J$31,0)+IF(N('APA Inputs'!$H$31)&gt;0,IF(W$4=EDATE('APA Inputs'!$C$31,'APA Inputs'!$H$31-1),N('APA Inputs'!$G$31),0),0))*IF('APA Inputs'!$I$31="",1,'APA Inputs'!$I$31))</f>
        <v>0</v>
      </c>
      <c r="X16" s="430" t="n">
        <f aca="false">IF('APA Inputs'!$C$31="",0,(IF(AND(X$4&gt;='APA Inputs'!$C$31,X$4&lt;EDATE('APA Inputs'!$C$31,N('APA Inputs'!$D$31))),'APA Inputs'!$J$31,0)+IF(N('APA Inputs'!$H$31)&gt;0,IF(X$4=EDATE('APA Inputs'!$C$31,'APA Inputs'!$H$31-1),N('APA Inputs'!$G$31),0),0))*IF('APA Inputs'!$I$31="",1,'APA Inputs'!$I$31))</f>
        <v>0</v>
      </c>
      <c r="Y16" s="430" t="n">
        <f aca="false">IF('APA Inputs'!$C$31="",0,(IF(AND(Y$4&gt;='APA Inputs'!$C$31,Y$4&lt;EDATE('APA Inputs'!$C$31,N('APA Inputs'!$D$31))),'APA Inputs'!$J$31,0)+IF(N('APA Inputs'!$H$31)&gt;0,IF(Y$4=EDATE('APA Inputs'!$C$31,'APA Inputs'!$H$31-1),N('APA Inputs'!$G$31),0),0))*IF('APA Inputs'!$I$31="",1,'APA Inputs'!$I$31))</f>
        <v>0</v>
      </c>
      <c r="Z16" s="430" t="n">
        <f aca="false">IF('APA Inputs'!$C$31="",0,(IF(AND(Z$4&gt;='APA Inputs'!$C$31,Z$4&lt;EDATE('APA Inputs'!$C$31,N('APA Inputs'!$D$31))),'APA Inputs'!$J$31,0)+IF(N('APA Inputs'!$H$31)&gt;0,IF(Z$4=EDATE('APA Inputs'!$C$31,'APA Inputs'!$H$31-1),N('APA Inputs'!$G$31),0),0))*IF('APA Inputs'!$I$31="",1,'APA Inputs'!$I$31))</f>
        <v>0</v>
      </c>
      <c r="AA16" s="430" t="n">
        <f aca="false">IF('APA Inputs'!$C$31="",0,(IF(AND(AA$4&gt;='APA Inputs'!$C$31,AA$4&lt;EDATE('APA Inputs'!$C$31,N('APA Inputs'!$D$31))),'APA Inputs'!$J$31,0)+IF(N('APA Inputs'!$H$31)&gt;0,IF(AA$4=EDATE('APA Inputs'!$C$31,'APA Inputs'!$H$31-1),N('APA Inputs'!$G$31),0),0))*IF('APA Inputs'!$I$31="",1,'APA Inputs'!$I$31))</f>
        <v>0</v>
      </c>
      <c r="AB16" s="430" t="n">
        <f aca="false">IF('APA Inputs'!$C$31="",0,(IF(AND(AB$4&gt;='APA Inputs'!$C$31,AB$4&lt;EDATE('APA Inputs'!$C$31,N('APA Inputs'!$D$31))),'APA Inputs'!$J$31,0)+IF(N('APA Inputs'!$H$31)&gt;0,IF(AB$4=EDATE('APA Inputs'!$C$31,'APA Inputs'!$H$31-1),N('APA Inputs'!$G$31),0),0))*IF('APA Inputs'!$I$31="",1,'APA Inputs'!$I$31))</f>
        <v>0</v>
      </c>
      <c r="AC16" s="430" t="n">
        <f aca="false">IF('APA Inputs'!$C$31="",0,(IF(AND(AC$4&gt;='APA Inputs'!$C$31,AC$4&lt;EDATE('APA Inputs'!$C$31,N('APA Inputs'!$D$31))),'APA Inputs'!$J$31,0)+IF(N('APA Inputs'!$H$31)&gt;0,IF(AC$4=EDATE('APA Inputs'!$C$31,'APA Inputs'!$H$31-1),N('APA Inputs'!$G$31),0),0))*IF('APA Inputs'!$I$31="",1,'APA Inputs'!$I$31))</f>
        <v>0</v>
      </c>
      <c r="AD16" s="430" t="n">
        <f aca="false">IF('APA Inputs'!$C$31="",0,(IF(AND(AD$4&gt;='APA Inputs'!$C$31,AD$4&lt;EDATE('APA Inputs'!$C$31,N('APA Inputs'!$D$31))),'APA Inputs'!$J$31,0)+IF(N('APA Inputs'!$H$31)&gt;0,IF(AD$4=EDATE('APA Inputs'!$C$31,'APA Inputs'!$H$31-1),N('APA Inputs'!$G$31),0),0))*IF('APA Inputs'!$I$31="",1,'APA Inputs'!$I$31))</f>
        <v>0</v>
      </c>
      <c r="AE16" s="430" t="n">
        <f aca="false">IF('APA Inputs'!$C$31="",0,(IF(AND(AE$4&gt;='APA Inputs'!$C$31,AE$4&lt;EDATE('APA Inputs'!$C$31,N('APA Inputs'!$D$31))),'APA Inputs'!$J$31,0)+IF(N('APA Inputs'!$H$31)&gt;0,IF(AE$4=EDATE('APA Inputs'!$C$31,'APA Inputs'!$H$31-1),N('APA Inputs'!$G$31),0),0))*IF('APA Inputs'!$I$31="",1,'APA Inputs'!$I$31))</f>
        <v>0</v>
      </c>
      <c r="AF16" s="430" t="n">
        <f aca="false">IF('APA Inputs'!$C$31="",0,(IF(AND(AF$4&gt;='APA Inputs'!$C$31,AF$4&lt;EDATE('APA Inputs'!$C$31,N('APA Inputs'!$D$31))),'APA Inputs'!$J$31,0)+IF(N('APA Inputs'!$H$31)&gt;0,IF(AF$4=EDATE('APA Inputs'!$C$31,'APA Inputs'!$H$31-1),N('APA Inputs'!$G$31),0),0))*IF('APA Inputs'!$I$31="",1,'APA Inputs'!$I$31))</f>
        <v>0</v>
      </c>
      <c r="AG16" s="430" t="n">
        <f aca="false">IF('APA Inputs'!$C$31="",0,(IF(AND(AG$4&gt;='APA Inputs'!$C$31,AG$4&lt;EDATE('APA Inputs'!$C$31,N('APA Inputs'!$D$31))),'APA Inputs'!$J$31,0)+IF(N('APA Inputs'!$H$31)&gt;0,IF(AG$4=EDATE('APA Inputs'!$C$31,'APA Inputs'!$H$31-1),N('APA Inputs'!$G$31),0),0))*IF('APA Inputs'!$I$31="",1,'APA Inputs'!$I$31))</f>
        <v>0</v>
      </c>
      <c r="AH16" s="430" t="n">
        <f aca="false">IF('APA Inputs'!$C$31="",0,(IF(AND(AH$4&gt;='APA Inputs'!$C$31,AH$4&lt;EDATE('APA Inputs'!$C$31,N('APA Inputs'!$D$31))),'APA Inputs'!$J$31,0)+IF(N('APA Inputs'!$H$31)&gt;0,IF(AH$4=EDATE('APA Inputs'!$C$31,'APA Inputs'!$H$31-1),N('APA Inputs'!$G$31),0),0))*IF('APA Inputs'!$I$31="",1,'APA Inputs'!$I$31))</f>
        <v>0</v>
      </c>
      <c r="AI16" s="430" t="n">
        <f aca="false">IF('APA Inputs'!$C$31="",0,(IF(AND(AI$4&gt;='APA Inputs'!$C$31,AI$4&lt;EDATE('APA Inputs'!$C$31,N('APA Inputs'!$D$31))),'APA Inputs'!$J$31,0)+IF(N('APA Inputs'!$H$31)&gt;0,IF(AI$4=EDATE('APA Inputs'!$C$31,'APA Inputs'!$H$31-1),N('APA Inputs'!$G$31),0),0))*IF('APA Inputs'!$I$31="",1,'APA Inputs'!$I$31))</f>
        <v>0</v>
      </c>
      <c r="AJ16" s="430" t="n">
        <f aca="false">IF('APA Inputs'!$C$31="",0,(IF(AND(AJ$4&gt;='APA Inputs'!$C$31,AJ$4&lt;EDATE('APA Inputs'!$C$31,N('APA Inputs'!$D$31))),'APA Inputs'!$J$31,0)+IF(N('APA Inputs'!$H$31)&gt;0,IF(AJ$4=EDATE('APA Inputs'!$C$31,'APA Inputs'!$H$31-1),N('APA Inputs'!$G$31),0),0))*IF('APA Inputs'!$I$31="",1,'APA Inputs'!$I$31))</f>
        <v>0</v>
      </c>
      <c r="AK16" s="430" t="n">
        <f aca="false">IF('APA Inputs'!$C$31="",0,(IF(AND(AK$4&gt;='APA Inputs'!$C$31,AK$4&lt;EDATE('APA Inputs'!$C$31,N('APA Inputs'!$D$31))),'APA Inputs'!$J$31,0)+IF(N('APA Inputs'!$H$31)&gt;0,IF(AK$4=EDATE('APA Inputs'!$C$31,'APA Inputs'!$H$31-1),N('APA Inputs'!$G$31),0),0))*IF('APA Inputs'!$I$31="",1,'APA Inputs'!$I$31))</f>
        <v>0</v>
      </c>
      <c r="AL16" s="430" t="n">
        <f aca="false">IF('APA Inputs'!$C$31="",0,(IF(AND(AL$4&gt;='APA Inputs'!$C$31,AL$4&lt;EDATE('APA Inputs'!$C$31,N('APA Inputs'!$D$31))),'APA Inputs'!$J$31,0)+IF(N('APA Inputs'!$H$31)&gt;0,IF(AL$4=EDATE('APA Inputs'!$C$31,'APA Inputs'!$H$31-1),N('APA Inputs'!$G$31),0),0))*IF('APA Inputs'!$I$31="",1,'APA Inputs'!$I$31))</f>
        <v>0</v>
      </c>
      <c r="AM16" s="430" t="n">
        <f aca="false">IF('APA Inputs'!$C$31="",0,(IF(AND(AM$4&gt;='APA Inputs'!$C$31,AM$4&lt;EDATE('APA Inputs'!$C$31,N('APA Inputs'!$D$31))),'APA Inputs'!$J$31,0)+IF(N('APA Inputs'!$H$31)&gt;0,IF(AM$4=EDATE('APA Inputs'!$C$31,'APA Inputs'!$H$31-1),N('APA Inputs'!$G$31),0),0))*IF('APA Inputs'!$I$31="",1,'APA Inputs'!$I$31))</f>
        <v>0</v>
      </c>
      <c r="AN16" s="430" t="n">
        <f aca="false">IF('APA Inputs'!$C$31="",0,(IF(AND(AN$4&gt;='APA Inputs'!$C$31,AN$4&lt;EDATE('APA Inputs'!$C$31,N('APA Inputs'!$D$31))),'APA Inputs'!$J$31,0)+IF(N('APA Inputs'!$H$31)&gt;0,IF(AN$4=EDATE('APA Inputs'!$C$31,'APA Inputs'!$H$31-1),N('APA Inputs'!$G$31),0),0))*IF('APA Inputs'!$I$31="",1,'APA Inputs'!$I$31))</f>
        <v>0</v>
      </c>
      <c r="AO16" s="430" t="n">
        <f aca="false">IF('APA Inputs'!$C$31="",0,(IF(AND(AO$4&gt;='APA Inputs'!$C$31,AO$4&lt;EDATE('APA Inputs'!$C$31,N('APA Inputs'!$D$31))),'APA Inputs'!$J$31,0)+IF(N('APA Inputs'!$H$31)&gt;0,IF(AO$4=EDATE('APA Inputs'!$C$31,'APA Inputs'!$H$31-1),N('APA Inputs'!$G$31),0),0))*IF('APA Inputs'!$I$31="",1,'APA Inputs'!$I$31))</f>
        <v>0</v>
      </c>
      <c r="AP16" s="430" t="n">
        <f aca="false">IF('APA Inputs'!$C$31="",0,(IF(AND(AP$4&gt;='APA Inputs'!$C$31,AP$4&lt;EDATE('APA Inputs'!$C$31,N('APA Inputs'!$D$31))),'APA Inputs'!$J$31,0)+IF(N('APA Inputs'!$H$31)&gt;0,IF(AP$4=EDATE('APA Inputs'!$C$31,'APA Inputs'!$H$31-1),N('APA Inputs'!$G$31),0),0))*IF('APA Inputs'!$I$31="",1,'APA Inputs'!$I$31))</f>
        <v>0</v>
      </c>
      <c r="AQ16" s="430" t="n">
        <f aca="false">IF('APA Inputs'!$C$31="",0,(IF(AND(AQ$4&gt;='APA Inputs'!$C$31,AQ$4&lt;EDATE('APA Inputs'!$C$31,N('APA Inputs'!$D$31))),'APA Inputs'!$J$31,0)+IF(N('APA Inputs'!$H$31)&gt;0,IF(AQ$4=EDATE('APA Inputs'!$C$31,'APA Inputs'!$H$31-1),N('APA Inputs'!$G$31),0),0))*IF('APA Inputs'!$I$31="",1,'APA Inputs'!$I$31))</f>
        <v>0</v>
      </c>
      <c r="AR16" s="430" t="n">
        <f aca="false">IF('APA Inputs'!$C$31="",0,(IF(AND(AR$4&gt;='APA Inputs'!$C$31,AR$4&lt;EDATE('APA Inputs'!$C$31,N('APA Inputs'!$D$31))),'APA Inputs'!$J$31,0)+IF(N('APA Inputs'!$H$31)&gt;0,IF(AR$4=EDATE('APA Inputs'!$C$31,'APA Inputs'!$H$31-1),N('APA Inputs'!$G$31),0),0))*IF('APA Inputs'!$I$31="",1,'APA Inputs'!$I$31))</f>
        <v>0</v>
      </c>
      <c r="AS16" s="430" t="n">
        <f aca="false">IF('APA Inputs'!$C$31="",0,(IF(AND(AS$4&gt;='APA Inputs'!$C$31,AS$4&lt;EDATE('APA Inputs'!$C$31,N('APA Inputs'!$D$31))),'APA Inputs'!$J$31,0)+IF(N('APA Inputs'!$H$31)&gt;0,IF(AS$4=EDATE('APA Inputs'!$C$31,'APA Inputs'!$H$31-1),N('APA Inputs'!$G$31),0),0))*IF('APA Inputs'!$I$31="",1,'APA Inputs'!$I$31))</f>
        <v>0</v>
      </c>
      <c r="AT16" s="430" t="n">
        <f aca="false">IF('APA Inputs'!$C$31="",0,(IF(AND(AT$4&gt;='APA Inputs'!$C$31,AT$4&lt;EDATE('APA Inputs'!$C$31,N('APA Inputs'!$D$31))),'APA Inputs'!$J$31,0)+IF(N('APA Inputs'!$H$31)&gt;0,IF(AT$4=EDATE('APA Inputs'!$C$31,'APA Inputs'!$H$31-1),N('APA Inputs'!$G$31),0),0))*IF('APA Inputs'!$I$31="",1,'APA Inputs'!$I$31))</f>
        <v>0</v>
      </c>
      <c r="AU16" s="430" t="n">
        <f aca="false">IF('APA Inputs'!$C$31="",0,(IF(AND(AU$4&gt;='APA Inputs'!$C$31,AU$4&lt;EDATE('APA Inputs'!$C$31,N('APA Inputs'!$D$31))),'APA Inputs'!$J$31,0)+IF(N('APA Inputs'!$H$31)&gt;0,IF(AU$4=EDATE('APA Inputs'!$C$31,'APA Inputs'!$H$31-1),N('APA Inputs'!$G$31),0),0))*IF('APA Inputs'!$I$31="",1,'APA Inputs'!$I$31))</f>
        <v>0</v>
      </c>
      <c r="AV16" s="430" t="n">
        <f aca="false">IF('APA Inputs'!$C$31="",0,(IF(AND(AV$4&gt;='APA Inputs'!$C$31,AV$4&lt;EDATE('APA Inputs'!$C$31,N('APA Inputs'!$D$31))),'APA Inputs'!$J$31,0)+IF(N('APA Inputs'!$H$31)&gt;0,IF(AV$4=EDATE('APA Inputs'!$C$31,'APA Inputs'!$H$31-1),N('APA Inputs'!$G$31),0),0))*IF('APA Inputs'!$I$31="",1,'APA Inputs'!$I$31))</f>
        <v>0</v>
      </c>
      <c r="AW16" s="430" t="n">
        <f aca="false">IF('APA Inputs'!$C$31="",0,(IF(AND(AW$4&gt;='APA Inputs'!$C$31,AW$4&lt;EDATE('APA Inputs'!$C$31,N('APA Inputs'!$D$31))),'APA Inputs'!$J$31,0)+IF(N('APA Inputs'!$H$31)&gt;0,IF(AW$4=EDATE('APA Inputs'!$C$31,'APA Inputs'!$H$31-1),N('APA Inputs'!$G$31),0),0))*IF('APA Inputs'!$I$31="",1,'APA Inputs'!$I$31))</f>
        <v>0</v>
      </c>
      <c r="AX16" s="430" t="n">
        <f aca="false">IF('APA Inputs'!$C$31="",0,(IF(AND(AX$4&gt;='APA Inputs'!$C$31,AX$4&lt;EDATE('APA Inputs'!$C$31,N('APA Inputs'!$D$31))),'APA Inputs'!$J$31,0)+IF(N('APA Inputs'!$H$31)&gt;0,IF(AX$4=EDATE('APA Inputs'!$C$31,'APA Inputs'!$H$31-1),N('APA Inputs'!$G$31),0),0))*IF('APA Inputs'!$I$31="",1,'APA Inputs'!$I$31))</f>
        <v>0</v>
      </c>
      <c r="AY16" s="430" t="n">
        <f aca="false">IF('APA Inputs'!$C$31="",0,(IF(AND(AY$4&gt;='APA Inputs'!$C$31,AY$4&lt;EDATE('APA Inputs'!$C$31,N('APA Inputs'!$D$31))),'APA Inputs'!$J$31,0)+IF(N('APA Inputs'!$H$31)&gt;0,IF(AY$4=EDATE('APA Inputs'!$C$31,'APA Inputs'!$H$31-1),N('APA Inputs'!$G$31),0),0))*IF('APA Inputs'!$I$31="",1,'APA Inputs'!$I$31))</f>
        <v>0</v>
      </c>
      <c r="AZ16" s="430" t="n">
        <f aca="false">IF('APA Inputs'!$C$31="",0,(IF(AND(AZ$4&gt;='APA Inputs'!$C$31,AZ$4&lt;EDATE('APA Inputs'!$C$31,N('APA Inputs'!$D$31))),'APA Inputs'!$J$31,0)+IF(N('APA Inputs'!$H$31)&gt;0,IF(AZ$4=EDATE('APA Inputs'!$C$31,'APA Inputs'!$H$31-1),N('APA Inputs'!$G$31),0),0))*IF('APA Inputs'!$I$31="",1,'APA Inputs'!$I$31))</f>
        <v>0</v>
      </c>
      <c r="BA16" s="430" t="n">
        <f aca="false">IF('APA Inputs'!$C$31="",0,(IF(AND(BA$4&gt;='APA Inputs'!$C$31,BA$4&lt;EDATE('APA Inputs'!$C$31,N('APA Inputs'!$D$31))),'APA Inputs'!$J$31,0)+IF(N('APA Inputs'!$H$31)&gt;0,IF(BA$4=EDATE('APA Inputs'!$C$31,'APA Inputs'!$H$31-1),N('APA Inputs'!$G$31),0),0))*IF('APA Inputs'!$I$31="",1,'APA Inputs'!$I$31))</f>
        <v>0</v>
      </c>
      <c r="BB16" s="430" t="n">
        <f aca="false">IF('APA Inputs'!$C$31="",0,(IF(AND(BB$4&gt;='APA Inputs'!$C$31,BB$4&lt;EDATE('APA Inputs'!$C$31,N('APA Inputs'!$D$31))),'APA Inputs'!$J$31,0)+IF(N('APA Inputs'!$H$31)&gt;0,IF(BB$4=EDATE('APA Inputs'!$C$31,'APA Inputs'!$H$31-1),N('APA Inputs'!$G$31),0),0))*IF('APA Inputs'!$I$31="",1,'APA Inputs'!$I$31))</f>
        <v>0</v>
      </c>
      <c r="BC16" s="430" t="n">
        <f aca="false">IF('APA Inputs'!$C$31="",0,(IF(AND(BC$4&gt;='APA Inputs'!$C$31,BC$4&lt;EDATE('APA Inputs'!$C$31,N('APA Inputs'!$D$31))),'APA Inputs'!$J$31,0)+IF(N('APA Inputs'!$H$31)&gt;0,IF(BC$4=EDATE('APA Inputs'!$C$31,'APA Inputs'!$H$31-1),N('APA Inputs'!$G$31),0),0))*IF('APA Inputs'!$I$31="",1,'APA Inputs'!$I$31))</f>
        <v>0</v>
      </c>
      <c r="BD16" s="430" t="n">
        <f aca="false">IF('APA Inputs'!$C$31="",0,(IF(AND(BD$4&gt;='APA Inputs'!$C$31,BD$4&lt;EDATE('APA Inputs'!$C$31,N('APA Inputs'!$D$31))),'APA Inputs'!$J$31,0)+IF(N('APA Inputs'!$H$31)&gt;0,IF(BD$4=EDATE('APA Inputs'!$C$31,'APA Inputs'!$H$31-1),N('APA Inputs'!$G$31),0),0))*IF('APA Inputs'!$I$31="",1,'APA Inputs'!$I$31))</f>
        <v>0</v>
      </c>
      <c r="BE16" s="430" t="n">
        <f aca="false">IF('APA Inputs'!$C$31="",0,(IF(AND(BE$4&gt;='APA Inputs'!$C$31,BE$4&lt;EDATE('APA Inputs'!$C$31,N('APA Inputs'!$D$31))),'APA Inputs'!$J$31,0)+IF(N('APA Inputs'!$H$31)&gt;0,IF(BE$4=EDATE('APA Inputs'!$C$31,'APA Inputs'!$H$31-1),N('APA Inputs'!$G$31),0),0))*IF('APA Inputs'!$I$31="",1,'APA Inputs'!$I$31))</f>
        <v>0</v>
      </c>
      <c r="BF16" s="430" t="n">
        <f aca="false">IF('APA Inputs'!$C$31="",0,(IF(AND(BF$4&gt;='APA Inputs'!$C$31,BF$4&lt;EDATE('APA Inputs'!$C$31,N('APA Inputs'!$D$31))),'APA Inputs'!$J$31,0)+IF(N('APA Inputs'!$H$31)&gt;0,IF(BF$4=EDATE('APA Inputs'!$C$31,'APA Inputs'!$H$31-1),N('APA Inputs'!$G$31),0),0))*IF('APA Inputs'!$I$31="",1,'APA Inputs'!$I$31))</f>
        <v>0</v>
      </c>
      <c r="BG16" s="430" t="n">
        <f aca="false">IF('APA Inputs'!$C$31="",0,(IF(AND(BG$4&gt;='APA Inputs'!$C$31,BG$4&lt;EDATE('APA Inputs'!$C$31,N('APA Inputs'!$D$31))),'APA Inputs'!$J$31,0)+IF(N('APA Inputs'!$H$31)&gt;0,IF(BG$4=EDATE('APA Inputs'!$C$31,'APA Inputs'!$H$31-1),N('APA Inputs'!$G$31),0),0))*IF('APA Inputs'!$I$31="",1,'APA Inputs'!$I$31))</f>
        <v>0</v>
      </c>
      <c r="BH16" s="430" t="n">
        <f aca="false">IF('APA Inputs'!$C$31="",0,(IF(AND(BH$4&gt;='APA Inputs'!$C$31,BH$4&lt;EDATE('APA Inputs'!$C$31,N('APA Inputs'!$D$31))),'APA Inputs'!$J$31,0)+IF(N('APA Inputs'!$H$31)&gt;0,IF(BH$4=EDATE('APA Inputs'!$C$31,'APA Inputs'!$H$31-1),N('APA Inputs'!$G$31),0),0))*IF('APA Inputs'!$I$31="",1,'APA Inputs'!$I$31))</f>
        <v>0</v>
      </c>
      <c r="BI16" s="430" t="n">
        <f aca="false">IF('APA Inputs'!$C$31="",0,(IF(AND(BI$4&gt;='APA Inputs'!$C$31,BI$4&lt;EDATE('APA Inputs'!$C$31,N('APA Inputs'!$D$31))),'APA Inputs'!$J$31,0)+IF(N('APA Inputs'!$H$31)&gt;0,IF(BI$4=EDATE('APA Inputs'!$C$31,'APA Inputs'!$H$31-1),N('APA Inputs'!$G$31),0),0))*IF('APA Inputs'!$I$31="",1,'APA Inputs'!$I$31))</f>
        <v>0</v>
      </c>
      <c r="BJ16" s="430" t="n">
        <f aca="false">IF('APA Inputs'!$C$31="",0,(IF(AND(BJ$4&gt;='APA Inputs'!$C$31,BJ$4&lt;EDATE('APA Inputs'!$C$31,N('APA Inputs'!$D$31))),'APA Inputs'!$J$31,0)+IF(N('APA Inputs'!$H$31)&gt;0,IF(BJ$4=EDATE('APA Inputs'!$C$31,'APA Inputs'!$H$31-1),N('APA Inputs'!$G$31),0),0))*IF('APA Inputs'!$I$31="",1,'APA Inputs'!$I$31))</f>
        <v>0</v>
      </c>
      <c r="BK16" s="430" t="n">
        <f aca="false">IF('APA Inputs'!$C$31="",0,(IF(AND(BK$4&gt;='APA Inputs'!$C$31,BK$4&lt;EDATE('APA Inputs'!$C$31,N('APA Inputs'!$D$31))),'APA Inputs'!$J$31,0)+IF(N('APA Inputs'!$H$31)&gt;0,IF(BK$4=EDATE('APA Inputs'!$C$31,'APA Inputs'!$H$31-1),N('APA Inputs'!$G$31),0),0))*IF('APA Inputs'!$I$31="",1,'APA Inputs'!$I$31))</f>
        <v>0</v>
      </c>
      <c r="BL16" s="430" t="n">
        <f aca="false">IF('APA Inputs'!$C$31="",0,(IF(AND(BL$4&gt;='APA Inputs'!$C$31,BL$4&lt;EDATE('APA Inputs'!$C$31,N('APA Inputs'!$D$31))),'APA Inputs'!$J$31,0)+IF(N('APA Inputs'!$H$31)&gt;0,IF(BL$4=EDATE('APA Inputs'!$C$31,'APA Inputs'!$H$31-1),N('APA Inputs'!$G$31),0),0))*IF('APA Inputs'!$I$31="",1,'APA Inputs'!$I$31))</f>
        <v>0</v>
      </c>
      <c r="BM16" s="430" t="n">
        <f aca="false">IF('APA Inputs'!$C$31="",0,(IF(AND(BM$4&gt;='APA Inputs'!$C$31,BM$4&lt;EDATE('APA Inputs'!$C$31,N('APA Inputs'!$D$31))),'APA Inputs'!$J$31,0)+IF(N('APA Inputs'!$H$31)&gt;0,IF(BM$4=EDATE('APA Inputs'!$C$31,'APA Inputs'!$H$31-1),N('APA Inputs'!$G$31),0),0))*IF('APA Inputs'!$I$31="",1,'APA Inputs'!$I$31))</f>
        <v>0</v>
      </c>
      <c r="BN16" s="430" t="n">
        <f aca="false">IF('APA Inputs'!$C$31="",0,(IF(AND(BN$4&gt;='APA Inputs'!$C$31,BN$4&lt;EDATE('APA Inputs'!$C$31,N('APA Inputs'!$D$31))),'APA Inputs'!$J$31,0)+IF(N('APA Inputs'!$H$31)&gt;0,IF(BN$4=EDATE('APA Inputs'!$C$31,'APA Inputs'!$H$31-1),N('APA Inputs'!$G$31),0),0))*IF('APA Inputs'!$I$31="",1,'APA Inputs'!$I$31))</f>
        <v>0</v>
      </c>
      <c r="BO16" s="430" t="n">
        <f aca="false">IF('APA Inputs'!$C$31="",0,(IF(AND(BO$4&gt;='APA Inputs'!$C$31,BO$4&lt;EDATE('APA Inputs'!$C$31,N('APA Inputs'!$D$31))),'APA Inputs'!$J$31,0)+IF(N('APA Inputs'!$H$31)&gt;0,IF(BO$4=EDATE('APA Inputs'!$C$31,'APA Inputs'!$H$31-1),N('APA Inputs'!$G$31),0),0))*IF('APA Inputs'!$I$31="",1,'APA Inputs'!$I$31))</f>
        <v>0</v>
      </c>
      <c r="BP16" s="430" t="n">
        <f aca="false">IF('APA Inputs'!$C$31="",0,(IF(AND(BP$4&gt;='APA Inputs'!$C$31,BP$4&lt;EDATE('APA Inputs'!$C$31,N('APA Inputs'!$D$31))),'APA Inputs'!$J$31,0)+IF(N('APA Inputs'!$H$31)&gt;0,IF(BP$4=EDATE('APA Inputs'!$C$31,'APA Inputs'!$H$31-1),N('APA Inputs'!$G$31),0),0))*IF('APA Inputs'!$I$31="",1,'APA Inputs'!$I$31))</f>
        <v>0</v>
      </c>
      <c r="BQ16" s="430" t="n">
        <f aca="false">IF('APA Inputs'!$C$31="",0,(IF(AND(BQ$4&gt;='APA Inputs'!$C$31,BQ$4&lt;EDATE('APA Inputs'!$C$31,N('APA Inputs'!$D$31))),'APA Inputs'!$J$31,0)+IF(N('APA Inputs'!$H$31)&gt;0,IF(BQ$4=EDATE('APA Inputs'!$C$31,'APA Inputs'!$H$31-1),N('APA Inputs'!$G$31),0),0))*IF('APA Inputs'!$I$31="",1,'APA Inputs'!$I$31))</f>
        <v>0</v>
      </c>
      <c r="BR16" s="430" t="n">
        <f aca="false">IF('APA Inputs'!$C$31="",0,(IF(AND(BR$4&gt;='APA Inputs'!$C$31,BR$4&lt;EDATE('APA Inputs'!$C$31,N('APA Inputs'!$D$31))),'APA Inputs'!$J$31,0)+IF(N('APA Inputs'!$H$31)&gt;0,IF(BR$4=EDATE('APA Inputs'!$C$31,'APA Inputs'!$H$31-1),N('APA Inputs'!$G$31),0),0))*IF('APA Inputs'!$I$31="",1,'APA Inputs'!$I$31))</f>
        <v>0</v>
      </c>
      <c r="BS16" s="430" t="n">
        <f aca="false">IF('APA Inputs'!$C$31="",0,(IF(AND(BS$4&gt;='APA Inputs'!$C$31,BS$4&lt;EDATE('APA Inputs'!$C$31,N('APA Inputs'!$D$31))),'APA Inputs'!$J$31,0)+IF(N('APA Inputs'!$H$31)&gt;0,IF(BS$4=EDATE('APA Inputs'!$C$31,'APA Inputs'!$H$31-1),N('APA Inputs'!$G$31),0),0))*IF('APA Inputs'!$I$31="",1,'APA Inputs'!$I$31))</f>
        <v>0</v>
      </c>
      <c r="BT16" s="430" t="n">
        <f aca="false">IF('APA Inputs'!$C$31="",0,(IF(AND(BT$4&gt;='APA Inputs'!$C$31,BT$4&lt;EDATE('APA Inputs'!$C$31,N('APA Inputs'!$D$31))),'APA Inputs'!$J$31,0)+IF(N('APA Inputs'!$H$31)&gt;0,IF(BT$4=EDATE('APA Inputs'!$C$31,'APA Inputs'!$H$31-1),N('APA Inputs'!$G$31),0),0))*IF('APA Inputs'!$I$31="",1,'APA Inputs'!$I$31))</f>
        <v>0</v>
      </c>
      <c r="BU16" s="430" t="n">
        <f aca="false">IF('APA Inputs'!$C$31="",0,(IF(AND(BU$4&gt;='APA Inputs'!$C$31,BU$4&lt;EDATE('APA Inputs'!$C$31,N('APA Inputs'!$D$31))),'APA Inputs'!$J$31,0)+IF(N('APA Inputs'!$H$31)&gt;0,IF(BU$4=EDATE('APA Inputs'!$C$31,'APA Inputs'!$H$31-1),N('APA Inputs'!$G$31),0),0))*IF('APA Inputs'!$I$31="",1,'APA Inputs'!$I$31))</f>
        <v>0</v>
      </c>
      <c r="BV16" s="430" t="n">
        <f aca="false">IF('APA Inputs'!$C$31="",0,(IF(AND(BV$4&gt;='APA Inputs'!$C$31,BV$4&lt;EDATE('APA Inputs'!$C$31,N('APA Inputs'!$D$31))),'APA Inputs'!$J$31,0)+IF(N('APA Inputs'!$H$31)&gt;0,IF(BV$4=EDATE('APA Inputs'!$C$31,'APA Inputs'!$H$31-1),N('APA Inputs'!$G$31),0),0))*IF('APA Inputs'!$I$31="",1,'APA Inputs'!$I$31))</f>
        <v>0</v>
      </c>
      <c r="BW16" s="430" t="n">
        <f aca="false">IF('APA Inputs'!$C$31="",0,(IF(AND(BW$4&gt;='APA Inputs'!$C$31,BW$4&lt;EDATE('APA Inputs'!$C$31,N('APA Inputs'!$D$31))),'APA Inputs'!$J$31,0)+IF(N('APA Inputs'!$H$31)&gt;0,IF(BW$4=EDATE('APA Inputs'!$C$31,'APA Inputs'!$H$31-1),N('APA Inputs'!$G$31),0),0))*IF('APA Inputs'!$I$31="",1,'APA Inputs'!$I$31))</f>
        <v>0</v>
      </c>
      <c r="BX16" s="430" t="n">
        <f aca="false">IF('APA Inputs'!$C$31="",0,(IF(AND(BX$4&gt;='APA Inputs'!$C$31,BX$4&lt;EDATE('APA Inputs'!$C$31,N('APA Inputs'!$D$31))),'APA Inputs'!$J$31,0)+IF(N('APA Inputs'!$H$31)&gt;0,IF(BX$4=EDATE('APA Inputs'!$C$31,'APA Inputs'!$H$31-1),N('APA Inputs'!$G$31),0),0))*IF('APA Inputs'!$I$31="",1,'APA Inputs'!$I$31))</f>
        <v>0</v>
      </c>
      <c r="BY16" s="430" t="n">
        <f aca="false">IF('APA Inputs'!$C$31="",0,(IF(AND(BY$4&gt;='APA Inputs'!$C$31,BY$4&lt;EDATE('APA Inputs'!$C$31,N('APA Inputs'!$D$31))),'APA Inputs'!$J$31,0)+IF(N('APA Inputs'!$H$31)&gt;0,IF(BY$4=EDATE('APA Inputs'!$C$31,'APA Inputs'!$H$31-1),N('APA Inputs'!$G$31),0),0))*IF('APA Inputs'!$I$31="",1,'APA Inputs'!$I$31))</f>
        <v>0</v>
      </c>
      <c r="BZ16" s="430" t="n">
        <f aca="false">IF('APA Inputs'!$C$31="",0,(IF(AND(BZ$4&gt;='APA Inputs'!$C$31,BZ$4&lt;EDATE('APA Inputs'!$C$31,N('APA Inputs'!$D$31))),'APA Inputs'!$J$31,0)+IF(N('APA Inputs'!$H$31)&gt;0,IF(BZ$4=EDATE('APA Inputs'!$C$31,'APA Inputs'!$H$31-1),N('APA Inputs'!$G$31),0),0))*IF('APA Inputs'!$I$31="",1,'APA Inputs'!$I$31))</f>
        <v>0</v>
      </c>
      <c r="CA16" s="430" t="n">
        <f aca="false">IF('APA Inputs'!$C$31="",0,(IF(AND(CA$4&gt;='APA Inputs'!$C$31,CA$4&lt;EDATE('APA Inputs'!$C$31,N('APA Inputs'!$D$31))),'APA Inputs'!$J$31,0)+IF(N('APA Inputs'!$H$31)&gt;0,IF(CA$4=EDATE('APA Inputs'!$C$31,'APA Inputs'!$H$31-1),N('APA Inputs'!$G$31),0),0))*IF('APA Inputs'!$I$31="",1,'APA Inputs'!$I$31))</f>
        <v>0</v>
      </c>
      <c r="CB16" s="430" t="n">
        <f aca="false">IF('APA Inputs'!$C$31="",0,(IF(AND(CB$4&gt;='APA Inputs'!$C$31,CB$4&lt;EDATE('APA Inputs'!$C$31,N('APA Inputs'!$D$31))),'APA Inputs'!$J$31,0)+IF(N('APA Inputs'!$H$31)&gt;0,IF(CB$4=EDATE('APA Inputs'!$C$31,'APA Inputs'!$H$31-1),N('APA Inputs'!$G$31),0),0))*IF('APA Inputs'!$I$31="",1,'APA Inputs'!$I$31))</f>
        <v>0</v>
      </c>
      <c r="CC16" s="430" t="n">
        <f aca="false">IF('APA Inputs'!$C$31="",0,(IF(AND(CC$4&gt;='APA Inputs'!$C$31,CC$4&lt;EDATE('APA Inputs'!$C$31,N('APA Inputs'!$D$31))),'APA Inputs'!$J$31,0)+IF(N('APA Inputs'!$H$31)&gt;0,IF(CC$4=EDATE('APA Inputs'!$C$31,'APA Inputs'!$H$31-1),N('APA Inputs'!$G$31),0),0))*IF('APA Inputs'!$I$31="",1,'APA Inputs'!$I$31))</f>
        <v>0</v>
      </c>
      <c r="CD16" s="430" t="n">
        <f aca="false">IF('APA Inputs'!$C$31="",0,(IF(AND(CD$4&gt;='APA Inputs'!$C$31,CD$4&lt;EDATE('APA Inputs'!$C$31,N('APA Inputs'!$D$31))),'APA Inputs'!$J$31,0)+IF(N('APA Inputs'!$H$31)&gt;0,IF(CD$4=EDATE('APA Inputs'!$C$31,'APA Inputs'!$H$31-1),N('APA Inputs'!$G$31),0),0))*IF('APA Inputs'!$I$31="",1,'APA Inputs'!$I$31))</f>
        <v>0</v>
      </c>
      <c r="CE16" s="430" t="n">
        <f aca="false">IF('APA Inputs'!$C$31="",0,(IF(AND(CE$4&gt;='APA Inputs'!$C$31,CE$4&lt;EDATE('APA Inputs'!$C$31,N('APA Inputs'!$D$31))),'APA Inputs'!$J$31,0)+IF(N('APA Inputs'!$H$31)&gt;0,IF(CE$4=EDATE('APA Inputs'!$C$31,'APA Inputs'!$H$31-1),N('APA Inputs'!$G$31),0),0))*IF('APA Inputs'!$I$31="",1,'APA Inputs'!$I$31))</f>
        <v>0</v>
      </c>
      <c r="CF16" s="430" t="n">
        <f aca="false">IF('APA Inputs'!$C$31="",0,(IF(AND(CF$4&gt;='APA Inputs'!$C$31,CF$4&lt;EDATE('APA Inputs'!$C$31,N('APA Inputs'!$D$31))),'APA Inputs'!$J$31,0)+IF(N('APA Inputs'!$H$31)&gt;0,IF(CF$4=EDATE('APA Inputs'!$C$31,'APA Inputs'!$H$31-1),N('APA Inputs'!$G$31),0),0))*IF('APA Inputs'!$I$31="",1,'APA Inputs'!$I$31))</f>
        <v>0</v>
      </c>
      <c r="CG16" s="430" t="n">
        <f aca="false">IF('APA Inputs'!$C$31="",0,(IF(AND(CG$4&gt;='APA Inputs'!$C$31,CG$4&lt;EDATE('APA Inputs'!$C$31,N('APA Inputs'!$D$31))),'APA Inputs'!$J$31,0)+IF(N('APA Inputs'!$H$31)&gt;0,IF(CG$4=EDATE('APA Inputs'!$C$31,'APA Inputs'!$H$31-1),N('APA Inputs'!$G$31),0),0))*IF('APA Inputs'!$I$31="",1,'APA Inputs'!$I$31))</f>
        <v>0</v>
      </c>
      <c r="CH16" s="430" t="n">
        <f aca="false">IF('APA Inputs'!$C$31="",0,(IF(AND(CH$4&gt;='APA Inputs'!$C$31,CH$4&lt;EDATE('APA Inputs'!$C$31,N('APA Inputs'!$D$31))),'APA Inputs'!$J$31,0)+IF(N('APA Inputs'!$H$31)&gt;0,IF(CH$4=EDATE('APA Inputs'!$C$31,'APA Inputs'!$H$31-1),N('APA Inputs'!$G$31),0),0))*IF('APA Inputs'!$I$31="",1,'APA Inputs'!$I$31))</f>
        <v>0</v>
      </c>
      <c r="CI16" s="430" t="n">
        <f aca="false">IF('APA Inputs'!$C$31="",0,(IF(AND(CI$4&gt;='APA Inputs'!$C$31,CI$4&lt;EDATE('APA Inputs'!$C$31,N('APA Inputs'!$D$31))),'APA Inputs'!$J$31,0)+IF(N('APA Inputs'!$H$31)&gt;0,IF(CI$4=EDATE('APA Inputs'!$C$31,'APA Inputs'!$H$31-1),N('APA Inputs'!$G$31),0),0))*IF('APA Inputs'!$I$31="",1,'APA Inputs'!$I$31))</f>
        <v>0</v>
      </c>
      <c r="CJ16" s="430" t="n">
        <f aca="false">IF('APA Inputs'!$C$31="",0,(IF(AND(CJ$4&gt;='APA Inputs'!$C$31,CJ$4&lt;EDATE('APA Inputs'!$C$31,N('APA Inputs'!$D$31))),'APA Inputs'!$J$31,0)+IF(N('APA Inputs'!$H$31)&gt;0,IF(CJ$4=EDATE('APA Inputs'!$C$31,'APA Inputs'!$H$31-1),N('APA Inputs'!$G$31),0),0))*IF('APA Inputs'!$I$31="",1,'APA Inputs'!$I$31))</f>
        <v>0</v>
      </c>
      <c r="CK16" s="430" t="n">
        <f aca="false">IF('APA Inputs'!$C$31="",0,(IF(AND(CK$4&gt;='APA Inputs'!$C$31,CK$4&lt;EDATE('APA Inputs'!$C$31,N('APA Inputs'!$D$31))),'APA Inputs'!$J$31,0)+IF(N('APA Inputs'!$H$31)&gt;0,IF(CK$4=EDATE('APA Inputs'!$C$31,'APA Inputs'!$H$31-1),N('APA Inputs'!$G$31),0),0))*IF('APA Inputs'!$I$31="",1,'APA Inputs'!$I$31))</f>
        <v>0</v>
      </c>
      <c r="CL16" s="430" t="n">
        <f aca="false">IF('APA Inputs'!$C$31="",0,(IF(AND(CL$4&gt;='APA Inputs'!$C$31,CL$4&lt;EDATE('APA Inputs'!$C$31,N('APA Inputs'!$D$31))),'APA Inputs'!$J$31,0)+IF(N('APA Inputs'!$H$31)&gt;0,IF(CL$4=EDATE('APA Inputs'!$C$31,'APA Inputs'!$H$31-1),N('APA Inputs'!$G$31),0),0))*IF('APA Inputs'!$I$31="",1,'APA Inputs'!$I$31))</f>
        <v>0</v>
      </c>
      <c r="CM16" s="430" t="n">
        <f aca="false">IF('APA Inputs'!$C$31="",0,(IF(AND(CM$4&gt;='APA Inputs'!$C$31,CM$4&lt;EDATE('APA Inputs'!$C$31,N('APA Inputs'!$D$31))),'APA Inputs'!$J$31,0)+IF(N('APA Inputs'!$H$31)&gt;0,IF(CM$4=EDATE('APA Inputs'!$C$31,'APA Inputs'!$H$31-1),N('APA Inputs'!$G$31),0),0))*IF('APA Inputs'!$I$31="",1,'APA Inputs'!$I$31))</f>
        <v>0</v>
      </c>
      <c r="CN16" s="430" t="n">
        <f aca="false">IF('APA Inputs'!$C$31="",0,(IF(AND(CN$4&gt;='APA Inputs'!$C$31,CN$4&lt;EDATE('APA Inputs'!$C$31,N('APA Inputs'!$D$31))),'APA Inputs'!$J$31,0)+IF(N('APA Inputs'!$H$31)&gt;0,IF(CN$4=EDATE('APA Inputs'!$C$31,'APA Inputs'!$H$31-1),N('APA Inputs'!$G$31),0),0))*IF('APA Inputs'!$I$31="",1,'APA Inputs'!$I$31))</f>
        <v>0</v>
      </c>
      <c r="CO16" s="430" t="n">
        <f aca="false">IF('APA Inputs'!$C$31="",0,(IF(AND(CO$4&gt;='APA Inputs'!$C$31,CO$4&lt;EDATE('APA Inputs'!$C$31,N('APA Inputs'!$D$31))),'APA Inputs'!$J$31,0)+IF(N('APA Inputs'!$H$31)&gt;0,IF(CO$4=EDATE('APA Inputs'!$C$31,'APA Inputs'!$H$31-1),N('APA Inputs'!$G$31),0),0))*IF('APA Inputs'!$I$31="",1,'APA Inputs'!$I$31))</f>
        <v>0</v>
      </c>
      <c r="CP16" s="430" t="n">
        <f aca="false">IF('APA Inputs'!$C$31="",0,(IF(AND(CP$4&gt;='APA Inputs'!$C$31,CP$4&lt;EDATE('APA Inputs'!$C$31,N('APA Inputs'!$D$31))),'APA Inputs'!$J$31,0)+IF(N('APA Inputs'!$H$31)&gt;0,IF(CP$4=EDATE('APA Inputs'!$C$31,'APA Inputs'!$H$31-1),N('APA Inputs'!$G$31),0),0))*IF('APA Inputs'!$I$31="",1,'APA Inputs'!$I$31))</f>
        <v>0</v>
      </c>
      <c r="CQ16" s="430" t="n">
        <f aca="false">IF('APA Inputs'!$C$31="",0,(IF(AND(CQ$4&gt;='APA Inputs'!$C$31,CQ$4&lt;EDATE('APA Inputs'!$C$31,N('APA Inputs'!$D$31))),'APA Inputs'!$J$31,0)+IF(N('APA Inputs'!$H$31)&gt;0,IF(CQ$4=EDATE('APA Inputs'!$C$31,'APA Inputs'!$H$31-1),N('APA Inputs'!$G$31),0),0))*IF('APA Inputs'!$I$31="",1,'APA Inputs'!$I$31))</f>
        <v>0</v>
      </c>
      <c r="CR16" s="430" t="n">
        <f aca="false">IF('APA Inputs'!$C$31="",0,(IF(AND(CR$4&gt;='APA Inputs'!$C$31,CR$4&lt;EDATE('APA Inputs'!$C$31,N('APA Inputs'!$D$31))),'APA Inputs'!$J$31,0)+IF(N('APA Inputs'!$H$31)&gt;0,IF(CR$4=EDATE('APA Inputs'!$C$31,'APA Inputs'!$H$31-1),N('APA Inputs'!$G$31),0),0))*IF('APA Inputs'!$I$31="",1,'APA Inputs'!$I$31))</f>
        <v>0</v>
      </c>
      <c r="CS16" s="430" t="n">
        <f aca="false">IF('APA Inputs'!$C$31="",0,(IF(AND(CS$4&gt;='APA Inputs'!$C$31,CS$4&lt;EDATE('APA Inputs'!$C$31,N('APA Inputs'!$D$31))),'APA Inputs'!$J$31,0)+IF(N('APA Inputs'!$H$31)&gt;0,IF(CS$4=EDATE('APA Inputs'!$C$31,'APA Inputs'!$H$31-1),N('APA Inputs'!$G$31),0),0))*IF('APA Inputs'!$I$31="",1,'APA Inputs'!$I$31))</f>
        <v>0</v>
      </c>
      <c r="CT16" s="430" t="n">
        <f aca="false">IF('APA Inputs'!$C$31="",0,(IF(AND(CT$4&gt;='APA Inputs'!$C$31,CT$4&lt;EDATE('APA Inputs'!$C$31,N('APA Inputs'!$D$31))),'APA Inputs'!$J$31,0)+IF(N('APA Inputs'!$H$31)&gt;0,IF(CT$4=EDATE('APA Inputs'!$C$31,'APA Inputs'!$H$31-1),N('APA Inputs'!$G$31),0),0))*IF('APA Inputs'!$I$31="",1,'APA Inputs'!$I$31))</f>
        <v>0</v>
      </c>
      <c r="CU16" s="430" t="n">
        <f aca="false">IF('APA Inputs'!$C$31="",0,(IF(AND(CU$4&gt;='APA Inputs'!$C$31,CU$4&lt;EDATE('APA Inputs'!$C$31,N('APA Inputs'!$D$31))),'APA Inputs'!$J$31,0)+IF(N('APA Inputs'!$H$31)&gt;0,IF(CU$4=EDATE('APA Inputs'!$C$31,'APA Inputs'!$H$31-1),N('APA Inputs'!$G$31),0),0))*IF('APA Inputs'!$I$31="",1,'APA Inputs'!$I$31))</f>
        <v>0</v>
      </c>
      <c r="CV16" s="430" t="n">
        <f aca="false">IF('APA Inputs'!$C$31="",0,(IF(AND(CV$4&gt;='APA Inputs'!$C$31,CV$4&lt;EDATE('APA Inputs'!$C$31,N('APA Inputs'!$D$31))),'APA Inputs'!$J$31,0)+IF(N('APA Inputs'!$H$31)&gt;0,IF(CV$4=EDATE('APA Inputs'!$C$31,'APA Inputs'!$H$31-1),N('APA Inputs'!$G$31),0),0))*IF('APA Inputs'!$I$31="",1,'APA Inputs'!$I$31))</f>
        <v>0</v>
      </c>
      <c r="CW16" s="430" t="n">
        <f aca="false">IF('APA Inputs'!$C$31="",0,(IF(AND(CW$4&gt;='APA Inputs'!$C$31,CW$4&lt;EDATE('APA Inputs'!$C$31,N('APA Inputs'!$D$31))),'APA Inputs'!$J$31,0)+IF(N('APA Inputs'!$H$31)&gt;0,IF(CW$4=EDATE('APA Inputs'!$C$31,'APA Inputs'!$H$31-1),N('APA Inputs'!$G$31),0),0))*IF('APA Inputs'!$I$31="",1,'APA Inputs'!$I$31))</f>
        <v>0</v>
      </c>
      <c r="CX16" s="430" t="n">
        <f aca="false">IF('APA Inputs'!$C$31="",0,(IF(AND(CX$4&gt;='APA Inputs'!$C$31,CX$4&lt;EDATE('APA Inputs'!$C$31,N('APA Inputs'!$D$31))),'APA Inputs'!$J$31,0)+IF(N('APA Inputs'!$H$31)&gt;0,IF(CX$4=EDATE('APA Inputs'!$C$31,'APA Inputs'!$H$31-1),N('APA Inputs'!$G$31),0),0))*IF('APA Inputs'!$I$31="",1,'APA Inputs'!$I$31))</f>
        <v>0</v>
      </c>
      <c r="CY16" s="430" t="n">
        <f aca="false">IF('APA Inputs'!$C$31="",0,(IF(AND(CY$4&gt;='APA Inputs'!$C$31,CY$4&lt;EDATE('APA Inputs'!$C$31,N('APA Inputs'!$D$31))),'APA Inputs'!$J$31,0)+IF(N('APA Inputs'!$H$31)&gt;0,IF(CY$4=EDATE('APA Inputs'!$C$31,'APA Inputs'!$H$31-1),N('APA Inputs'!$G$31),0),0))*IF('APA Inputs'!$I$31="",1,'APA Inputs'!$I$31))</f>
        <v>0</v>
      </c>
      <c r="CZ16" s="430" t="n">
        <f aca="false">IF('APA Inputs'!$C$31="",0,(IF(AND(CZ$4&gt;='APA Inputs'!$C$31,CZ$4&lt;EDATE('APA Inputs'!$C$31,N('APA Inputs'!$D$31))),'APA Inputs'!$J$31,0)+IF(N('APA Inputs'!$H$31)&gt;0,IF(CZ$4=EDATE('APA Inputs'!$C$31,'APA Inputs'!$H$31-1),N('APA Inputs'!$G$31),0),0))*IF('APA Inputs'!$I$31="",1,'APA Inputs'!$I$31))</f>
        <v>0</v>
      </c>
      <c r="DA16" s="430" t="n">
        <f aca="false">IF('APA Inputs'!$C$31="",0,(IF(AND(DA$4&gt;='APA Inputs'!$C$31,DA$4&lt;EDATE('APA Inputs'!$C$31,N('APA Inputs'!$D$31))),'APA Inputs'!$J$31,0)+IF(N('APA Inputs'!$H$31)&gt;0,IF(DA$4=EDATE('APA Inputs'!$C$31,'APA Inputs'!$H$31-1),N('APA Inputs'!$G$31),0),0))*IF('APA Inputs'!$I$31="",1,'APA Inputs'!$I$31))</f>
        <v>0</v>
      </c>
      <c r="DB16" s="430" t="n">
        <f aca="false">IF('APA Inputs'!$C$31="",0,(IF(AND(DB$4&gt;='APA Inputs'!$C$31,DB$4&lt;EDATE('APA Inputs'!$C$31,N('APA Inputs'!$D$31))),'APA Inputs'!$J$31,0)+IF(N('APA Inputs'!$H$31)&gt;0,IF(DB$4=EDATE('APA Inputs'!$C$31,'APA Inputs'!$H$31-1),N('APA Inputs'!$G$31),0),0))*IF('APA Inputs'!$I$31="",1,'APA Inputs'!$I$31))</f>
        <v>0</v>
      </c>
      <c r="DC16" s="430" t="n">
        <f aca="false">IF('APA Inputs'!$C$31="",0,(IF(AND(DC$4&gt;='APA Inputs'!$C$31,DC$4&lt;EDATE('APA Inputs'!$C$31,N('APA Inputs'!$D$31))),'APA Inputs'!$J$31,0)+IF(N('APA Inputs'!$H$31)&gt;0,IF(DC$4=EDATE('APA Inputs'!$C$31,'APA Inputs'!$H$31-1),N('APA Inputs'!$G$31),0),0))*IF('APA Inputs'!$I$31="",1,'APA Inputs'!$I$31))</f>
        <v>0</v>
      </c>
      <c r="DD16" s="430" t="n">
        <f aca="false">IF('APA Inputs'!$C$31="",0,(IF(AND(DD$4&gt;='APA Inputs'!$C$31,DD$4&lt;EDATE('APA Inputs'!$C$31,N('APA Inputs'!$D$31))),'APA Inputs'!$J$31,0)+IF(N('APA Inputs'!$H$31)&gt;0,IF(DD$4=EDATE('APA Inputs'!$C$31,'APA Inputs'!$H$31-1),N('APA Inputs'!$G$31),0),0))*IF('APA Inputs'!$I$31="",1,'APA Inputs'!$I$31))</f>
        <v>0</v>
      </c>
      <c r="DE16" s="430"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1541</v>
      </c>
      <c r="B17" s="430" t="n">
        <f aca="false">SUM(B7:B16)</f>
        <v>0</v>
      </c>
      <c r="C17" s="430" t="n">
        <f aca="false">SUM(C7:C16)</f>
        <v>0</v>
      </c>
      <c r="D17" s="430" t="n">
        <f aca="false">SUM(D7:D16)</f>
        <v>0</v>
      </c>
      <c r="E17" s="430" t="n">
        <f aca="false">SUM(E7:E16)</f>
        <v>0</v>
      </c>
      <c r="F17" s="430" t="n">
        <f aca="false">SUM(F7:F16)</f>
        <v>0</v>
      </c>
      <c r="G17" s="430" t="n">
        <f aca="false">SUM(G7:G16)</f>
        <v>0</v>
      </c>
      <c r="H17" s="430" t="n">
        <f aca="false">SUM(H7:H16)</f>
        <v>10000</v>
      </c>
      <c r="I17" s="430" t="n">
        <f aca="false">SUM(I7:I16)</f>
        <v>14166.66</v>
      </c>
      <c r="J17" s="430" t="n">
        <f aca="false">SUM(J7:J16)</f>
        <v>17499.38</v>
      </c>
      <c r="K17" s="430" t="n">
        <f aca="false">SUM(K7:K16)</f>
        <v>17499.38</v>
      </c>
      <c r="L17" s="430" t="n">
        <f aca="false">SUM(L7:L16)</f>
        <v>17499.38</v>
      </c>
      <c r="M17" s="430" t="n">
        <f aca="false">SUM(M7:M16)</f>
        <v>17499.38</v>
      </c>
      <c r="N17" s="430" t="n">
        <f aca="false">SUM(N7:N16)</f>
        <v>17499.38</v>
      </c>
      <c r="O17" s="430" t="n">
        <f aca="false">SUM(O7:O16)</f>
        <v>17499.38</v>
      </c>
      <c r="P17" s="430" t="n">
        <f aca="false">SUM(P7:P16)</f>
        <v>17499.38</v>
      </c>
      <c r="Q17" s="430" t="n">
        <f aca="false">SUM(Q7:Q16)</f>
        <v>17499.38</v>
      </c>
      <c r="R17" s="430" t="n">
        <f aca="false">SUM(R7:R16)</f>
        <v>17499.38</v>
      </c>
      <c r="S17" s="430" t="n">
        <f aca="false">SUM(S7:S16)</f>
        <v>56388.2688888889</v>
      </c>
      <c r="T17" s="430" t="n">
        <f aca="false">SUM(T7:T16)</f>
        <v>82113.2688888889</v>
      </c>
      <c r="U17" s="430" t="n">
        <f aca="false">SUM(U7:U16)</f>
        <v>56388.2688888889</v>
      </c>
      <c r="V17" s="430" t="n">
        <f aca="false">SUM(V7:V16)</f>
        <v>53055.5488888889</v>
      </c>
      <c r="W17" s="430" t="n">
        <f aca="false">SUM(W7:W16)</f>
        <v>53055.5488888889</v>
      </c>
      <c r="X17" s="430" t="n">
        <f aca="false">SUM(X7:X16)</f>
        <v>53055.5488888889</v>
      </c>
      <c r="Y17" s="430" t="n">
        <f aca="false">SUM(Y7:Y16)</f>
        <v>53055.5488888889</v>
      </c>
      <c r="Z17" s="430" t="n">
        <f aca="false">SUM(Z7:Z16)</f>
        <v>53055.5488888889</v>
      </c>
      <c r="AA17" s="430" t="n">
        <f aca="false">SUM(AA7:AA16)</f>
        <v>53055.5488888889</v>
      </c>
      <c r="AB17" s="430" t="n">
        <f aca="false">SUM(AB7:AB16)</f>
        <v>53055.5488888889</v>
      </c>
      <c r="AC17" s="430" t="n">
        <f aca="false">SUM(AC7:AC16)</f>
        <v>53055.5488888889</v>
      </c>
      <c r="AD17" s="430" t="n">
        <f aca="false">SUM(AD7:AD16)</f>
        <v>53055.5488888889</v>
      </c>
      <c r="AE17" s="430" t="n">
        <f aca="false">SUM(AE7:AE16)</f>
        <v>53055.5488888889</v>
      </c>
      <c r="AF17" s="430" t="n">
        <f aca="false">SUM(AF7:AF16)</f>
        <v>43055.5488888889</v>
      </c>
      <c r="AG17" s="430" t="n">
        <f aca="false">SUM(AG7:AG16)</f>
        <v>38888.8888888889</v>
      </c>
      <c r="AH17" s="430" t="n">
        <f aca="false">SUM(AH7:AH16)</f>
        <v>38888.8888888889</v>
      </c>
      <c r="AI17" s="430" t="n">
        <f aca="false">SUM(AI7:AI16)</f>
        <v>38888.8888888889</v>
      </c>
      <c r="AJ17" s="430" t="n">
        <f aca="false">SUM(AJ7:AJ16)</f>
        <v>38888.8888888889</v>
      </c>
      <c r="AK17" s="430" t="n">
        <f aca="false">SUM(AK7:AK16)</f>
        <v>0</v>
      </c>
      <c r="AL17" s="430" t="n">
        <f aca="false">SUM(AL7:AL16)</f>
        <v>0</v>
      </c>
      <c r="AM17" s="430" t="n">
        <f aca="false">SUM(AM7:AM16)</f>
        <v>0</v>
      </c>
      <c r="AN17" s="430" t="n">
        <f aca="false">SUM(AN7:AN16)</f>
        <v>0</v>
      </c>
      <c r="AO17" s="430" t="n">
        <f aca="false">SUM(AO7:AO16)</f>
        <v>0</v>
      </c>
      <c r="AP17" s="430" t="n">
        <f aca="false">SUM(AP7:AP16)</f>
        <v>0</v>
      </c>
      <c r="AQ17" s="430" t="n">
        <f aca="false">SUM(AQ7:AQ16)</f>
        <v>0</v>
      </c>
      <c r="AR17" s="430" t="n">
        <f aca="false">SUM(AR7:AR16)</f>
        <v>0</v>
      </c>
      <c r="AS17" s="430" t="n">
        <f aca="false">SUM(AS7:AS16)</f>
        <v>0</v>
      </c>
      <c r="AT17" s="430" t="n">
        <f aca="false">SUM(AT7:AT16)</f>
        <v>0</v>
      </c>
      <c r="AU17" s="430" t="n">
        <f aca="false">SUM(AU7:AU16)</f>
        <v>0</v>
      </c>
      <c r="AV17" s="430" t="n">
        <f aca="false">SUM(AV7:AV16)</f>
        <v>0</v>
      </c>
      <c r="AW17" s="430" t="n">
        <f aca="false">SUM(AW7:AW16)</f>
        <v>0</v>
      </c>
      <c r="AX17" s="430" t="n">
        <f aca="false">SUM(AX7:AX16)</f>
        <v>0</v>
      </c>
      <c r="AY17" s="430" t="n">
        <f aca="false">SUM(AY7:AY16)</f>
        <v>0</v>
      </c>
      <c r="AZ17" s="430" t="n">
        <f aca="false">SUM(AZ7:AZ16)</f>
        <v>0</v>
      </c>
      <c r="BA17" s="430" t="n">
        <f aca="false">SUM(BA7:BA16)</f>
        <v>0</v>
      </c>
      <c r="BB17" s="430" t="n">
        <f aca="false">SUM(BB7:BB16)</f>
        <v>0</v>
      </c>
      <c r="BC17" s="430" t="n">
        <f aca="false">SUM(BC7:BC16)</f>
        <v>0</v>
      </c>
      <c r="BD17" s="430" t="n">
        <f aca="false">SUM(BD7:BD16)</f>
        <v>0</v>
      </c>
      <c r="BE17" s="430" t="n">
        <f aca="false">SUM(BE7:BE16)</f>
        <v>0</v>
      </c>
      <c r="BF17" s="430" t="n">
        <f aca="false">SUM(BF7:BF16)</f>
        <v>0</v>
      </c>
      <c r="BG17" s="430" t="n">
        <f aca="false">SUM(BG7:BG16)</f>
        <v>0</v>
      </c>
      <c r="BH17" s="430" t="n">
        <f aca="false">SUM(BH7:BH16)</f>
        <v>0</v>
      </c>
      <c r="BI17" s="430" t="n">
        <f aca="false">SUM(BI7:BI16)</f>
        <v>0</v>
      </c>
      <c r="BJ17" s="430" t="n">
        <f aca="false">SUM(BJ7:BJ16)</f>
        <v>0</v>
      </c>
      <c r="BK17" s="430" t="n">
        <f aca="false">SUM(BK7:BK16)</f>
        <v>0</v>
      </c>
      <c r="BL17" s="430" t="n">
        <f aca="false">SUM(BL7:BL16)</f>
        <v>0</v>
      </c>
      <c r="BM17" s="430" t="n">
        <f aca="false">SUM(BM7:BM16)</f>
        <v>0</v>
      </c>
      <c r="BN17" s="430" t="n">
        <f aca="false">SUM(BN7:BN16)</f>
        <v>0</v>
      </c>
      <c r="BO17" s="430" t="n">
        <f aca="false">SUM(BO7:BO16)</f>
        <v>0</v>
      </c>
      <c r="BP17" s="430" t="n">
        <f aca="false">SUM(BP7:BP16)</f>
        <v>0</v>
      </c>
      <c r="BQ17" s="430" t="n">
        <f aca="false">SUM(BQ7:BQ16)</f>
        <v>0</v>
      </c>
      <c r="BR17" s="430" t="n">
        <f aca="false">SUM(BR7:BR16)</f>
        <v>0</v>
      </c>
      <c r="BS17" s="430" t="n">
        <f aca="false">SUM(BS7:BS16)</f>
        <v>0</v>
      </c>
      <c r="BT17" s="430" t="n">
        <f aca="false">SUM(BT7:BT16)</f>
        <v>0</v>
      </c>
      <c r="BU17" s="430" t="n">
        <f aca="false">SUM(BU7:BU16)</f>
        <v>0</v>
      </c>
      <c r="BV17" s="430" t="n">
        <f aca="false">SUM(BV7:BV16)</f>
        <v>0</v>
      </c>
      <c r="BW17" s="430" t="n">
        <f aca="false">SUM(BW7:BW16)</f>
        <v>0</v>
      </c>
      <c r="BX17" s="430" t="n">
        <f aca="false">SUM(BX7:BX16)</f>
        <v>0</v>
      </c>
      <c r="BY17" s="430" t="n">
        <f aca="false">SUM(BY7:BY16)</f>
        <v>0</v>
      </c>
      <c r="BZ17" s="430" t="n">
        <f aca="false">SUM(BZ7:BZ16)</f>
        <v>0</v>
      </c>
      <c r="CA17" s="430" t="n">
        <f aca="false">SUM(CA7:CA16)</f>
        <v>0</v>
      </c>
      <c r="CB17" s="430" t="n">
        <f aca="false">SUM(CB7:CB16)</f>
        <v>0</v>
      </c>
      <c r="CC17" s="430" t="n">
        <f aca="false">SUM(CC7:CC16)</f>
        <v>0</v>
      </c>
      <c r="CD17" s="430" t="n">
        <f aca="false">SUM(CD7:CD16)</f>
        <v>0</v>
      </c>
      <c r="CE17" s="430" t="n">
        <f aca="false">SUM(CE7:CE16)</f>
        <v>0</v>
      </c>
      <c r="CF17" s="430" t="n">
        <f aca="false">SUM(CF7:CF16)</f>
        <v>0</v>
      </c>
      <c r="CG17" s="430" t="n">
        <f aca="false">SUM(CG7:CG16)</f>
        <v>0</v>
      </c>
      <c r="CH17" s="430" t="n">
        <f aca="false">SUM(CH7:CH16)</f>
        <v>0</v>
      </c>
      <c r="CI17" s="430" t="n">
        <f aca="false">SUM(CI7:CI16)</f>
        <v>0</v>
      </c>
      <c r="CJ17" s="430" t="n">
        <f aca="false">SUM(CJ7:CJ16)</f>
        <v>0</v>
      </c>
      <c r="CK17" s="430" t="n">
        <f aca="false">SUM(CK7:CK16)</f>
        <v>0</v>
      </c>
      <c r="CL17" s="430" t="n">
        <f aca="false">SUM(CL7:CL16)</f>
        <v>0</v>
      </c>
      <c r="CM17" s="430" t="n">
        <f aca="false">SUM(CM7:CM16)</f>
        <v>0</v>
      </c>
      <c r="CN17" s="430" t="n">
        <f aca="false">SUM(CN7:CN16)</f>
        <v>0</v>
      </c>
      <c r="CO17" s="430" t="n">
        <f aca="false">SUM(CO7:CO16)</f>
        <v>0</v>
      </c>
      <c r="CP17" s="430" t="n">
        <f aca="false">SUM(CP7:CP16)</f>
        <v>0</v>
      </c>
      <c r="CQ17" s="430" t="n">
        <f aca="false">SUM(CQ7:CQ16)</f>
        <v>0</v>
      </c>
      <c r="CR17" s="430" t="n">
        <f aca="false">SUM(CR7:CR16)</f>
        <v>0</v>
      </c>
      <c r="CS17" s="430" t="n">
        <f aca="false">SUM(CS7:CS16)</f>
        <v>0</v>
      </c>
      <c r="CT17" s="430" t="n">
        <f aca="false">SUM(CT7:CT16)</f>
        <v>0</v>
      </c>
      <c r="CU17" s="430" t="n">
        <f aca="false">SUM(CU7:CU16)</f>
        <v>0</v>
      </c>
      <c r="CV17" s="430" t="n">
        <f aca="false">SUM(CV7:CV16)</f>
        <v>0</v>
      </c>
      <c r="CW17" s="430" t="n">
        <f aca="false">SUM(CW7:CW16)</f>
        <v>0</v>
      </c>
      <c r="CX17" s="430" t="n">
        <f aca="false">SUM(CX7:CX16)</f>
        <v>0</v>
      </c>
      <c r="CY17" s="430" t="n">
        <f aca="false">SUM(CY7:CY16)</f>
        <v>0</v>
      </c>
      <c r="CZ17" s="430" t="n">
        <f aca="false">SUM(CZ7:CZ16)</f>
        <v>0</v>
      </c>
      <c r="DA17" s="430" t="n">
        <f aca="false">SUM(DA7:DA16)</f>
        <v>0</v>
      </c>
      <c r="DB17" s="430" t="n">
        <f aca="false">SUM(DB7:DB16)</f>
        <v>0</v>
      </c>
      <c r="DC17" s="430" t="n">
        <f aca="false">SUM(DC7:DC16)</f>
        <v>0</v>
      </c>
      <c r="DD17" s="430" t="n">
        <f aca="false">SUM(DD7:DD16)</f>
        <v>0</v>
      </c>
      <c r="DE17" s="430" t="n">
        <f aca="false">SUM(DE7:DE16)</f>
        <v>0</v>
      </c>
    </row>
    <row r="19" customFormat="false" ht="15" hidden="false" customHeight="true" outlineLevel="0" collapsed="false">
      <c r="A19" s="386" t="s">
        <v>1542</v>
      </c>
    </row>
    <row r="20" customFormat="false" ht="15" hidden="false" customHeight="true" outlineLevel="0" collapsed="false">
      <c r="A20" s="1" t="s">
        <v>1543</v>
      </c>
      <c r="B20" s="430" t="n">
        <f aca="false">IF(B$4&gt;='APA Inputs'!$B$6,INDEX('APA Summary'!$B$32:$J$32,B$5-2025)/INDEX('APA Summary'!$B$22:$J$22,B$5-2025),0)</f>
        <v>0</v>
      </c>
      <c r="C20" s="430" t="n">
        <f aca="false">IF(C$4&gt;='APA Inputs'!$B$6,INDEX('APA Summary'!$B$32:$J$32,C$5-2025)/INDEX('APA Summary'!$B$22:$J$22,C$5-2025),0)</f>
        <v>0</v>
      </c>
      <c r="D20" s="430" t="n">
        <f aca="false">IF(D$4&gt;='APA Inputs'!$B$6,INDEX('APA Summary'!$B$32:$J$32,D$5-2025)/INDEX('APA Summary'!$B$22:$J$22,D$5-2025),0)</f>
        <v>0</v>
      </c>
      <c r="E20" s="430" t="n">
        <f aca="false">IF(E$4&gt;='APA Inputs'!$B$6,INDEX('APA Summary'!$B$32:$J$32,E$5-2025)/INDEX('APA Summary'!$B$22:$J$22,E$5-2025),0)</f>
        <v>0</v>
      </c>
      <c r="F20" s="430" t="n">
        <f aca="false">IF(F$4&gt;='APA Inputs'!$B$6,INDEX('APA Summary'!$B$32:$J$32,F$5-2025)/INDEX('APA Summary'!$B$22:$J$22,F$5-2025),0)</f>
        <v>0</v>
      </c>
      <c r="G20" s="430" t="n">
        <f aca="false">IF(G$4&gt;='APA Inputs'!$B$6,INDEX('APA Summary'!$B$32:$J$32,G$5-2025)/INDEX('APA Summary'!$B$22:$J$22,G$5-2025),0)</f>
        <v>0</v>
      </c>
      <c r="H20" s="430" t="n">
        <f aca="false">IF(H$4&gt;='APA Inputs'!$B$6,INDEX('APA Summary'!$B$32:$J$32,H$5-2025)/INDEX('APA Summary'!$B$22:$J$22,H$5-2025),0)</f>
        <v>319.937883333334</v>
      </c>
      <c r="I20" s="430" t="n">
        <f aca="false">IF(I$4&gt;='APA Inputs'!$B$6,INDEX('APA Summary'!$B$32:$J$32,I$5-2025)/INDEX('APA Summary'!$B$22:$J$22,I$5-2025),0)</f>
        <v>319.937883333334</v>
      </c>
      <c r="J20" s="430" t="n">
        <f aca="false">IF(J$4&gt;='APA Inputs'!$B$6,INDEX('APA Summary'!$B$32:$J$32,J$5-2025)/INDEX('APA Summary'!$B$22:$J$22,J$5-2025),0)</f>
        <v>319.937883333334</v>
      </c>
      <c r="K20" s="430" t="n">
        <f aca="false">IF(K$4&gt;='APA Inputs'!$B$6,INDEX('APA Summary'!$B$32:$J$32,K$5-2025)/INDEX('APA Summary'!$B$22:$J$22,K$5-2025),0)</f>
        <v>319.937883333334</v>
      </c>
      <c r="L20" s="430" t="n">
        <f aca="false">IF(L$4&gt;='APA Inputs'!$B$6,INDEX('APA Summary'!$B$32:$J$32,L$5-2025)/INDEX('APA Summary'!$B$22:$J$22,L$5-2025),0)</f>
        <v>319.937883333334</v>
      </c>
      <c r="M20" s="430" t="n">
        <f aca="false">IF(M$4&gt;='APA Inputs'!$B$6,INDEX('APA Summary'!$B$32:$J$32,M$5-2025)/INDEX('APA Summary'!$B$22:$J$22,M$5-2025),0)</f>
        <v>319.937883333334</v>
      </c>
      <c r="N20" s="430" t="n">
        <f aca="false">IF(N$4&gt;='APA Inputs'!$B$6,INDEX('APA Summary'!$B$32:$J$32,N$5-2025)/INDEX('APA Summary'!$B$22:$J$22,N$5-2025),0)</f>
        <v>10875.8597981481</v>
      </c>
      <c r="O20" s="430" t="n">
        <f aca="false">IF(O$4&gt;='APA Inputs'!$B$6,INDEX('APA Summary'!$B$32:$J$32,O$5-2025)/INDEX('APA Summary'!$B$22:$J$22,O$5-2025),0)</f>
        <v>10875.8597981481</v>
      </c>
      <c r="P20" s="430" t="n">
        <f aca="false">IF(P$4&gt;='APA Inputs'!$B$6,INDEX('APA Summary'!$B$32:$J$32,P$5-2025)/INDEX('APA Summary'!$B$22:$J$22,P$5-2025),0)</f>
        <v>10875.8597981481</v>
      </c>
      <c r="Q20" s="430" t="n">
        <f aca="false">IF(Q$4&gt;='APA Inputs'!$B$6,INDEX('APA Summary'!$B$32:$J$32,Q$5-2025)/INDEX('APA Summary'!$B$22:$J$22,Q$5-2025),0)</f>
        <v>10875.8597981481</v>
      </c>
      <c r="R20" s="430" t="n">
        <f aca="false">IF(R$4&gt;='APA Inputs'!$B$6,INDEX('APA Summary'!$B$32:$J$32,R$5-2025)/INDEX('APA Summary'!$B$22:$J$22,R$5-2025),0)</f>
        <v>10875.8597981481</v>
      </c>
      <c r="S20" s="430" t="n">
        <f aca="false">IF(S$4&gt;='APA Inputs'!$B$6,INDEX('APA Summary'!$B$32:$J$32,S$5-2025)/INDEX('APA Summary'!$B$22:$J$22,S$5-2025),0)</f>
        <v>10875.8597981481</v>
      </c>
      <c r="T20" s="430" t="n">
        <f aca="false">IF(T$4&gt;='APA Inputs'!$B$6,INDEX('APA Summary'!$B$32:$J$32,T$5-2025)/INDEX('APA Summary'!$B$22:$J$22,T$5-2025),0)</f>
        <v>10875.8597981481</v>
      </c>
      <c r="U20" s="430" t="n">
        <f aca="false">IF(U$4&gt;='APA Inputs'!$B$6,INDEX('APA Summary'!$B$32:$J$32,U$5-2025)/INDEX('APA Summary'!$B$22:$J$22,U$5-2025),0)</f>
        <v>10875.8597981481</v>
      </c>
      <c r="V20" s="430" t="n">
        <f aca="false">IF(V$4&gt;='APA Inputs'!$B$6,INDEX('APA Summary'!$B$32:$J$32,V$5-2025)/INDEX('APA Summary'!$B$22:$J$22,V$5-2025),0)</f>
        <v>10875.8597981481</v>
      </c>
      <c r="W20" s="430" t="n">
        <f aca="false">IF(W$4&gt;='APA Inputs'!$B$6,INDEX('APA Summary'!$B$32:$J$32,W$5-2025)/INDEX('APA Summary'!$B$22:$J$22,W$5-2025),0)</f>
        <v>10875.8597981481</v>
      </c>
      <c r="X20" s="430" t="n">
        <f aca="false">IF(X$4&gt;='APA Inputs'!$B$6,INDEX('APA Summary'!$B$32:$J$32,X$5-2025)/INDEX('APA Summary'!$B$22:$J$22,X$5-2025),0)</f>
        <v>10875.8597981481</v>
      </c>
      <c r="Y20" s="430" t="n">
        <f aca="false">IF(Y$4&gt;='APA Inputs'!$B$6,INDEX('APA Summary'!$B$32:$J$32,Y$5-2025)/INDEX('APA Summary'!$B$22:$J$22,Y$5-2025),0)</f>
        <v>10875.8597981481</v>
      </c>
      <c r="Z20" s="430" t="n">
        <f aca="false">IF(Z$4&gt;='APA Inputs'!$B$6,INDEX('APA Summary'!$B$32:$J$32,Z$5-2025)/INDEX('APA Summary'!$B$22:$J$22,Z$5-2025),0)</f>
        <v>10445.2527435185</v>
      </c>
      <c r="AA20" s="430" t="n">
        <f aca="false">IF(AA$4&gt;='APA Inputs'!$B$6,INDEX('APA Summary'!$B$32:$J$32,AA$5-2025)/INDEX('APA Summary'!$B$22:$J$22,AA$5-2025),0)</f>
        <v>10445.2527435185</v>
      </c>
      <c r="AB20" s="430" t="n">
        <f aca="false">IF(AB$4&gt;='APA Inputs'!$B$6,INDEX('APA Summary'!$B$32:$J$32,AB$5-2025)/INDEX('APA Summary'!$B$22:$J$22,AB$5-2025),0)</f>
        <v>10445.2527435185</v>
      </c>
      <c r="AC20" s="430" t="n">
        <f aca="false">IF(AC$4&gt;='APA Inputs'!$B$6,INDEX('APA Summary'!$B$32:$J$32,AC$5-2025)/INDEX('APA Summary'!$B$22:$J$22,AC$5-2025),0)</f>
        <v>10445.2527435185</v>
      </c>
      <c r="AD20" s="430" t="n">
        <f aca="false">IF(AD$4&gt;='APA Inputs'!$B$6,INDEX('APA Summary'!$B$32:$J$32,AD$5-2025)/INDEX('APA Summary'!$B$22:$J$22,AD$5-2025),0)</f>
        <v>10445.2527435185</v>
      </c>
      <c r="AE20" s="430" t="n">
        <f aca="false">IF(AE$4&gt;='APA Inputs'!$B$6,INDEX('APA Summary'!$B$32:$J$32,AE$5-2025)/INDEX('APA Summary'!$B$22:$J$22,AE$5-2025),0)</f>
        <v>10445.2527435185</v>
      </c>
      <c r="AF20" s="430" t="n">
        <f aca="false">IF(AF$4&gt;='APA Inputs'!$B$6,INDEX('APA Summary'!$B$32:$J$32,AF$5-2025)/INDEX('APA Summary'!$B$22:$J$22,AF$5-2025),0)</f>
        <v>10445.2527435185</v>
      </c>
      <c r="AG20" s="430" t="n">
        <f aca="false">IF(AG$4&gt;='APA Inputs'!$B$6,INDEX('APA Summary'!$B$32:$J$32,AG$5-2025)/INDEX('APA Summary'!$B$22:$J$22,AG$5-2025),0)</f>
        <v>10445.2527435185</v>
      </c>
      <c r="AH20" s="430" t="n">
        <f aca="false">IF(AH$4&gt;='APA Inputs'!$B$6,INDEX('APA Summary'!$B$32:$J$32,AH$5-2025)/INDEX('APA Summary'!$B$22:$J$22,AH$5-2025),0)</f>
        <v>10445.2527435185</v>
      </c>
      <c r="AI20" s="430" t="n">
        <f aca="false">IF(AI$4&gt;='APA Inputs'!$B$6,INDEX('APA Summary'!$B$32:$J$32,AI$5-2025)/INDEX('APA Summary'!$B$22:$J$22,AI$5-2025),0)</f>
        <v>10445.2527435185</v>
      </c>
      <c r="AJ20" s="430" t="n">
        <f aca="false">IF(AJ$4&gt;='APA Inputs'!$B$6,INDEX('APA Summary'!$B$32:$J$32,AJ$5-2025)/INDEX('APA Summary'!$B$22:$J$22,AJ$5-2025),0)</f>
        <v>10445.2527435185</v>
      </c>
      <c r="AK20" s="430" t="n">
        <f aca="false">IF(AK$4&gt;='APA Inputs'!$B$6,INDEX('APA Summary'!$B$32:$J$32,AK$5-2025)/INDEX('APA Summary'!$B$22:$J$22,AK$5-2025),0)</f>
        <v>10445.2527435185</v>
      </c>
      <c r="AL20" s="430" t="n">
        <f aca="false">IF(AL$4&gt;='APA Inputs'!$B$6,INDEX('APA Summary'!$B$32:$J$32,AL$5-2025)/INDEX('APA Summary'!$B$22:$J$22,AL$5-2025),0)</f>
        <v>0</v>
      </c>
      <c r="AM20" s="430" t="n">
        <f aca="false">IF(AM$4&gt;='APA Inputs'!$B$6,INDEX('APA Summary'!$B$32:$J$32,AM$5-2025)/INDEX('APA Summary'!$B$22:$J$22,AM$5-2025),0)</f>
        <v>0</v>
      </c>
      <c r="AN20" s="430" t="n">
        <f aca="false">IF(AN$4&gt;='APA Inputs'!$B$6,INDEX('APA Summary'!$B$32:$J$32,AN$5-2025)/INDEX('APA Summary'!$B$22:$J$22,AN$5-2025),0)</f>
        <v>0</v>
      </c>
      <c r="AO20" s="430" t="n">
        <f aca="false">IF(AO$4&gt;='APA Inputs'!$B$6,INDEX('APA Summary'!$B$32:$J$32,AO$5-2025)/INDEX('APA Summary'!$B$22:$J$22,AO$5-2025),0)</f>
        <v>0</v>
      </c>
      <c r="AP20" s="430" t="n">
        <f aca="false">IF(AP$4&gt;='APA Inputs'!$B$6,INDEX('APA Summary'!$B$32:$J$32,AP$5-2025)/INDEX('APA Summary'!$B$22:$J$22,AP$5-2025),0)</f>
        <v>0</v>
      </c>
      <c r="AQ20" s="430" t="n">
        <f aca="false">IF(AQ$4&gt;='APA Inputs'!$B$6,INDEX('APA Summary'!$B$32:$J$32,AQ$5-2025)/INDEX('APA Summary'!$B$22:$J$22,AQ$5-2025),0)</f>
        <v>0</v>
      </c>
      <c r="AR20" s="430" t="n">
        <f aca="false">IF(AR$4&gt;='APA Inputs'!$B$6,INDEX('APA Summary'!$B$32:$J$32,AR$5-2025)/INDEX('APA Summary'!$B$22:$J$22,AR$5-2025),0)</f>
        <v>0</v>
      </c>
      <c r="AS20" s="430" t="n">
        <f aca="false">IF(AS$4&gt;='APA Inputs'!$B$6,INDEX('APA Summary'!$B$32:$J$32,AS$5-2025)/INDEX('APA Summary'!$B$22:$J$22,AS$5-2025),0)</f>
        <v>0</v>
      </c>
      <c r="AT20" s="430" t="n">
        <f aca="false">IF(AT$4&gt;='APA Inputs'!$B$6,INDEX('APA Summary'!$B$32:$J$32,AT$5-2025)/INDEX('APA Summary'!$B$22:$J$22,AT$5-2025),0)</f>
        <v>0</v>
      </c>
      <c r="AU20" s="430" t="n">
        <f aca="false">IF(AU$4&gt;='APA Inputs'!$B$6,INDEX('APA Summary'!$B$32:$J$32,AU$5-2025)/INDEX('APA Summary'!$B$22:$J$22,AU$5-2025),0)</f>
        <v>0</v>
      </c>
      <c r="AV20" s="430" t="n">
        <f aca="false">IF(AV$4&gt;='APA Inputs'!$B$6,INDEX('APA Summary'!$B$32:$J$32,AV$5-2025)/INDEX('APA Summary'!$B$22:$J$22,AV$5-2025),0)</f>
        <v>0</v>
      </c>
      <c r="AW20" s="430" t="n">
        <f aca="false">IF(AW$4&gt;='APA Inputs'!$B$6,INDEX('APA Summary'!$B$32:$J$32,AW$5-2025)/INDEX('APA Summary'!$B$22:$J$22,AW$5-2025),0)</f>
        <v>0</v>
      </c>
      <c r="AX20" s="430" t="n">
        <f aca="false">IF(AX$4&gt;='APA Inputs'!$B$6,INDEX('APA Summary'!$B$32:$J$32,AX$5-2025)/INDEX('APA Summary'!$B$22:$J$22,AX$5-2025),0)</f>
        <v>0</v>
      </c>
      <c r="AY20" s="430" t="n">
        <f aca="false">IF(AY$4&gt;='APA Inputs'!$B$6,INDEX('APA Summary'!$B$32:$J$32,AY$5-2025)/INDEX('APA Summary'!$B$22:$J$22,AY$5-2025),0)</f>
        <v>0</v>
      </c>
      <c r="AZ20" s="430" t="n">
        <f aca="false">IF(AZ$4&gt;='APA Inputs'!$B$6,INDEX('APA Summary'!$B$32:$J$32,AZ$5-2025)/INDEX('APA Summary'!$B$22:$J$22,AZ$5-2025),0)</f>
        <v>0</v>
      </c>
      <c r="BA20" s="430" t="n">
        <f aca="false">IF(BA$4&gt;='APA Inputs'!$B$6,INDEX('APA Summary'!$B$32:$J$32,BA$5-2025)/INDEX('APA Summary'!$B$22:$J$22,BA$5-2025),0)</f>
        <v>0</v>
      </c>
      <c r="BB20" s="430" t="n">
        <f aca="false">IF(BB$4&gt;='APA Inputs'!$B$6,INDEX('APA Summary'!$B$32:$J$32,BB$5-2025)/INDEX('APA Summary'!$B$22:$J$22,BB$5-2025),0)</f>
        <v>0</v>
      </c>
      <c r="BC20" s="430" t="n">
        <f aca="false">IF(BC$4&gt;='APA Inputs'!$B$6,INDEX('APA Summary'!$B$32:$J$32,BC$5-2025)/INDEX('APA Summary'!$B$22:$J$22,BC$5-2025),0)</f>
        <v>0</v>
      </c>
      <c r="BD20" s="430" t="n">
        <f aca="false">IF(BD$4&gt;='APA Inputs'!$B$6,INDEX('APA Summary'!$B$32:$J$32,BD$5-2025)/INDEX('APA Summary'!$B$22:$J$22,BD$5-2025),0)</f>
        <v>0</v>
      </c>
      <c r="BE20" s="430" t="n">
        <f aca="false">IF(BE$4&gt;='APA Inputs'!$B$6,INDEX('APA Summary'!$B$32:$J$32,BE$5-2025)/INDEX('APA Summary'!$B$22:$J$22,BE$5-2025),0)</f>
        <v>0</v>
      </c>
      <c r="BF20" s="430" t="n">
        <f aca="false">IF(BF$4&gt;='APA Inputs'!$B$6,INDEX('APA Summary'!$B$32:$J$32,BF$5-2025)/INDEX('APA Summary'!$B$22:$J$22,BF$5-2025),0)</f>
        <v>0</v>
      </c>
      <c r="BG20" s="430" t="n">
        <f aca="false">IF(BG$4&gt;='APA Inputs'!$B$6,INDEX('APA Summary'!$B$32:$J$32,BG$5-2025)/INDEX('APA Summary'!$B$22:$J$22,BG$5-2025),0)</f>
        <v>0</v>
      </c>
      <c r="BH20" s="430" t="n">
        <f aca="false">IF(BH$4&gt;='APA Inputs'!$B$6,INDEX('APA Summary'!$B$32:$J$32,BH$5-2025)/INDEX('APA Summary'!$B$22:$J$22,BH$5-2025),0)</f>
        <v>0</v>
      </c>
      <c r="BI20" s="430" t="n">
        <f aca="false">IF(BI$4&gt;='APA Inputs'!$B$6,INDEX('APA Summary'!$B$32:$J$32,BI$5-2025)/INDEX('APA Summary'!$B$22:$J$22,BI$5-2025),0)</f>
        <v>0</v>
      </c>
      <c r="BJ20" s="430" t="n">
        <f aca="false">IF(BJ$4&gt;='APA Inputs'!$B$6,INDEX('APA Summary'!$B$32:$J$32,BJ$5-2025)/INDEX('APA Summary'!$B$22:$J$22,BJ$5-2025),0)</f>
        <v>0</v>
      </c>
      <c r="BK20" s="430" t="n">
        <f aca="false">IF(BK$4&gt;='APA Inputs'!$B$6,INDEX('APA Summary'!$B$32:$J$32,BK$5-2025)/INDEX('APA Summary'!$B$22:$J$22,BK$5-2025),0)</f>
        <v>0</v>
      </c>
      <c r="BL20" s="430" t="n">
        <f aca="false">IF(BL$4&gt;='APA Inputs'!$B$6,INDEX('APA Summary'!$B$32:$J$32,BL$5-2025)/INDEX('APA Summary'!$B$22:$J$22,BL$5-2025),0)</f>
        <v>0</v>
      </c>
      <c r="BM20" s="430" t="n">
        <f aca="false">IF(BM$4&gt;='APA Inputs'!$B$6,INDEX('APA Summary'!$B$32:$J$32,BM$5-2025)/INDEX('APA Summary'!$B$22:$J$22,BM$5-2025),0)</f>
        <v>0</v>
      </c>
      <c r="BN20" s="430" t="n">
        <f aca="false">IF(BN$4&gt;='APA Inputs'!$B$6,INDEX('APA Summary'!$B$32:$J$32,BN$5-2025)/INDEX('APA Summary'!$B$22:$J$22,BN$5-2025),0)</f>
        <v>0</v>
      </c>
      <c r="BO20" s="430" t="n">
        <f aca="false">IF(BO$4&gt;='APA Inputs'!$B$6,INDEX('APA Summary'!$B$32:$J$32,BO$5-2025)/INDEX('APA Summary'!$B$22:$J$22,BO$5-2025),0)</f>
        <v>0</v>
      </c>
      <c r="BP20" s="430" t="n">
        <f aca="false">IF(BP$4&gt;='APA Inputs'!$B$6,INDEX('APA Summary'!$B$32:$J$32,BP$5-2025)/INDEX('APA Summary'!$B$22:$J$22,BP$5-2025),0)</f>
        <v>0</v>
      </c>
      <c r="BQ20" s="430" t="n">
        <f aca="false">IF(BQ$4&gt;='APA Inputs'!$B$6,INDEX('APA Summary'!$B$32:$J$32,BQ$5-2025)/INDEX('APA Summary'!$B$22:$J$22,BQ$5-2025),0)</f>
        <v>0</v>
      </c>
      <c r="BR20" s="430" t="n">
        <f aca="false">IF(BR$4&gt;='APA Inputs'!$B$6,INDEX('APA Summary'!$B$32:$J$32,BR$5-2025)/INDEX('APA Summary'!$B$22:$J$22,BR$5-2025),0)</f>
        <v>0</v>
      </c>
      <c r="BS20" s="430" t="n">
        <f aca="false">IF(BS$4&gt;='APA Inputs'!$B$6,INDEX('APA Summary'!$B$32:$J$32,BS$5-2025)/INDEX('APA Summary'!$B$22:$J$22,BS$5-2025),0)</f>
        <v>0</v>
      </c>
      <c r="BT20" s="430" t="n">
        <f aca="false">IF(BT$4&gt;='APA Inputs'!$B$6,INDEX('APA Summary'!$B$32:$J$32,BT$5-2025)/INDEX('APA Summary'!$B$22:$J$22,BT$5-2025),0)</f>
        <v>0</v>
      </c>
      <c r="BU20" s="430" t="n">
        <f aca="false">IF(BU$4&gt;='APA Inputs'!$B$6,INDEX('APA Summary'!$B$32:$J$32,BU$5-2025)/INDEX('APA Summary'!$B$22:$J$22,BU$5-2025),0)</f>
        <v>0</v>
      </c>
      <c r="BV20" s="430" t="n">
        <f aca="false">IF(BV$4&gt;='APA Inputs'!$B$6,INDEX('APA Summary'!$B$32:$J$32,BV$5-2025)/INDEX('APA Summary'!$B$22:$J$22,BV$5-2025),0)</f>
        <v>0</v>
      </c>
      <c r="BW20" s="430" t="n">
        <f aca="false">IF(BW$4&gt;='APA Inputs'!$B$6,INDEX('APA Summary'!$B$32:$J$32,BW$5-2025)/INDEX('APA Summary'!$B$22:$J$22,BW$5-2025),0)</f>
        <v>0</v>
      </c>
      <c r="BX20" s="430" t="n">
        <f aca="false">IF(BX$4&gt;='APA Inputs'!$B$6,INDEX('APA Summary'!$B$32:$J$32,BX$5-2025)/INDEX('APA Summary'!$B$22:$J$22,BX$5-2025),0)</f>
        <v>0</v>
      </c>
      <c r="BY20" s="430" t="n">
        <f aca="false">IF(BY$4&gt;='APA Inputs'!$B$6,INDEX('APA Summary'!$B$32:$J$32,BY$5-2025)/INDEX('APA Summary'!$B$22:$J$22,BY$5-2025),0)</f>
        <v>0</v>
      </c>
      <c r="BZ20" s="430" t="n">
        <f aca="false">IF(BZ$4&gt;='APA Inputs'!$B$6,INDEX('APA Summary'!$B$32:$J$32,BZ$5-2025)/INDEX('APA Summary'!$B$22:$J$22,BZ$5-2025),0)</f>
        <v>0</v>
      </c>
      <c r="CA20" s="430" t="n">
        <f aca="false">IF(CA$4&gt;='APA Inputs'!$B$6,INDEX('APA Summary'!$B$32:$J$32,CA$5-2025)/INDEX('APA Summary'!$B$22:$J$22,CA$5-2025),0)</f>
        <v>0</v>
      </c>
      <c r="CB20" s="430" t="n">
        <f aca="false">IF(CB$4&gt;='APA Inputs'!$B$6,INDEX('APA Summary'!$B$32:$J$32,CB$5-2025)/INDEX('APA Summary'!$B$22:$J$22,CB$5-2025),0)</f>
        <v>0</v>
      </c>
      <c r="CC20" s="430" t="n">
        <f aca="false">IF(CC$4&gt;='APA Inputs'!$B$6,INDEX('APA Summary'!$B$32:$J$32,CC$5-2025)/INDEX('APA Summary'!$B$22:$J$22,CC$5-2025),0)</f>
        <v>0</v>
      </c>
      <c r="CD20" s="430" t="n">
        <f aca="false">IF(CD$4&gt;='APA Inputs'!$B$6,INDEX('APA Summary'!$B$32:$J$32,CD$5-2025)/INDEX('APA Summary'!$B$22:$J$22,CD$5-2025),0)</f>
        <v>0</v>
      </c>
      <c r="CE20" s="430" t="n">
        <f aca="false">IF(CE$4&gt;='APA Inputs'!$B$6,INDEX('APA Summary'!$B$32:$J$32,CE$5-2025)/INDEX('APA Summary'!$B$22:$J$22,CE$5-2025),0)</f>
        <v>0</v>
      </c>
      <c r="CF20" s="430" t="n">
        <f aca="false">IF(CF$4&gt;='APA Inputs'!$B$6,INDEX('APA Summary'!$B$32:$J$32,CF$5-2025)/INDEX('APA Summary'!$B$22:$J$22,CF$5-2025),0)</f>
        <v>0</v>
      </c>
      <c r="CG20" s="430" t="n">
        <f aca="false">IF(CG$4&gt;='APA Inputs'!$B$6,INDEX('APA Summary'!$B$32:$J$32,CG$5-2025)/INDEX('APA Summary'!$B$22:$J$22,CG$5-2025),0)</f>
        <v>0</v>
      </c>
      <c r="CH20" s="430" t="n">
        <f aca="false">IF(CH$4&gt;='APA Inputs'!$B$6,INDEX('APA Summary'!$B$32:$J$32,CH$5-2025)/INDEX('APA Summary'!$B$22:$J$22,CH$5-2025),0)</f>
        <v>0</v>
      </c>
      <c r="CI20" s="430" t="n">
        <f aca="false">IF(CI$4&gt;='APA Inputs'!$B$6,INDEX('APA Summary'!$B$32:$J$32,CI$5-2025)/INDEX('APA Summary'!$B$22:$J$22,CI$5-2025),0)</f>
        <v>0</v>
      </c>
      <c r="CJ20" s="430" t="n">
        <f aca="false">IF(CJ$4&gt;='APA Inputs'!$B$6,INDEX('APA Summary'!$B$32:$J$32,CJ$5-2025)/INDEX('APA Summary'!$B$22:$J$22,CJ$5-2025),0)</f>
        <v>0</v>
      </c>
      <c r="CK20" s="430" t="n">
        <f aca="false">IF(CK$4&gt;='APA Inputs'!$B$6,INDEX('APA Summary'!$B$32:$J$32,CK$5-2025)/INDEX('APA Summary'!$B$22:$J$22,CK$5-2025),0)</f>
        <v>0</v>
      </c>
      <c r="CL20" s="430" t="n">
        <f aca="false">IF(CL$4&gt;='APA Inputs'!$B$6,INDEX('APA Summary'!$B$32:$J$32,CL$5-2025)/INDEX('APA Summary'!$B$22:$J$22,CL$5-2025),0)</f>
        <v>0</v>
      </c>
      <c r="CM20" s="430" t="n">
        <f aca="false">IF(CM$4&gt;='APA Inputs'!$B$6,INDEX('APA Summary'!$B$32:$J$32,CM$5-2025)/INDEX('APA Summary'!$B$22:$J$22,CM$5-2025),0)</f>
        <v>0</v>
      </c>
      <c r="CN20" s="430" t="n">
        <f aca="false">IF(CN$4&gt;='APA Inputs'!$B$6,INDEX('APA Summary'!$B$32:$J$32,CN$5-2025)/INDEX('APA Summary'!$B$22:$J$22,CN$5-2025),0)</f>
        <v>0</v>
      </c>
      <c r="CO20" s="430" t="n">
        <f aca="false">IF(CO$4&gt;='APA Inputs'!$B$6,INDEX('APA Summary'!$B$32:$J$32,CO$5-2025)/INDEX('APA Summary'!$B$22:$J$22,CO$5-2025),0)</f>
        <v>0</v>
      </c>
      <c r="CP20" s="430" t="n">
        <f aca="false">IF(CP$4&gt;='APA Inputs'!$B$6,INDEX('APA Summary'!$B$32:$J$32,CP$5-2025)/INDEX('APA Summary'!$B$22:$J$22,CP$5-2025),0)</f>
        <v>0</v>
      </c>
      <c r="CQ20" s="430" t="n">
        <f aca="false">IF(CQ$4&gt;='APA Inputs'!$B$6,INDEX('APA Summary'!$B$32:$J$32,CQ$5-2025)/INDEX('APA Summary'!$B$22:$J$22,CQ$5-2025),0)</f>
        <v>0</v>
      </c>
      <c r="CR20" s="430" t="n">
        <f aca="false">IF(CR$4&gt;='APA Inputs'!$B$6,INDEX('APA Summary'!$B$32:$J$32,CR$5-2025)/INDEX('APA Summary'!$B$22:$J$22,CR$5-2025),0)</f>
        <v>0</v>
      </c>
      <c r="CS20" s="430" t="n">
        <f aca="false">IF(CS$4&gt;='APA Inputs'!$B$6,INDEX('APA Summary'!$B$32:$J$32,CS$5-2025)/INDEX('APA Summary'!$B$22:$J$22,CS$5-2025),0)</f>
        <v>0</v>
      </c>
      <c r="CT20" s="430" t="n">
        <f aca="false">IF(CT$4&gt;='APA Inputs'!$B$6,INDEX('APA Summary'!$B$32:$J$32,CT$5-2025)/INDEX('APA Summary'!$B$22:$J$22,CT$5-2025),0)</f>
        <v>0</v>
      </c>
      <c r="CU20" s="430" t="n">
        <f aca="false">IF(CU$4&gt;='APA Inputs'!$B$6,INDEX('APA Summary'!$B$32:$J$32,CU$5-2025)/INDEX('APA Summary'!$B$22:$J$22,CU$5-2025),0)</f>
        <v>0</v>
      </c>
      <c r="CV20" s="430" t="n">
        <f aca="false">IF(CV$4&gt;='APA Inputs'!$B$6,INDEX('APA Summary'!$B$32:$J$32,CV$5-2025)/INDEX('APA Summary'!$B$22:$J$22,CV$5-2025),0)</f>
        <v>0</v>
      </c>
      <c r="CW20" s="430" t="n">
        <f aca="false">IF(CW$4&gt;='APA Inputs'!$B$6,INDEX('APA Summary'!$B$32:$J$32,CW$5-2025)/INDEX('APA Summary'!$B$22:$J$22,CW$5-2025),0)</f>
        <v>0</v>
      </c>
      <c r="CX20" s="430" t="n">
        <f aca="false">IF(CX$4&gt;='APA Inputs'!$B$6,INDEX('APA Summary'!$B$32:$J$32,CX$5-2025)/INDEX('APA Summary'!$B$22:$J$22,CX$5-2025),0)</f>
        <v>0</v>
      </c>
      <c r="CY20" s="430" t="n">
        <f aca="false">IF(CY$4&gt;='APA Inputs'!$B$6,INDEX('APA Summary'!$B$32:$J$32,CY$5-2025)/INDEX('APA Summary'!$B$22:$J$22,CY$5-2025),0)</f>
        <v>0</v>
      </c>
      <c r="CZ20" s="430" t="n">
        <f aca="false">IF(CZ$4&gt;='APA Inputs'!$B$6,INDEX('APA Summary'!$B$32:$J$32,CZ$5-2025)/INDEX('APA Summary'!$B$22:$J$22,CZ$5-2025),0)</f>
        <v>0</v>
      </c>
      <c r="DA20" s="430" t="n">
        <f aca="false">IF(DA$4&gt;='APA Inputs'!$B$6,INDEX('APA Summary'!$B$32:$J$32,DA$5-2025)/INDEX('APA Summary'!$B$22:$J$22,DA$5-2025),0)</f>
        <v>0</v>
      </c>
      <c r="DB20" s="430" t="n">
        <f aca="false">IF(DB$4&gt;='APA Inputs'!$B$6,INDEX('APA Summary'!$B$32:$J$32,DB$5-2025)/INDEX('APA Summary'!$B$22:$J$22,DB$5-2025),0)</f>
        <v>0</v>
      </c>
      <c r="DC20" s="430" t="n">
        <f aca="false">IF(DC$4&gt;='APA Inputs'!$B$6,INDEX('APA Summary'!$B$32:$J$32,DC$5-2025)/INDEX('APA Summary'!$B$22:$J$22,DC$5-2025),0)</f>
        <v>0</v>
      </c>
      <c r="DD20" s="430" t="n">
        <f aca="false">IF(DD$4&gt;='APA Inputs'!$B$6,INDEX('APA Summary'!$B$32:$J$32,DD$5-2025)/INDEX('APA Summary'!$B$22:$J$22,DD$5-2025),0)</f>
        <v>0</v>
      </c>
      <c r="DE20" s="430" t="n">
        <f aca="false">IF(DE$4&gt;='APA Inputs'!$B$6,INDEX('APA Summary'!$B$32:$J$32,DE$5-2025)/INDEX('APA Summary'!$B$22:$J$22,DE$5-2025),0)</f>
        <v>0</v>
      </c>
    </row>
    <row r="21" customFormat="false" ht="15" hidden="false" customHeight="true" outlineLevel="0" collapsed="false">
      <c r="A21" s="1" t="s">
        <v>1544</v>
      </c>
      <c r="B21" s="430" t="n">
        <f aca="false">IF(AND(MONTH(B$4)='APA Inputs'!$B$18,B$5-1&gt;=YEAR('APA Inputs'!$B$6)),INDEX('APA Summary'!$B$47:$J$47,B$5-1-2025),0)</f>
        <v>0</v>
      </c>
      <c r="C21" s="430" t="n">
        <f aca="false">IF(AND(MONTH(C$4)='APA Inputs'!$B$18,C$5-1&gt;=YEAR('APA Inputs'!$B$6)),INDEX('APA Summary'!$B$47:$J$47,C$5-1-2025),0)</f>
        <v>0</v>
      </c>
      <c r="D21" s="430" t="n">
        <f aca="false">IF(AND(MONTH(D$4)='APA Inputs'!$B$18,D$5-1&gt;=YEAR('APA Inputs'!$B$6)),INDEX('APA Summary'!$B$47:$J$47,D$5-1-2025),0)</f>
        <v>0</v>
      </c>
      <c r="E21" s="430" t="n">
        <f aca="false">IF(AND(MONTH(E$4)='APA Inputs'!$B$18,E$5-1&gt;=YEAR('APA Inputs'!$B$6)),INDEX('APA Summary'!$B$47:$J$47,E$5-1-2025),0)</f>
        <v>0</v>
      </c>
      <c r="F21" s="430" t="n">
        <f aca="false">IF(AND(MONTH(F$4)='APA Inputs'!$B$18,F$5-1&gt;=YEAR('APA Inputs'!$B$6)),INDEX('APA Summary'!$B$47:$J$47,F$5-1-2025),0)</f>
        <v>0</v>
      </c>
      <c r="G21" s="430" t="n">
        <f aca="false">IF(AND(MONTH(G$4)='APA Inputs'!$B$18,G$5-1&gt;=YEAR('APA Inputs'!$B$6)),INDEX('APA Summary'!$B$47:$J$47,G$5-1-2025),0)</f>
        <v>0</v>
      </c>
      <c r="H21" s="430" t="n">
        <f aca="false">IF(AND(MONTH(H$4)='APA Inputs'!$B$18,H$5-1&gt;=YEAR('APA Inputs'!$B$6)),INDEX('APA Summary'!$B$47:$J$47,H$5-1-2025),0)</f>
        <v>0</v>
      </c>
      <c r="I21" s="430" t="n">
        <f aca="false">IF(AND(MONTH(I$4)='APA Inputs'!$B$18,I$5-1&gt;=YEAR('APA Inputs'!$B$6)),INDEX('APA Summary'!$B$47:$J$47,I$5-1-2025),0)</f>
        <v>0</v>
      </c>
      <c r="J21" s="430" t="n">
        <f aca="false">IF(AND(MONTH(J$4)='APA Inputs'!$B$18,J$5-1&gt;=YEAR('APA Inputs'!$B$6)),INDEX('APA Summary'!$B$47:$J$47,J$5-1-2025),0)</f>
        <v>0</v>
      </c>
      <c r="K21" s="430" t="n">
        <f aca="false">IF(AND(MONTH(K$4)='APA Inputs'!$B$18,K$5-1&gt;=YEAR('APA Inputs'!$B$6)),INDEX('APA Summary'!$B$47:$J$47,K$5-1-2025),0)</f>
        <v>0</v>
      </c>
      <c r="L21" s="430" t="n">
        <f aca="false">IF(AND(MONTH(L$4)='APA Inputs'!$B$18,L$5-1&gt;=YEAR('APA Inputs'!$B$6)),INDEX('APA Summary'!$B$47:$J$47,L$5-1-2025),0)</f>
        <v>0</v>
      </c>
      <c r="M21" s="430" t="n">
        <f aca="false">IF(AND(MONTH(M$4)='APA Inputs'!$B$18,M$5-1&gt;=YEAR('APA Inputs'!$B$6)),INDEX('APA Summary'!$B$47:$J$47,M$5-1-2025),0)</f>
        <v>0</v>
      </c>
      <c r="N21" s="430" t="n">
        <f aca="false">IF(AND(MONTH(N$4)='APA Inputs'!$B$18,N$5-1&gt;=YEAR('APA Inputs'!$B$6)),INDEX('APA Summary'!$B$47:$J$47,N$5-1-2025),0)</f>
        <v>0</v>
      </c>
      <c r="O21" s="430" t="n">
        <f aca="false">IF(AND(MONTH(O$4)='APA Inputs'!$B$18,O$5-1&gt;=YEAR('APA Inputs'!$B$6)),INDEX('APA Summary'!$B$47:$J$47,O$5-1-2025),0)</f>
        <v>0</v>
      </c>
      <c r="P21" s="430" t="n">
        <f aca="false">IF(AND(MONTH(P$4)='APA Inputs'!$B$18,P$5-1&gt;=YEAR('APA Inputs'!$B$6)),INDEX('APA Summary'!$B$47:$J$47,P$5-1-2025),0)</f>
        <v>799.845532999997</v>
      </c>
      <c r="Q21" s="430" t="n">
        <f aca="false">IF(AND(MONTH(Q$4)='APA Inputs'!$B$18,Q$5-1&gt;=YEAR('APA Inputs'!$B$6)),INDEX('APA Summary'!$B$47:$J$47,Q$5-1-2025),0)</f>
        <v>0</v>
      </c>
      <c r="R21" s="430" t="n">
        <f aca="false">IF(AND(MONTH(R$4)='APA Inputs'!$B$18,R$5-1&gt;=YEAR('APA Inputs'!$B$6)),INDEX('APA Summary'!$B$47:$J$47,R$5-1-2025),0)</f>
        <v>0</v>
      </c>
      <c r="S21" s="430" t="n">
        <f aca="false">IF(AND(MONTH(S$4)='APA Inputs'!$B$18,S$5-1&gt;=YEAR('APA Inputs'!$B$6)),INDEX('APA Summary'!$B$47:$J$47,S$5-1-2025),0)</f>
        <v>0</v>
      </c>
      <c r="T21" s="430" t="n">
        <f aca="false">IF(AND(MONTH(T$4)='APA Inputs'!$B$18,T$5-1&gt;=YEAR('APA Inputs'!$B$6)),INDEX('APA Summary'!$B$47:$J$47,T$5-1-2025),0)</f>
        <v>0</v>
      </c>
      <c r="U21" s="430" t="n">
        <f aca="false">IF(AND(MONTH(U$4)='APA Inputs'!$B$18,U$5-1&gt;=YEAR('APA Inputs'!$B$6)),INDEX('APA Summary'!$B$47:$J$47,U$5-1-2025),0)</f>
        <v>0</v>
      </c>
      <c r="V21" s="430" t="n">
        <f aca="false">IF(AND(MONTH(V$4)='APA Inputs'!$B$18,V$5-1&gt;=YEAR('APA Inputs'!$B$6)),INDEX('APA Summary'!$B$47:$J$47,V$5-1-2025),0)</f>
        <v>0</v>
      </c>
      <c r="W21" s="430" t="n">
        <f aca="false">IF(AND(MONTH(W$4)='APA Inputs'!$B$18,W$5-1&gt;=YEAR('APA Inputs'!$B$6)),INDEX('APA Summary'!$B$47:$J$47,W$5-1-2025),0)</f>
        <v>0</v>
      </c>
      <c r="X21" s="430" t="n">
        <f aca="false">IF(AND(MONTH(X$4)='APA Inputs'!$B$18,X$5-1&gt;=YEAR('APA Inputs'!$B$6)),INDEX('APA Summary'!$B$47:$J$47,X$5-1-2025),0)</f>
        <v>0</v>
      </c>
      <c r="Y21" s="430" t="n">
        <f aca="false">IF(AND(MONTH(Y$4)='APA Inputs'!$B$18,Y$5-1&gt;=YEAR('APA Inputs'!$B$6)),INDEX('APA Summary'!$B$47:$J$47,Y$5-1-2025),0)</f>
        <v>0</v>
      </c>
      <c r="Z21" s="430" t="n">
        <f aca="false">IF(AND(MONTH(Z$4)='APA Inputs'!$B$18,Z$5-1&gt;=YEAR('APA Inputs'!$B$6)),INDEX('APA Summary'!$B$47:$J$47,Z$5-1-2025),0)</f>
        <v>0</v>
      </c>
      <c r="AA21" s="430" t="n">
        <f aca="false">IF(AND(MONTH(AA$4)='APA Inputs'!$B$18,AA$5-1&gt;=YEAR('APA Inputs'!$B$6)),INDEX('APA Summary'!$B$47:$J$47,AA$5-1-2025),0)</f>
        <v>0</v>
      </c>
      <c r="AB21" s="430" t="n">
        <f aca="false">IF(AND(MONTH(AB$4)='APA Inputs'!$B$18,AB$5-1&gt;=YEAR('APA Inputs'!$B$6)),INDEX('APA Summary'!$B$47:$J$47,AB$5-1-2025),0)</f>
        <v>5342.99288189947</v>
      </c>
      <c r="AC21" s="430" t="n">
        <f aca="false">IF(AND(MONTH(AC$4)='APA Inputs'!$B$18,AC$5-1&gt;=YEAR('APA Inputs'!$B$6)),INDEX('APA Summary'!$B$47:$J$47,AC$5-1-2025),0)</f>
        <v>0</v>
      </c>
      <c r="AD21" s="430" t="n">
        <f aca="false">IF(AND(MONTH(AD$4)='APA Inputs'!$B$18,AD$5-1&gt;=YEAR('APA Inputs'!$B$6)),INDEX('APA Summary'!$B$47:$J$47,AD$5-1-2025),0)</f>
        <v>0</v>
      </c>
      <c r="AE21" s="430" t="n">
        <f aca="false">IF(AND(MONTH(AE$4)='APA Inputs'!$B$18,AE$5-1&gt;=YEAR('APA Inputs'!$B$6)),INDEX('APA Summary'!$B$47:$J$47,AE$5-1-2025),0)</f>
        <v>0</v>
      </c>
      <c r="AF21" s="430" t="n">
        <f aca="false">IF(AND(MONTH(AF$4)='APA Inputs'!$B$18,AF$5-1&gt;=YEAR('APA Inputs'!$B$6)),INDEX('APA Summary'!$B$47:$J$47,AF$5-1-2025),0)</f>
        <v>0</v>
      </c>
      <c r="AG21" s="430" t="n">
        <f aca="false">IF(AND(MONTH(AG$4)='APA Inputs'!$B$18,AG$5-1&gt;=YEAR('APA Inputs'!$B$6)),INDEX('APA Summary'!$B$47:$J$47,AG$5-1-2025),0)</f>
        <v>0</v>
      </c>
      <c r="AH21" s="430" t="n">
        <f aca="false">IF(AND(MONTH(AH$4)='APA Inputs'!$B$18,AH$5-1&gt;=YEAR('APA Inputs'!$B$6)),INDEX('APA Summary'!$B$47:$J$47,AH$5-1-2025),0)</f>
        <v>0</v>
      </c>
      <c r="AI21" s="430" t="n">
        <f aca="false">IF(AND(MONTH(AI$4)='APA Inputs'!$B$18,AI$5-1&gt;=YEAR('APA Inputs'!$B$6)),INDEX('APA Summary'!$B$47:$J$47,AI$5-1-2025),0)</f>
        <v>0</v>
      </c>
      <c r="AJ21" s="430" t="n">
        <f aca="false">IF(AND(MONTH(AJ$4)='APA Inputs'!$B$18,AJ$5-1&gt;=YEAR('APA Inputs'!$B$6)),INDEX('APA Summary'!$B$47:$J$47,AJ$5-1-2025),0)</f>
        <v>0</v>
      </c>
      <c r="AK21" s="430" t="n">
        <f aca="false">IF(AND(MONTH(AK$4)='APA Inputs'!$B$18,AK$5-1&gt;=YEAR('APA Inputs'!$B$6)),INDEX('APA Summary'!$B$47:$J$47,AK$5-1-2025),0)</f>
        <v>0</v>
      </c>
      <c r="AL21" s="430" t="n">
        <f aca="false">IF(AND(MONTH(AL$4)='APA Inputs'!$B$18,AL$5-1&gt;=YEAR('APA Inputs'!$B$6)),INDEX('APA Summary'!$B$47:$J$47,AL$5-1-2025),0)</f>
        <v>0</v>
      </c>
      <c r="AM21" s="430" t="n">
        <f aca="false">IF(AND(MONTH(AM$4)='APA Inputs'!$B$18,AM$5-1&gt;=YEAR('APA Inputs'!$B$6)),INDEX('APA Summary'!$B$47:$J$47,AM$5-1-2025),0)</f>
        <v>0</v>
      </c>
      <c r="AN21" s="430" t="n">
        <f aca="false">IF(AND(MONTH(AN$4)='APA Inputs'!$B$18,AN$5-1&gt;=YEAR('APA Inputs'!$B$6)),INDEX('APA Summary'!$B$47:$J$47,AN$5-1-2025),0)</f>
        <v>5584.27117921855</v>
      </c>
      <c r="AO21" s="430" t="n">
        <f aca="false">IF(AND(MONTH(AO$4)='APA Inputs'!$B$18,AO$5-1&gt;=YEAR('APA Inputs'!$B$6)),INDEX('APA Summary'!$B$47:$J$47,AO$5-1-2025),0)</f>
        <v>0</v>
      </c>
      <c r="AP21" s="430" t="n">
        <f aca="false">IF(AND(MONTH(AP$4)='APA Inputs'!$B$18,AP$5-1&gt;=YEAR('APA Inputs'!$B$6)),INDEX('APA Summary'!$B$47:$J$47,AP$5-1-2025),0)</f>
        <v>0</v>
      </c>
      <c r="AQ21" s="430" t="n">
        <f aca="false">IF(AND(MONTH(AQ$4)='APA Inputs'!$B$18,AQ$5-1&gt;=YEAR('APA Inputs'!$B$6)),INDEX('APA Summary'!$B$47:$J$47,AQ$5-1-2025),0)</f>
        <v>0</v>
      </c>
      <c r="AR21" s="430" t="n">
        <f aca="false">IF(AND(MONTH(AR$4)='APA Inputs'!$B$18,AR$5-1&gt;=YEAR('APA Inputs'!$B$6)),INDEX('APA Summary'!$B$47:$J$47,AR$5-1-2025),0)</f>
        <v>0</v>
      </c>
      <c r="AS21" s="430" t="n">
        <f aca="false">IF(AND(MONTH(AS$4)='APA Inputs'!$B$18,AS$5-1&gt;=YEAR('APA Inputs'!$B$6)),INDEX('APA Summary'!$B$47:$J$47,AS$5-1-2025),0)</f>
        <v>0</v>
      </c>
      <c r="AT21" s="430" t="n">
        <f aca="false">IF(AND(MONTH(AT$4)='APA Inputs'!$B$18,AT$5-1&gt;=YEAR('APA Inputs'!$B$6)),INDEX('APA Summary'!$B$47:$J$47,AT$5-1-2025),0)</f>
        <v>0</v>
      </c>
      <c r="AU21" s="430" t="n">
        <f aca="false">IF(AND(MONTH(AU$4)='APA Inputs'!$B$18,AU$5-1&gt;=YEAR('APA Inputs'!$B$6)),INDEX('APA Summary'!$B$47:$J$47,AU$5-1-2025),0)</f>
        <v>0</v>
      </c>
      <c r="AV21" s="430" t="n">
        <f aca="false">IF(AND(MONTH(AV$4)='APA Inputs'!$B$18,AV$5-1&gt;=YEAR('APA Inputs'!$B$6)),INDEX('APA Summary'!$B$47:$J$47,AV$5-1-2025),0)</f>
        <v>0</v>
      </c>
      <c r="AW21" s="430" t="n">
        <f aca="false">IF(AND(MONTH(AW$4)='APA Inputs'!$B$18,AW$5-1&gt;=YEAR('APA Inputs'!$B$6)),INDEX('APA Summary'!$B$47:$J$47,AW$5-1-2025),0)</f>
        <v>0</v>
      </c>
      <c r="AX21" s="430" t="n">
        <f aca="false">IF(AND(MONTH(AX$4)='APA Inputs'!$B$18,AX$5-1&gt;=YEAR('APA Inputs'!$B$6)),INDEX('APA Summary'!$B$47:$J$47,AX$5-1-2025),0)</f>
        <v>0</v>
      </c>
      <c r="AY21" s="430" t="n">
        <f aca="false">IF(AND(MONTH(AY$4)='APA Inputs'!$B$18,AY$5-1&gt;=YEAR('APA Inputs'!$B$6)),INDEX('APA Summary'!$B$47:$J$47,AY$5-1-2025),0)</f>
        <v>0</v>
      </c>
      <c r="AZ21" s="430" t="n">
        <f aca="false">IF(AND(MONTH(AZ$4)='APA Inputs'!$B$18,AZ$5-1&gt;=YEAR('APA Inputs'!$B$6)),INDEX('APA Summary'!$B$47:$J$47,AZ$5-1-2025),0)</f>
        <v>0</v>
      </c>
      <c r="BA21" s="430" t="n">
        <f aca="false">IF(AND(MONTH(BA$4)='APA Inputs'!$B$18,BA$5-1&gt;=YEAR('APA Inputs'!$B$6)),INDEX('APA Summary'!$B$47:$J$47,BA$5-1-2025),0)</f>
        <v>0</v>
      </c>
      <c r="BB21" s="430" t="n">
        <f aca="false">IF(AND(MONTH(BB$4)='APA Inputs'!$B$18,BB$5-1&gt;=YEAR('APA Inputs'!$B$6)),INDEX('APA Summary'!$B$47:$J$47,BB$5-1-2025),0)</f>
        <v>0</v>
      </c>
      <c r="BC21" s="430" t="n">
        <f aca="false">IF(AND(MONTH(BC$4)='APA Inputs'!$B$18,BC$5-1&gt;=YEAR('APA Inputs'!$B$6)),INDEX('APA Summary'!$B$47:$J$47,BC$5-1-2025),0)</f>
        <v>0</v>
      </c>
      <c r="BD21" s="430" t="n">
        <f aca="false">IF(AND(MONTH(BD$4)='APA Inputs'!$B$18,BD$5-1&gt;=YEAR('APA Inputs'!$B$6)),INDEX('APA Summary'!$B$47:$J$47,BD$5-1-2025),0)</f>
        <v>0</v>
      </c>
      <c r="BE21" s="430" t="n">
        <f aca="false">IF(AND(MONTH(BE$4)='APA Inputs'!$B$18,BE$5-1&gt;=YEAR('APA Inputs'!$B$6)),INDEX('APA Summary'!$B$47:$J$47,BE$5-1-2025),0)</f>
        <v>0</v>
      </c>
      <c r="BF21" s="430" t="n">
        <f aca="false">IF(AND(MONTH(BF$4)='APA Inputs'!$B$18,BF$5-1&gt;=YEAR('APA Inputs'!$B$6)),INDEX('APA Summary'!$B$47:$J$47,BF$5-1-2025),0)</f>
        <v>0</v>
      </c>
      <c r="BG21" s="430" t="n">
        <f aca="false">IF(AND(MONTH(BG$4)='APA Inputs'!$B$18,BG$5-1&gt;=YEAR('APA Inputs'!$B$6)),INDEX('APA Summary'!$B$47:$J$47,BG$5-1-2025),0)</f>
        <v>0</v>
      </c>
      <c r="BH21" s="430" t="n">
        <f aca="false">IF(AND(MONTH(BH$4)='APA Inputs'!$B$18,BH$5-1&gt;=YEAR('APA Inputs'!$B$6)),INDEX('APA Summary'!$B$47:$J$47,BH$5-1-2025),0)</f>
        <v>0</v>
      </c>
      <c r="BI21" s="430" t="n">
        <f aca="false">IF(AND(MONTH(BI$4)='APA Inputs'!$B$18,BI$5-1&gt;=YEAR('APA Inputs'!$B$6)),INDEX('APA Summary'!$B$47:$J$47,BI$5-1-2025),0)</f>
        <v>0</v>
      </c>
      <c r="BJ21" s="430" t="n">
        <f aca="false">IF(AND(MONTH(BJ$4)='APA Inputs'!$B$18,BJ$5-1&gt;=YEAR('APA Inputs'!$B$6)),INDEX('APA Summary'!$B$47:$J$47,BJ$5-1-2025),0)</f>
        <v>0</v>
      </c>
      <c r="BK21" s="430" t="n">
        <f aca="false">IF(AND(MONTH(BK$4)='APA Inputs'!$B$18,BK$5-1&gt;=YEAR('APA Inputs'!$B$6)),INDEX('APA Summary'!$B$47:$J$47,BK$5-1-2025),0)</f>
        <v>0</v>
      </c>
      <c r="BL21" s="430" t="n">
        <f aca="false">IF(AND(MONTH(BL$4)='APA Inputs'!$B$18,BL$5-1&gt;=YEAR('APA Inputs'!$B$6)),INDEX('APA Summary'!$B$47:$J$47,BL$5-1-2025),0)</f>
        <v>0</v>
      </c>
      <c r="BM21" s="430" t="n">
        <f aca="false">IF(AND(MONTH(BM$4)='APA Inputs'!$B$18,BM$5-1&gt;=YEAR('APA Inputs'!$B$6)),INDEX('APA Summary'!$B$47:$J$47,BM$5-1-2025),0)</f>
        <v>0</v>
      </c>
      <c r="BN21" s="430" t="n">
        <f aca="false">IF(AND(MONTH(BN$4)='APA Inputs'!$B$18,BN$5-1&gt;=YEAR('APA Inputs'!$B$6)),INDEX('APA Summary'!$B$47:$J$47,BN$5-1-2025),0)</f>
        <v>0</v>
      </c>
      <c r="BO21" s="430" t="n">
        <f aca="false">IF(AND(MONTH(BO$4)='APA Inputs'!$B$18,BO$5-1&gt;=YEAR('APA Inputs'!$B$6)),INDEX('APA Summary'!$B$47:$J$47,BO$5-1-2025),0)</f>
        <v>0</v>
      </c>
      <c r="BP21" s="430" t="n">
        <f aca="false">IF(AND(MONTH(BP$4)='APA Inputs'!$B$18,BP$5-1&gt;=YEAR('APA Inputs'!$B$6)),INDEX('APA Summary'!$B$47:$J$47,BP$5-1-2025),0)</f>
        <v>0</v>
      </c>
      <c r="BQ21" s="430" t="n">
        <f aca="false">IF(AND(MONTH(BQ$4)='APA Inputs'!$B$18,BQ$5-1&gt;=YEAR('APA Inputs'!$B$6)),INDEX('APA Summary'!$B$47:$J$47,BQ$5-1-2025),0)</f>
        <v>0</v>
      </c>
      <c r="BR21" s="430" t="n">
        <f aca="false">IF(AND(MONTH(BR$4)='APA Inputs'!$B$18,BR$5-1&gt;=YEAR('APA Inputs'!$B$6)),INDEX('APA Summary'!$B$47:$J$47,BR$5-1-2025),0)</f>
        <v>0</v>
      </c>
      <c r="BS21" s="430" t="n">
        <f aca="false">IF(AND(MONTH(BS$4)='APA Inputs'!$B$18,BS$5-1&gt;=YEAR('APA Inputs'!$B$6)),INDEX('APA Summary'!$B$47:$J$47,BS$5-1-2025),0)</f>
        <v>0</v>
      </c>
      <c r="BT21" s="430" t="n">
        <f aca="false">IF(AND(MONTH(BT$4)='APA Inputs'!$B$18,BT$5-1&gt;=YEAR('APA Inputs'!$B$6)),INDEX('APA Summary'!$B$47:$J$47,BT$5-1-2025),0)</f>
        <v>0</v>
      </c>
      <c r="BU21" s="430" t="n">
        <f aca="false">IF(AND(MONTH(BU$4)='APA Inputs'!$B$18,BU$5-1&gt;=YEAR('APA Inputs'!$B$6)),INDEX('APA Summary'!$B$47:$J$47,BU$5-1-2025),0)</f>
        <v>0</v>
      </c>
      <c r="BV21" s="430" t="n">
        <f aca="false">IF(AND(MONTH(BV$4)='APA Inputs'!$B$18,BV$5-1&gt;=YEAR('APA Inputs'!$B$6)),INDEX('APA Summary'!$B$47:$J$47,BV$5-1-2025),0)</f>
        <v>0</v>
      </c>
      <c r="BW21" s="430" t="n">
        <f aca="false">IF(AND(MONTH(BW$4)='APA Inputs'!$B$18,BW$5-1&gt;=YEAR('APA Inputs'!$B$6)),INDEX('APA Summary'!$B$47:$J$47,BW$5-1-2025),0)</f>
        <v>0</v>
      </c>
      <c r="BX21" s="430" t="n">
        <f aca="false">IF(AND(MONTH(BX$4)='APA Inputs'!$B$18,BX$5-1&gt;=YEAR('APA Inputs'!$B$6)),INDEX('APA Summary'!$B$47:$J$47,BX$5-1-2025),0)</f>
        <v>0</v>
      </c>
      <c r="BY21" s="430" t="n">
        <f aca="false">IF(AND(MONTH(BY$4)='APA Inputs'!$B$18,BY$5-1&gt;=YEAR('APA Inputs'!$B$6)),INDEX('APA Summary'!$B$47:$J$47,BY$5-1-2025),0)</f>
        <v>0</v>
      </c>
      <c r="BZ21" s="430" t="n">
        <f aca="false">IF(AND(MONTH(BZ$4)='APA Inputs'!$B$18,BZ$5-1&gt;=YEAR('APA Inputs'!$B$6)),INDEX('APA Summary'!$B$47:$J$47,BZ$5-1-2025),0)</f>
        <v>0</v>
      </c>
      <c r="CA21" s="430" t="n">
        <f aca="false">IF(AND(MONTH(CA$4)='APA Inputs'!$B$18,CA$5-1&gt;=YEAR('APA Inputs'!$B$6)),INDEX('APA Summary'!$B$47:$J$47,CA$5-1-2025),0)</f>
        <v>0</v>
      </c>
      <c r="CB21" s="430" t="n">
        <f aca="false">IF(AND(MONTH(CB$4)='APA Inputs'!$B$18,CB$5-1&gt;=YEAR('APA Inputs'!$B$6)),INDEX('APA Summary'!$B$47:$J$47,CB$5-1-2025),0)</f>
        <v>0</v>
      </c>
      <c r="CC21" s="430" t="n">
        <f aca="false">IF(AND(MONTH(CC$4)='APA Inputs'!$B$18,CC$5-1&gt;=YEAR('APA Inputs'!$B$6)),INDEX('APA Summary'!$B$47:$J$47,CC$5-1-2025),0)</f>
        <v>0</v>
      </c>
      <c r="CD21" s="430" t="n">
        <f aca="false">IF(AND(MONTH(CD$4)='APA Inputs'!$B$18,CD$5-1&gt;=YEAR('APA Inputs'!$B$6)),INDEX('APA Summary'!$B$47:$J$47,CD$5-1-2025),0)</f>
        <v>0</v>
      </c>
      <c r="CE21" s="430" t="n">
        <f aca="false">IF(AND(MONTH(CE$4)='APA Inputs'!$B$18,CE$5-1&gt;=YEAR('APA Inputs'!$B$6)),INDEX('APA Summary'!$B$47:$J$47,CE$5-1-2025),0)</f>
        <v>0</v>
      </c>
      <c r="CF21" s="430" t="n">
        <f aca="false">IF(AND(MONTH(CF$4)='APA Inputs'!$B$18,CF$5-1&gt;=YEAR('APA Inputs'!$B$6)),INDEX('APA Summary'!$B$47:$J$47,CF$5-1-2025),0)</f>
        <v>0</v>
      </c>
      <c r="CG21" s="430" t="n">
        <f aca="false">IF(AND(MONTH(CG$4)='APA Inputs'!$B$18,CG$5-1&gt;=YEAR('APA Inputs'!$B$6)),INDEX('APA Summary'!$B$47:$J$47,CG$5-1-2025),0)</f>
        <v>0</v>
      </c>
      <c r="CH21" s="430" t="n">
        <f aca="false">IF(AND(MONTH(CH$4)='APA Inputs'!$B$18,CH$5-1&gt;=YEAR('APA Inputs'!$B$6)),INDEX('APA Summary'!$B$47:$J$47,CH$5-1-2025),0)</f>
        <v>0</v>
      </c>
      <c r="CI21" s="430" t="n">
        <f aca="false">IF(AND(MONTH(CI$4)='APA Inputs'!$B$18,CI$5-1&gt;=YEAR('APA Inputs'!$B$6)),INDEX('APA Summary'!$B$47:$J$47,CI$5-1-2025),0)</f>
        <v>0</v>
      </c>
      <c r="CJ21" s="430" t="n">
        <f aca="false">IF(AND(MONTH(CJ$4)='APA Inputs'!$B$18,CJ$5-1&gt;=YEAR('APA Inputs'!$B$6)),INDEX('APA Summary'!$B$47:$J$47,CJ$5-1-2025),0)</f>
        <v>0</v>
      </c>
      <c r="CK21" s="430" t="n">
        <f aca="false">IF(AND(MONTH(CK$4)='APA Inputs'!$B$18,CK$5-1&gt;=YEAR('APA Inputs'!$B$6)),INDEX('APA Summary'!$B$47:$J$47,CK$5-1-2025),0)</f>
        <v>0</v>
      </c>
      <c r="CL21" s="430" t="n">
        <f aca="false">IF(AND(MONTH(CL$4)='APA Inputs'!$B$18,CL$5-1&gt;=YEAR('APA Inputs'!$B$6)),INDEX('APA Summary'!$B$47:$J$47,CL$5-1-2025),0)</f>
        <v>0</v>
      </c>
      <c r="CM21" s="430" t="n">
        <f aca="false">IF(AND(MONTH(CM$4)='APA Inputs'!$B$18,CM$5-1&gt;=YEAR('APA Inputs'!$B$6)),INDEX('APA Summary'!$B$47:$J$47,CM$5-1-2025),0)</f>
        <v>0</v>
      </c>
      <c r="CN21" s="430" t="n">
        <f aca="false">IF(AND(MONTH(CN$4)='APA Inputs'!$B$18,CN$5-1&gt;=YEAR('APA Inputs'!$B$6)),INDEX('APA Summary'!$B$47:$J$47,CN$5-1-2025),0)</f>
        <v>0</v>
      </c>
      <c r="CO21" s="430" t="n">
        <f aca="false">IF(AND(MONTH(CO$4)='APA Inputs'!$B$18,CO$5-1&gt;=YEAR('APA Inputs'!$B$6)),INDEX('APA Summary'!$B$47:$J$47,CO$5-1-2025),0)</f>
        <v>0</v>
      </c>
      <c r="CP21" s="430" t="n">
        <f aca="false">IF(AND(MONTH(CP$4)='APA Inputs'!$B$18,CP$5-1&gt;=YEAR('APA Inputs'!$B$6)),INDEX('APA Summary'!$B$47:$J$47,CP$5-1-2025),0)</f>
        <v>0</v>
      </c>
      <c r="CQ21" s="430" t="n">
        <f aca="false">IF(AND(MONTH(CQ$4)='APA Inputs'!$B$18,CQ$5-1&gt;=YEAR('APA Inputs'!$B$6)),INDEX('APA Summary'!$B$47:$J$47,CQ$5-1-2025),0)</f>
        <v>0</v>
      </c>
      <c r="CR21" s="430" t="n">
        <f aca="false">IF(AND(MONTH(CR$4)='APA Inputs'!$B$18,CR$5-1&gt;=YEAR('APA Inputs'!$B$6)),INDEX('APA Summary'!$B$47:$J$47,CR$5-1-2025),0)</f>
        <v>0</v>
      </c>
      <c r="CS21" s="430" t="n">
        <f aca="false">IF(AND(MONTH(CS$4)='APA Inputs'!$B$18,CS$5-1&gt;=YEAR('APA Inputs'!$B$6)),INDEX('APA Summary'!$B$47:$J$47,CS$5-1-2025),0)</f>
        <v>0</v>
      </c>
      <c r="CT21" s="430" t="n">
        <f aca="false">IF(AND(MONTH(CT$4)='APA Inputs'!$B$18,CT$5-1&gt;=YEAR('APA Inputs'!$B$6)),INDEX('APA Summary'!$B$47:$J$47,CT$5-1-2025),0)</f>
        <v>0</v>
      </c>
      <c r="CU21" s="430" t="n">
        <f aca="false">IF(AND(MONTH(CU$4)='APA Inputs'!$B$18,CU$5-1&gt;=YEAR('APA Inputs'!$B$6)),INDEX('APA Summary'!$B$47:$J$47,CU$5-1-2025),0)</f>
        <v>0</v>
      </c>
      <c r="CV21" s="430" t="n">
        <f aca="false">IF(AND(MONTH(CV$4)='APA Inputs'!$B$18,CV$5-1&gt;=YEAR('APA Inputs'!$B$6)),INDEX('APA Summary'!$B$47:$J$47,CV$5-1-2025),0)</f>
        <v>0</v>
      </c>
      <c r="CW21" s="430" t="n">
        <f aca="false">IF(AND(MONTH(CW$4)='APA Inputs'!$B$18,CW$5-1&gt;=YEAR('APA Inputs'!$B$6)),INDEX('APA Summary'!$B$47:$J$47,CW$5-1-2025),0)</f>
        <v>0</v>
      </c>
      <c r="CX21" s="430" t="n">
        <f aca="false">IF(AND(MONTH(CX$4)='APA Inputs'!$B$18,CX$5-1&gt;=YEAR('APA Inputs'!$B$6)),INDEX('APA Summary'!$B$47:$J$47,CX$5-1-2025),0)</f>
        <v>0</v>
      </c>
      <c r="CY21" s="430" t="n">
        <f aca="false">IF(AND(MONTH(CY$4)='APA Inputs'!$B$18,CY$5-1&gt;=YEAR('APA Inputs'!$B$6)),INDEX('APA Summary'!$B$47:$J$47,CY$5-1-2025),0)</f>
        <v>0</v>
      </c>
      <c r="CZ21" s="430" t="n">
        <f aca="false">IF(AND(MONTH(CZ$4)='APA Inputs'!$B$18,CZ$5-1&gt;=YEAR('APA Inputs'!$B$6)),INDEX('APA Summary'!$B$47:$J$47,CZ$5-1-2025),0)</f>
        <v>0</v>
      </c>
      <c r="DA21" s="430" t="n">
        <f aca="false">IF(AND(MONTH(DA$4)='APA Inputs'!$B$18,DA$5-1&gt;=YEAR('APA Inputs'!$B$6)),INDEX('APA Summary'!$B$47:$J$47,DA$5-1-2025),0)</f>
        <v>0</v>
      </c>
      <c r="DB21" s="430" t="n">
        <f aca="false">IF(AND(MONTH(DB$4)='APA Inputs'!$B$18,DB$5-1&gt;=YEAR('APA Inputs'!$B$6)),INDEX('APA Summary'!$B$47:$J$47,DB$5-1-2025),0)</f>
        <v>0</v>
      </c>
      <c r="DC21" s="430" t="n">
        <f aca="false">IF(AND(MONTH(DC$4)='APA Inputs'!$B$18,DC$5-1&gt;=YEAR('APA Inputs'!$B$6)),INDEX('APA Summary'!$B$47:$J$47,DC$5-1-2025),0)</f>
        <v>0</v>
      </c>
      <c r="DD21" s="430" t="n">
        <f aca="false">IF(AND(MONTH(DD$4)='APA Inputs'!$B$18,DD$5-1&gt;=YEAR('APA Inputs'!$B$6)),INDEX('APA Summary'!$B$47:$J$47,DD$5-1-2025),0)</f>
        <v>0</v>
      </c>
      <c r="DE21" s="430" t="n">
        <f aca="false">IF(AND(MONTH(DE$4)='APA Inputs'!$B$18,DE$5-1&gt;=YEAR('APA Inputs'!$B$6)),INDEX('APA Summary'!$B$47:$J$47,DE$5-1-2025),0)</f>
        <v>0</v>
      </c>
    </row>
    <row r="22" customFormat="false" ht="15" hidden="false" customHeight="true" outlineLevel="0" collapsed="false">
      <c r="A22" s="390" t="s">
        <v>1545</v>
      </c>
      <c r="B22" s="430" t="n">
        <f aca="false">B20+B21</f>
        <v>0</v>
      </c>
      <c r="C22" s="430" t="n">
        <f aca="false">C20+C21</f>
        <v>0</v>
      </c>
      <c r="D22" s="430" t="n">
        <f aca="false">D20+D21</f>
        <v>0</v>
      </c>
      <c r="E22" s="430" t="n">
        <f aca="false">E20+E21</f>
        <v>0</v>
      </c>
      <c r="F22" s="430" t="n">
        <f aca="false">F20+F21</f>
        <v>0</v>
      </c>
      <c r="G22" s="430" t="n">
        <f aca="false">G20+G21</f>
        <v>0</v>
      </c>
      <c r="H22" s="430" t="n">
        <f aca="false">H20+H21</f>
        <v>319.937883333334</v>
      </c>
      <c r="I22" s="430" t="n">
        <f aca="false">I20+I21</f>
        <v>319.937883333334</v>
      </c>
      <c r="J22" s="430" t="n">
        <f aca="false">J20+J21</f>
        <v>319.937883333334</v>
      </c>
      <c r="K22" s="430" t="n">
        <f aca="false">K20+K21</f>
        <v>319.937883333334</v>
      </c>
      <c r="L22" s="430" t="n">
        <f aca="false">L20+L21</f>
        <v>319.937883333334</v>
      </c>
      <c r="M22" s="430" t="n">
        <f aca="false">M20+M21</f>
        <v>319.937883333334</v>
      </c>
      <c r="N22" s="430" t="n">
        <f aca="false">N20+N21</f>
        <v>10875.8597981481</v>
      </c>
      <c r="O22" s="430" t="n">
        <f aca="false">O20+O21</f>
        <v>10875.8597981481</v>
      </c>
      <c r="P22" s="430" t="n">
        <f aca="false">P20+P21</f>
        <v>11675.7053311481</v>
      </c>
      <c r="Q22" s="430" t="n">
        <f aca="false">Q20+Q21</f>
        <v>10875.8597981481</v>
      </c>
      <c r="R22" s="430" t="n">
        <f aca="false">R20+R21</f>
        <v>10875.8597981481</v>
      </c>
      <c r="S22" s="430" t="n">
        <f aca="false">S20+S21</f>
        <v>10875.8597981481</v>
      </c>
      <c r="T22" s="430" t="n">
        <f aca="false">T20+T21</f>
        <v>10875.8597981481</v>
      </c>
      <c r="U22" s="430" t="n">
        <f aca="false">U20+U21</f>
        <v>10875.8597981481</v>
      </c>
      <c r="V22" s="430" t="n">
        <f aca="false">V20+V21</f>
        <v>10875.8597981481</v>
      </c>
      <c r="W22" s="430" t="n">
        <f aca="false">W20+W21</f>
        <v>10875.8597981481</v>
      </c>
      <c r="X22" s="430" t="n">
        <f aca="false">X20+X21</f>
        <v>10875.8597981481</v>
      </c>
      <c r="Y22" s="430" t="n">
        <f aca="false">Y20+Y21</f>
        <v>10875.8597981481</v>
      </c>
      <c r="Z22" s="430" t="n">
        <f aca="false">Z20+Z21</f>
        <v>10445.2527435185</v>
      </c>
      <c r="AA22" s="430" t="n">
        <f aca="false">AA20+AA21</f>
        <v>10445.2527435185</v>
      </c>
      <c r="AB22" s="430" t="n">
        <f aca="false">AB20+AB21</f>
        <v>15788.245625418</v>
      </c>
      <c r="AC22" s="430" t="n">
        <f aca="false">AC20+AC21</f>
        <v>10445.2527435185</v>
      </c>
      <c r="AD22" s="430" t="n">
        <f aca="false">AD20+AD21</f>
        <v>10445.2527435185</v>
      </c>
      <c r="AE22" s="430" t="n">
        <f aca="false">AE20+AE21</f>
        <v>10445.2527435185</v>
      </c>
      <c r="AF22" s="430" t="n">
        <f aca="false">AF20+AF21</f>
        <v>10445.2527435185</v>
      </c>
      <c r="AG22" s="430" t="n">
        <f aca="false">AG20+AG21</f>
        <v>10445.2527435185</v>
      </c>
      <c r="AH22" s="430" t="n">
        <f aca="false">AH20+AH21</f>
        <v>10445.2527435185</v>
      </c>
      <c r="AI22" s="430" t="n">
        <f aca="false">AI20+AI21</f>
        <v>10445.2527435185</v>
      </c>
      <c r="AJ22" s="430" t="n">
        <f aca="false">AJ20+AJ21</f>
        <v>10445.2527435185</v>
      </c>
      <c r="AK22" s="430" t="n">
        <f aca="false">AK20+AK21</f>
        <v>10445.2527435185</v>
      </c>
      <c r="AL22" s="430" t="n">
        <f aca="false">AL20+AL21</f>
        <v>0</v>
      </c>
      <c r="AM22" s="430" t="n">
        <f aca="false">AM20+AM21</f>
        <v>0</v>
      </c>
      <c r="AN22" s="430" t="n">
        <f aca="false">AN20+AN21</f>
        <v>5584.27117921855</v>
      </c>
      <c r="AO22" s="430" t="n">
        <f aca="false">AO20+AO21</f>
        <v>0</v>
      </c>
      <c r="AP22" s="430" t="n">
        <f aca="false">AP20+AP21</f>
        <v>0</v>
      </c>
      <c r="AQ22" s="430" t="n">
        <f aca="false">AQ20+AQ21</f>
        <v>0</v>
      </c>
      <c r="AR22" s="430" t="n">
        <f aca="false">AR20+AR21</f>
        <v>0</v>
      </c>
      <c r="AS22" s="430" t="n">
        <f aca="false">AS20+AS21</f>
        <v>0</v>
      </c>
      <c r="AT22" s="430" t="n">
        <f aca="false">AT20+AT21</f>
        <v>0</v>
      </c>
      <c r="AU22" s="430" t="n">
        <f aca="false">AU20+AU21</f>
        <v>0</v>
      </c>
      <c r="AV22" s="430" t="n">
        <f aca="false">AV20+AV21</f>
        <v>0</v>
      </c>
      <c r="AW22" s="430" t="n">
        <f aca="false">AW20+AW21</f>
        <v>0</v>
      </c>
      <c r="AX22" s="430" t="n">
        <f aca="false">AX20+AX21</f>
        <v>0</v>
      </c>
      <c r="AY22" s="430" t="n">
        <f aca="false">AY20+AY21</f>
        <v>0</v>
      </c>
      <c r="AZ22" s="430" t="n">
        <f aca="false">AZ20+AZ21</f>
        <v>0</v>
      </c>
      <c r="BA22" s="430" t="n">
        <f aca="false">BA20+BA21</f>
        <v>0</v>
      </c>
      <c r="BB22" s="430" t="n">
        <f aca="false">BB20+BB21</f>
        <v>0</v>
      </c>
      <c r="BC22" s="430" t="n">
        <f aca="false">BC20+BC21</f>
        <v>0</v>
      </c>
      <c r="BD22" s="430" t="n">
        <f aca="false">BD20+BD21</f>
        <v>0</v>
      </c>
      <c r="BE22" s="430" t="n">
        <f aca="false">BE20+BE21</f>
        <v>0</v>
      </c>
      <c r="BF22" s="430" t="n">
        <f aca="false">BF20+BF21</f>
        <v>0</v>
      </c>
      <c r="BG22" s="430" t="n">
        <f aca="false">BG20+BG21</f>
        <v>0</v>
      </c>
      <c r="BH22" s="430" t="n">
        <f aca="false">BH20+BH21</f>
        <v>0</v>
      </c>
      <c r="BI22" s="430" t="n">
        <f aca="false">BI20+BI21</f>
        <v>0</v>
      </c>
      <c r="BJ22" s="430" t="n">
        <f aca="false">BJ20+BJ21</f>
        <v>0</v>
      </c>
      <c r="BK22" s="430" t="n">
        <f aca="false">BK20+BK21</f>
        <v>0</v>
      </c>
      <c r="BL22" s="430" t="n">
        <f aca="false">BL20+BL21</f>
        <v>0</v>
      </c>
      <c r="BM22" s="430" t="n">
        <f aca="false">BM20+BM21</f>
        <v>0</v>
      </c>
      <c r="BN22" s="430" t="n">
        <f aca="false">BN20+BN21</f>
        <v>0</v>
      </c>
      <c r="BO22" s="430" t="n">
        <f aca="false">BO20+BO21</f>
        <v>0</v>
      </c>
      <c r="BP22" s="430" t="n">
        <f aca="false">BP20+BP21</f>
        <v>0</v>
      </c>
      <c r="BQ22" s="430" t="n">
        <f aca="false">BQ20+BQ21</f>
        <v>0</v>
      </c>
      <c r="BR22" s="430" t="n">
        <f aca="false">BR20+BR21</f>
        <v>0</v>
      </c>
      <c r="BS22" s="430" t="n">
        <f aca="false">BS20+BS21</f>
        <v>0</v>
      </c>
      <c r="BT22" s="430" t="n">
        <f aca="false">BT20+BT21</f>
        <v>0</v>
      </c>
      <c r="BU22" s="430" t="n">
        <f aca="false">BU20+BU21</f>
        <v>0</v>
      </c>
      <c r="BV22" s="430" t="n">
        <f aca="false">BV20+BV21</f>
        <v>0</v>
      </c>
      <c r="BW22" s="430" t="n">
        <f aca="false">BW20+BW21</f>
        <v>0</v>
      </c>
      <c r="BX22" s="430" t="n">
        <f aca="false">BX20+BX21</f>
        <v>0</v>
      </c>
      <c r="BY22" s="430" t="n">
        <f aca="false">BY20+BY21</f>
        <v>0</v>
      </c>
      <c r="BZ22" s="430" t="n">
        <f aca="false">BZ20+BZ21</f>
        <v>0</v>
      </c>
      <c r="CA22" s="430" t="n">
        <f aca="false">CA20+CA21</f>
        <v>0</v>
      </c>
      <c r="CB22" s="430" t="n">
        <f aca="false">CB20+CB21</f>
        <v>0</v>
      </c>
      <c r="CC22" s="430" t="n">
        <f aca="false">CC20+CC21</f>
        <v>0</v>
      </c>
      <c r="CD22" s="430" t="n">
        <f aca="false">CD20+CD21</f>
        <v>0</v>
      </c>
      <c r="CE22" s="430" t="n">
        <f aca="false">CE20+CE21</f>
        <v>0</v>
      </c>
      <c r="CF22" s="430" t="n">
        <f aca="false">CF20+CF21</f>
        <v>0</v>
      </c>
      <c r="CG22" s="430" t="n">
        <f aca="false">CG20+CG21</f>
        <v>0</v>
      </c>
      <c r="CH22" s="430" t="n">
        <f aca="false">CH20+CH21</f>
        <v>0</v>
      </c>
      <c r="CI22" s="430" t="n">
        <f aca="false">CI20+CI21</f>
        <v>0</v>
      </c>
      <c r="CJ22" s="430" t="n">
        <f aca="false">CJ20+CJ21</f>
        <v>0</v>
      </c>
      <c r="CK22" s="430" t="n">
        <f aca="false">CK20+CK21</f>
        <v>0</v>
      </c>
      <c r="CL22" s="430" t="n">
        <f aca="false">CL20+CL21</f>
        <v>0</v>
      </c>
      <c r="CM22" s="430" t="n">
        <f aca="false">CM20+CM21</f>
        <v>0</v>
      </c>
      <c r="CN22" s="430" t="n">
        <f aca="false">CN20+CN21</f>
        <v>0</v>
      </c>
      <c r="CO22" s="430" t="n">
        <f aca="false">CO20+CO21</f>
        <v>0</v>
      </c>
      <c r="CP22" s="430" t="n">
        <f aca="false">CP20+CP21</f>
        <v>0</v>
      </c>
      <c r="CQ22" s="430" t="n">
        <f aca="false">CQ20+CQ21</f>
        <v>0</v>
      </c>
      <c r="CR22" s="430" t="n">
        <f aca="false">CR20+CR21</f>
        <v>0</v>
      </c>
      <c r="CS22" s="430" t="n">
        <f aca="false">CS20+CS21</f>
        <v>0</v>
      </c>
      <c r="CT22" s="430" t="n">
        <f aca="false">CT20+CT21</f>
        <v>0</v>
      </c>
      <c r="CU22" s="430" t="n">
        <f aca="false">CU20+CU21</f>
        <v>0</v>
      </c>
      <c r="CV22" s="430" t="n">
        <f aca="false">CV20+CV21</f>
        <v>0</v>
      </c>
      <c r="CW22" s="430" t="n">
        <f aca="false">CW20+CW21</f>
        <v>0</v>
      </c>
      <c r="CX22" s="430" t="n">
        <f aca="false">CX20+CX21</f>
        <v>0</v>
      </c>
      <c r="CY22" s="430" t="n">
        <f aca="false">CY20+CY21</f>
        <v>0</v>
      </c>
      <c r="CZ22" s="430" t="n">
        <f aca="false">CZ20+CZ21</f>
        <v>0</v>
      </c>
      <c r="DA22" s="430" t="n">
        <f aca="false">DA20+DA21</f>
        <v>0</v>
      </c>
      <c r="DB22" s="430" t="n">
        <f aca="false">DB20+DB21</f>
        <v>0</v>
      </c>
      <c r="DC22" s="430" t="n">
        <f aca="false">DC20+DC21</f>
        <v>0</v>
      </c>
      <c r="DD22" s="430" t="n">
        <f aca="false">DD20+DD21</f>
        <v>0</v>
      </c>
      <c r="DE22" s="430"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1546</v>
      </c>
    </row>
    <row r="2" customFormat="false" ht="15" hidden="false" customHeight="true" outlineLevel="0" collapsed="false">
      <c r="A2" s="412" t="s">
        <v>1547</v>
      </c>
    </row>
    <row r="20" customFormat="false" ht="15" hidden="false" customHeight="true" outlineLevel="0" collapsed="false">
      <c r="A20" s="401" t="s">
        <v>1548</v>
      </c>
      <c r="B20" s="401" t="s">
        <v>1549</v>
      </c>
      <c r="C20" s="401" t="s">
        <v>1550</v>
      </c>
      <c r="D20" s="401" t="s">
        <v>1551</v>
      </c>
      <c r="E20" s="401" t="s">
        <v>1552</v>
      </c>
      <c r="F20" s="401" t="s">
        <v>1553</v>
      </c>
      <c r="G20" s="401" t="s">
        <v>1554</v>
      </c>
      <c r="H20" s="401" t="s">
        <v>1555</v>
      </c>
      <c r="I20" s="401" t="s">
        <v>1556</v>
      </c>
      <c r="J20" s="401" t="s">
        <v>1557</v>
      </c>
      <c r="K20" s="401" t="s">
        <v>488</v>
      </c>
    </row>
    <row r="21" customFormat="false" ht="15" hidden="false" customHeight="true" outlineLevel="0" collapsed="false">
      <c r="A21" s="414" t="s">
        <v>1558</v>
      </c>
      <c r="B21" s="421" t="n">
        <v>2026</v>
      </c>
      <c r="C21" s="431" t="n">
        <f aca="false">B21+1</f>
        <v>2027</v>
      </c>
      <c r="D21" s="431" t="n">
        <f aca="false">C21+1</f>
        <v>2028</v>
      </c>
      <c r="E21" s="431" t="n">
        <f aca="false">D21+1</f>
        <v>2029</v>
      </c>
      <c r="F21" s="431" t="n">
        <f aca="false">E21+1</f>
        <v>2030</v>
      </c>
      <c r="G21" s="431" t="n">
        <f aca="false">F21+1</f>
        <v>2031</v>
      </c>
      <c r="H21" s="431" t="n">
        <f aca="false">G21+1</f>
        <v>2032</v>
      </c>
      <c r="I21" s="431" t="n">
        <f aca="false">H21+1</f>
        <v>2033</v>
      </c>
      <c r="J21" s="431" t="n">
        <f aca="false">I21+1</f>
        <v>2034</v>
      </c>
      <c r="K21" s="432"/>
    </row>
    <row r="22" customFormat="false" ht="15" hidden="false" customHeight="true" outlineLevel="0" collapsed="false">
      <c r="A22" s="414" t="s">
        <v>1559</v>
      </c>
      <c r="B22" s="431" t="n">
        <f aca="false">IF(B21=YEAR('APA Inputs'!$B$6),13-MONTH('APA Inputs'!$B$6),IF(B21&lt;YEAR('APA Inputs'!$B$6),0,12))</f>
        <v>6</v>
      </c>
      <c r="C22" s="431" t="n">
        <f aca="false">IF(C21=YEAR('APA Inputs'!$B$6),13-MONTH('APA Inputs'!$B$6),IF(C21&lt;YEAR('APA Inputs'!$B$6),0,12))</f>
        <v>12</v>
      </c>
      <c r="D22" s="431" t="n">
        <f aca="false">IF(D21=YEAR('APA Inputs'!$B$6),13-MONTH('APA Inputs'!$B$6),IF(D21&lt;YEAR('APA Inputs'!$B$6),0,12))</f>
        <v>12</v>
      </c>
      <c r="E22" s="431" t="n">
        <f aca="false">IF(E21=YEAR('APA Inputs'!$B$6),13-MONTH('APA Inputs'!$B$6),IF(E21&lt;YEAR('APA Inputs'!$B$6),0,12))</f>
        <v>12</v>
      </c>
      <c r="F22" s="431" t="n">
        <f aca="false">IF(F21=YEAR('APA Inputs'!$B$6),13-MONTH('APA Inputs'!$B$6),IF(F21&lt;YEAR('APA Inputs'!$B$6),0,12))</f>
        <v>12</v>
      </c>
      <c r="G22" s="431" t="n">
        <f aca="false">IF(G21=YEAR('APA Inputs'!$B$6),13-MONTH('APA Inputs'!$B$6),IF(G21&lt;YEAR('APA Inputs'!$B$6),0,12))</f>
        <v>12</v>
      </c>
      <c r="H22" s="431" t="n">
        <f aca="false">IF(H21=YEAR('APA Inputs'!$B$6),13-MONTH('APA Inputs'!$B$6),IF(H21&lt;YEAR('APA Inputs'!$B$6),0,12))</f>
        <v>12</v>
      </c>
      <c r="I22" s="431" t="n">
        <f aca="false">IF(I21=YEAR('APA Inputs'!$B$6),13-MONTH('APA Inputs'!$B$6),IF(I21&lt;YEAR('APA Inputs'!$B$6),0,12))</f>
        <v>12</v>
      </c>
      <c r="J22" s="431" t="n">
        <f aca="false">IF(J21=YEAR('APA Inputs'!$B$6),13-MONTH('APA Inputs'!$B$6),IF(J21&lt;YEAR('APA Inputs'!$B$6),0,12))</f>
        <v>12</v>
      </c>
      <c r="K22" s="432"/>
    </row>
    <row r="23" customFormat="false" ht="15" hidden="false" customHeight="true" outlineLevel="0" collapsed="false">
      <c r="A23" s="422" t="s">
        <v>1560</v>
      </c>
      <c r="B23" s="433" t="n">
        <f aca="false">SUMIF('APA Schedule'!$B$5:$DE$5,B21,'APA Schedule'!$B$17:$DE$17)</f>
        <v>94164.18</v>
      </c>
      <c r="C23" s="433" t="n">
        <f aca="false">SUMIF('APA Schedule'!$B$5:$DE$5,C21,'APA Schedule'!$B$17:$DE$17)</f>
        <v>494608.902222222</v>
      </c>
      <c r="D23" s="433" t="n">
        <f aca="false">SUMIF('APA Schedule'!$B$5:$DE$5,D21,'APA Schedule'!$B$17:$DE$17)</f>
        <v>516944.397777778</v>
      </c>
      <c r="E23" s="433" t="n">
        <f aca="false">SUMIF('APA Schedule'!$B$5:$DE$5,E21,'APA Schedule'!$B$17:$DE$17)</f>
        <v>0</v>
      </c>
      <c r="F23" s="433" t="n">
        <f aca="false">SUMIF('APA Schedule'!$B$5:$DE$5,F21,'APA Schedule'!$B$17:$DE$17)</f>
        <v>0</v>
      </c>
      <c r="G23" s="433" t="n">
        <f aca="false">SUMIF('APA Schedule'!$B$5:$DE$5,G21,'APA Schedule'!$B$17:$DE$17)</f>
        <v>0</v>
      </c>
      <c r="H23" s="433" t="n">
        <f aca="false">SUMIF('APA Schedule'!$B$5:$DE$5,H21,'APA Schedule'!$B$17:$DE$17)</f>
        <v>0</v>
      </c>
      <c r="I23" s="433" t="n">
        <f aca="false">SUMIF('APA Schedule'!$B$5:$DE$5,I21,'APA Schedule'!$B$17:$DE$17)</f>
        <v>0</v>
      </c>
      <c r="J23" s="433" t="n">
        <f aca="false">SUMIF('APA Schedule'!$B$5:$DE$5,J21,'APA Schedule'!$B$17:$DE$17)</f>
        <v>0</v>
      </c>
      <c r="K23" s="434" t="n">
        <f aca="false">SUM(B23:J23)</f>
        <v>1105717.48</v>
      </c>
    </row>
    <row r="24" customFormat="false" ht="15" hidden="false" customHeight="true" outlineLevel="0" collapsed="false">
      <c r="A24" s="435" t="s">
        <v>1420</v>
      </c>
      <c r="B24" s="432"/>
      <c r="C24" s="432"/>
      <c r="D24" s="432"/>
      <c r="E24" s="432"/>
      <c r="F24" s="432"/>
      <c r="G24" s="432"/>
      <c r="H24" s="432"/>
      <c r="I24" s="432"/>
      <c r="J24" s="432"/>
      <c r="K24" s="432"/>
    </row>
    <row r="25" customFormat="false" ht="15" hidden="false" customHeight="true" outlineLevel="0" collapsed="false">
      <c r="A25" s="414" t="s">
        <v>1561</v>
      </c>
      <c r="B25" s="426" t="n">
        <f aca="false">'APA Inputs'!$B$10*(1+'APA Inputs'!$B$11)^MAX(0,B21-$C$21)*B22/12</f>
        <v>12500</v>
      </c>
      <c r="C25" s="426" t="n">
        <f aca="false">'APA Inputs'!$B$10*(1+'APA Inputs'!$B$11)^MAX(0,C21-$C$21)*C22/12</f>
        <v>25000</v>
      </c>
      <c r="D25" s="426" t="n">
        <f aca="false">'APA Inputs'!$B$10*(1+'APA Inputs'!$B$11)^MAX(0,D21-$C$21)*D22/12</f>
        <v>25750</v>
      </c>
      <c r="E25" s="426" t="n">
        <f aca="false">'APA Inputs'!$B$10*(1+'APA Inputs'!$B$11)^MAX(0,E21-$C$21)*E22/12</f>
        <v>26522.5</v>
      </c>
      <c r="F25" s="426" t="n">
        <f aca="false">'APA Inputs'!$B$10*(1+'APA Inputs'!$B$11)^MAX(0,F21-$C$21)*F22/12</f>
        <v>27318.175</v>
      </c>
      <c r="G25" s="426" t="n">
        <f aca="false">'APA Inputs'!$B$10*(1+'APA Inputs'!$B$11)^MAX(0,G21-$C$21)*G22/12</f>
        <v>28137.72025</v>
      </c>
      <c r="H25" s="426" t="n">
        <f aca="false">'APA Inputs'!$B$10*(1+'APA Inputs'!$B$11)^MAX(0,H21-$C$21)*H22/12</f>
        <v>28981.8518575</v>
      </c>
      <c r="I25" s="426" t="n">
        <f aca="false">'APA Inputs'!$B$10*(1+'APA Inputs'!$B$11)^MAX(0,I21-$C$21)*I22/12</f>
        <v>29851.307413225</v>
      </c>
      <c r="J25" s="426" t="n">
        <f aca="false">'APA Inputs'!$B$10*(1+'APA Inputs'!$B$11)^MAX(0,J21-$C$21)*J22/12</f>
        <v>30746.8466356218</v>
      </c>
      <c r="K25" s="434" t="n">
        <f aca="false">SUM(B25:J25)</f>
        <v>234808.401156347</v>
      </c>
    </row>
    <row r="26" customFormat="false" ht="15" hidden="false" customHeight="true" outlineLevel="0" collapsed="false">
      <c r="A26" s="422" t="s">
        <v>1562</v>
      </c>
      <c r="B26" s="434" t="n">
        <f aca="false">B23-B25</f>
        <v>81664.18</v>
      </c>
      <c r="C26" s="434" t="n">
        <f aca="false">C23-C25</f>
        <v>469608.902222222</v>
      </c>
      <c r="D26" s="434" t="n">
        <f aca="false">D23-D25</f>
        <v>491194.397777778</v>
      </c>
      <c r="E26" s="434" t="n">
        <f aca="false">E23-E25</f>
        <v>-26522.5</v>
      </c>
      <c r="F26" s="434" t="n">
        <f aca="false">F23-F25</f>
        <v>-27318.175</v>
      </c>
      <c r="G26" s="434" t="n">
        <f aca="false">G23-G25</f>
        <v>-28137.72025</v>
      </c>
      <c r="H26" s="434" t="n">
        <f aca="false">H23-H25</f>
        <v>-28981.8518575</v>
      </c>
      <c r="I26" s="434" t="n">
        <f aca="false">I23-I25</f>
        <v>-29851.307413225</v>
      </c>
      <c r="J26" s="434" t="n">
        <f aca="false">J23-J25</f>
        <v>-30746.8466356218</v>
      </c>
      <c r="K26" s="434" t="n">
        <f aca="false">SUM(B26:J26)</f>
        <v>870909.078843653</v>
      </c>
    </row>
    <row r="27" customFormat="false" ht="15" hidden="false" customHeight="true" outlineLevel="0" collapsed="false">
      <c r="A27" s="435" t="s">
        <v>1563</v>
      </c>
      <c r="B27" s="432"/>
      <c r="C27" s="432"/>
      <c r="D27" s="432"/>
      <c r="E27" s="432"/>
      <c r="F27" s="432"/>
      <c r="G27" s="432"/>
      <c r="H27" s="432"/>
      <c r="I27" s="432"/>
      <c r="J27" s="432"/>
      <c r="K27" s="432"/>
    </row>
    <row r="28" customFormat="false" ht="15" hidden="false" customHeight="true" outlineLevel="0" collapsed="false">
      <c r="A28" s="414" t="s">
        <v>1564</v>
      </c>
      <c r="B28" s="431" t="n">
        <f aca="false">MAX(0,MIN(B22,(B21-YEAR('APA Inputs'!$B$9))*12+13-MONTH('APA Inputs'!$B$9)))</f>
        <v>0</v>
      </c>
      <c r="C28" s="431" t="n">
        <f aca="false">MAX(0,MIN(C22,(C21-YEAR('APA Inputs'!$B$9))*12+13-MONTH('APA Inputs'!$B$9)))</f>
        <v>7</v>
      </c>
      <c r="D28" s="431" t="n">
        <f aca="false">MAX(0,MIN(D22,(D21-YEAR('APA Inputs'!$B$9))*12+13-MONTH('APA Inputs'!$B$9)))</f>
        <v>12</v>
      </c>
      <c r="E28" s="431" t="n">
        <f aca="false">MAX(0,MIN(E22,(E21-YEAR('APA Inputs'!$B$9))*12+13-MONTH('APA Inputs'!$B$9)))</f>
        <v>12</v>
      </c>
      <c r="F28" s="431" t="n">
        <f aca="false">MAX(0,MIN(F22,(F21-YEAR('APA Inputs'!$B$9))*12+13-MONTH('APA Inputs'!$B$9)))</f>
        <v>12</v>
      </c>
      <c r="G28" s="431" t="n">
        <f aca="false">MAX(0,MIN(G22,(G21-YEAR('APA Inputs'!$B$9))*12+13-MONTH('APA Inputs'!$B$9)))</f>
        <v>12</v>
      </c>
      <c r="H28" s="431" t="n">
        <f aca="false">MAX(0,MIN(H22,(H21-YEAR('APA Inputs'!$B$9))*12+13-MONTH('APA Inputs'!$B$9)))</f>
        <v>12</v>
      </c>
      <c r="I28" s="431" t="n">
        <f aca="false">MAX(0,MIN(I22,(I21-YEAR('APA Inputs'!$B$9))*12+13-MONTH('APA Inputs'!$B$9)))</f>
        <v>12</v>
      </c>
      <c r="J28" s="431" t="n">
        <f aca="false">MAX(0,MIN(J22,(J21-YEAR('APA Inputs'!$B$9))*12+13-MONTH('APA Inputs'!$B$9)))</f>
        <v>12</v>
      </c>
      <c r="K28" s="432"/>
    </row>
    <row r="29" customFormat="false" ht="15" hidden="false" customHeight="true" outlineLevel="0" collapsed="false">
      <c r="A29" s="414" t="s">
        <v>1565</v>
      </c>
      <c r="B29" s="426" t="n">
        <f aca="false">(B22-B28)/12*'APA Inputs'!$B$7+B28/12*'APA Inputs'!$B$8</f>
        <v>75000</v>
      </c>
      <c r="C29" s="426" t="n">
        <f aca="false">(C22-C28)/12*'APA Inputs'!$B$7+C28/12*'APA Inputs'!$B$8</f>
        <v>193750</v>
      </c>
      <c r="D29" s="426" t="n">
        <f aca="false">(D22-D28)/12*'APA Inputs'!$B$7+D28/12*'APA Inputs'!$B$8</f>
        <v>225000</v>
      </c>
      <c r="E29" s="426" t="n">
        <f aca="false">(E22-E28)/12*'APA Inputs'!$B$7+E28/12*'APA Inputs'!$B$8</f>
        <v>225000</v>
      </c>
      <c r="F29" s="426" t="n">
        <f aca="false">(F22-F28)/12*'APA Inputs'!$B$7+F28/12*'APA Inputs'!$B$8</f>
        <v>225000</v>
      </c>
      <c r="G29" s="426" t="n">
        <f aca="false">(G22-G28)/12*'APA Inputs'!$B$7+G28/12*'APA Inputs'!$B$8</f>
        <v>225000</v>
      </c>
      <c r="H29" s="426" t="n">
        <f aca="false">(H22-H28)/12*'APA Inputs'!$B$7+H28/12*'APA Inputs'!$B$8</f>
        <v>225000</v>
      </c>
      <c r="I29" s="426" t="n">
        <f aca="false">(I22-I28)/12*'APA Inputs'!$B$7+I28/12*'APA Inputs'!$B$8</f>
        <v>225000</v>
      </c>
      <c r="J29" s="426" t="n">
        <f aca="false">(J22-J28)/12*'APA Inputs'!$B$7+J28/12*'APA Inputs'!$B$8</f>
        <v>225000</v>
      </c>
      <c r="K29" s="434" t="n">
        <f aca="false">SUM(B29:J29)</f>
        <v>1843750</v>
      </c>
    </row>
    <row r="30" customFormat="false" ht="15" hidden="false" customHeight="true" outlineLevel="0" collapsed="false">
      <c r="A30" s="414" t="s">
        <v>1566</v>
      </c>
      <c r="B30" s="426" t="n">
        <f aca="false">MAX(0,B26-B29-B23*'APA Inputs'!$B$12)</f>
        <v>3839.25460000001</v>
      </c>
      <c r="C30" s="426" t="n">
        <f aca="false">MAX(0,C26-C29-C23*'APA Inputs'!$B$12)</f>
        <v>261020.635155556</v>
      </c>
      <c r="D30" s="426" t="n">
        <f aca="false">MAX(0,D26-D29-D23*'APA Inputs'!$B$12)</f>
        <v>250686.065844444</v>
      </c>
      <c r="E30" s="426" t="n">
        <f aca="false">MAX(0,E26-E29-E23*'APA Inputs'!$B$12)</f>
        <v>0</v>
      </c>
      <c r="F30" s="426" t="n">
        <f aca="false">MAX(0,F26-F29-F23*'APA Inputs'!$B$12)</f>
        <v>0</v>
      </c>
      <c r="G30" s="426" t="n">
        <f aca="false">MAX(0,G26-G29-G23*'APA Inputs'!$B$12)</f>
        <v>0</v>
      </c>
      <c r="H30" s="426" t="n">
        <f aca="false">MAX(0,H26-H29-H23*'APA Inputs'!$B$12)</f>
        <v>0</v>
      </c>
      <c r="I30" s="426" t="n">
        <f aca="false">MAX(0,I26-I29-I23*'APA Inputs'!$B$12)</f>
        <v>0</v>
      </c>
      <c r="J30" s="426" t="n">
        <f aca="false">MAX(0,J26-J29-J23*'APA Inputs'!$B$12)</f>
        <v>0</v>
      </c>
      <c r="K30" s="434" t="n">
        <f aca="false">SUM(B30:J30)</f>
        <v>515545.9556</v>
      </c>
    </row>
    <row r="31" customFormat="false" ht="15" hidden="false" customHeight="true" outlineLevel="0" collapsed="false">
      <c r="A31" s="414" t="s">
        <v>1567</v>
      </c>
      <c r="B31" s="426" t="n">
        <f aca="false">B30*'APA Inputs'!$B$13</f>
        <v>1919.6273</v>
      </c>
      <c r="C31" s="426" t="n">
        <f aca="false">C30*'APA Inputs'!$B$13</f>
        <v>130510.317577778</v>
      </c>
      <c r="D31" s="426" t="n">
        <f aca="false">D30*'APA Inputs'!$B$13</f>
        <v>125343.032922222</v>
      </c>
      <c r="E31" s="426" t="n">
        <f aca="false">E30*'APA Inputs'!$B$13</f>
        <v>0</v>
      </c>
      <c r="F31" s="426" t="n">
        <f aca="false">F30*'APA Inputs'!$B$13</f>
        <v>0</v>
      </c>
      <c r="G31" s="426" t="n">
        <f aca="false">G30*'APA Inputs'!$B$13</f>
        <v>0</v>
      </c>
      <c r="H31" s="426" t="n">
        <f aca="false">H30*'APA Inputs'!$B$13</f>
        <v>0</v>
      </c>
      <c r="I31" s="426" t="n">
        <f aca="false">I30*'APA Inputs'!$B$13</f>
        <v>0</v>
      </c>
      <c r="J31" s="426" t="n">
        <f aca="false">J30*'APA Inputs'!$B$13</f>
        <v>0</v>
      </c>
      <c r="K31" s="434" t="n">
        <f aca="false">SUM(B31:J31)</f>
        <v>257772.9778</v>
      </c>
    </row>
    <row r="32" customFormat="false" ht="15" hidden="false" customHeight="true" outlineLevel="0" collapsed="false">
      <c r="A32" s="414" t="s">
        <v>1568</v>
      </c>
      <c r="B32" s="426" t="n">
        <f aca="false">B30*(1-'APA Inputs'!$B$13)</f>
        <v>1919.6273</v>
      </c>
      <c r="C32" s="426" t="n">
        <f aca="false">C30*(1-'APA Inputs'!$B$13)</f>
        <v>130510.317577778</v>
      </c>
      <c r="D32" s="426" t="n">
        <f aca="false">D30*(1-'APA Inputs'!$B$13)</f>
        <v>125343.032922222</v>
      </c>
      <c r="E32" s="426" t="n">
        <f aca="false">E30*(1-'APA Inputs'!$B$13)</f>
        <v>0</v>
      </c>
      <c r="F32" s="426" t="n">
        <f aca="false">F30*(1-'APA Inputs'!$B$13)</f>
        <v>0</v>
      </c>
      <c r="G32" s="426" t="n">
        <f aca="false">G30*(1-'APA Inputs'!$B$13)</f>
        <v>0</v>
      </c>
      <c r="H32" s="426" t="n">
        <f aca="false">H30*(1-'APA Inputs'!$B$13)</f>
        <v>0</v>
      </c>
      <c r="I32" s="426" t="n">
        <f aca="false">I30*(1-'APA Inputs'!$B$13)</f>
        <v>0</v>
      </c>
      <c r="J32" s="426" t="n">
        <f aca="false">J30*(1-'APA Inputs'!$B$13)</f>
        <v>0</v>
      </c>
      <c r="K32" s="434" t="n">
        <f aca="false">SUM(B32:J32)</f>
        <v>257772.9778</v>
      </c>
    </row>
    <row r="33" customFormat="false" ht="15" hidden="false" customHeight="true" outlineLevel="0" collapsed="false">
      <c r="A33" s="436" t="s">
        <v>1569</v>
      </c>
      <c r="B33" s="437" t="n">
        <f aca="false">B29+B31+B32</f>
        <v>78839.2546</v>
      </c>
      <c r="C33" s="437" t="n">
        <f aca="false">C29+C31+C32</f>
        <v>454770.635155556</v>
      </c>
      <c r="D33" s="437" t="n">
        <f aca="false">D29+D31+D32</f>
        <v>475686.065844444</v>
      </c>
      <c r="E33" s="437" t="n">
        <f aca="false">E29+E31+E32</f>
        <v>225000</v>
      </c>
      <c r="F33" s="437" t="n">
        <f aca="false">F29+F31+F32</f>
        <v>225000</v>
      </c>
      <c r="G33" s="437" t="n">
        <f aca="false">G29+G31+G32</f>
        <v>225000</v>
      </c>
      <c r="H33" s="437" t="n">
        <f aca="false">H29+H31+H32</f>
        <v>225000</v>
      </c>
      <c r="I33" s="437" t="n">
        <f aca="false">I29+I31+I32</f>
        <v>225000</v>
      </c>
      <c r="J33" s="437" t="n">
        <f aca="false">J29+J31+J32</f>
        <v>225000</v>
      </c>
      <c r="K33" s="434" t="n">
        <f aca="false">SUM(B33:J33)</f>
        <v>2359295.9556</v>
      </c>
    </row>
    <row r="34" customFormat="false" ht="15" hidden="false" customHeight="true" outlineLevel="0" collapsed="false">
      <c r="A34" s="414" t="s">
        <v>1570</v>
      </c>
      <c r="B34" s="438" t="n">
        <f aca="false">IF(B23=0,0,B33/B23)</f>
        <v>0.837253131711018</v>
      </c>
      <c r="C34" s="438" t="n">
        <f aca="false">IF(C23=0,0,C33/C23)</f>
        <v>0.91945501407743</v>
      </c>
      <c r="D34" s="438" t="n">
        <f aca="false">IF(D23=0,0,D33/D23)</f>
        <v>0.920188066432883</v>
      </c>
      <c r="E34" s="438" t="n">
        <f aca="false">IF(E23=0,0,E33/E23)</f>
        <v>0</v>
      </c>
      <c r="F34" s="438" t="n">
        <f aca="false">IF(F23=0,0,F33/F23)</f>
        <v>0</v>
      </c>
      <c r="G34" s="438" t="n">
        <f aca="false">IF(G23=0,0,G33/G23)</f>
        <v>0</v>
      </c>
      <c r="H34" s="438" t="n">
        <f aca="false">IF(H23=0,0,H33/H23)</f>
        <v>0</v>
      </c>
      <c r="I34" s="438" t="n">
        <f aca="false">IF(I23=0,0,I33/I23)</f>
        <v>0</v>
      </c>
      <c r="J34" s="438" t="n">
        <f aca="false">IF(J23=0,0,J33/J23)</f>
        <v>0</v>
      </c>
      <c r="K34" s="432"/>
    </row>
    <row r="35" customFormat="false" ht="15" hidden="false" customHeight="true" outlineLevel="0" collapsed="false">
      <c r="A35" s="435" t="s">
        <v>1571</v>
      </c>
      <c r="B35" s="432"/>
      <c r="C35" s="432"/>
      <c r="D35" s="432"/>
      <c r="E35" s="432"/>
      <c r="F35" s="432"/>
      <c r="G35" s="432"/>
      <c r="H35" s="432"/>
      <c r="I35" s="432"/>
      <c r="J35" s="432"/>
      <c r="K35" s="432"/>
    </row>
    <row r="36" customFormat="false" ht="15" hidden="false" customHeight="true" outlineLevel="0" collapsed="false">
      <c r="A36" s="414" t="s">
        <v>1572</v>
      </c>
      <c r="B36" s="426" t="n">
        <f aca="false">B26-B33</f>
        <v>2824.92539999999</v>
      </c>
      <c r="C36" s="426" t="n">
        <f aca="false">C26-C33</f>
        <v>14838.2670666667</v>
      </c>
      <c r="D36" s="426" t="n">
        <f aca="false">D26-D33</f>
        <v>15508.3319333334</v>
      </c>
      <c r="E36" s="426" t="n">
        <f aca="false">E26-E33</f>
        <v>-251522.5</v>
      </c>
      <c r="F36" s="426" t="n">
        <f aca="false">F26-F33</f>
        <v>-252318.175</v>
      </c>
      <c r="G36" s="426" t="n">
        <f aca="false">G26-G33</f>
        <v>-253137.72025</v>
      </c>
      <c r="H36" s="426" t="n">
        <f aca="false">H26-H33</f>
        <v>-253981.8518575</v>
      </c>
      <c r="I36" s="426" t="n">
        <f aca="false">I26-I33</f>
        <v>-254851.307413225</v>
      </c>
      <c r="J36" s="426" t="n">
        <f aca="false">J26-J33</f>
        <v>-255746.846635622</v>
      </c>
      <c r="K36" s="434" t="n">
        <f aca="false">SUM(B36:J36)</f>
        <v>-1488386.87675635</v>
      </c>
    </row>
    <row r="37" customFormat="false" ht="15" hidden="false" customHeight="true" outlineLevel="0" collapsed="false">
      <c r="A37" s="414" t="s">
        <v>1573</v>
      </c>
      <c r="B37" s="426" t="n">
        <f aca="false">MAX('APA Inputs'!$B$17,MAX(0,B36)*'APA Inputs'!$B$16)</f>
        <v>800</v>
      </c>
      <c r="C37" s="426" t="n">
        <f aca="false">MAX('APA Inputs'!$B$17,MAX(0,C36)*'APA Inputs'!$B$16)</f>
        <v>1311.70280869333</v>
      </c>
      <c r="D37" s="426" t="n">
        <f aca="false">MAX('APA Inputs'!$B$17,MAX(0,D36)*'APA Inputs'!$B$16)</f>
        <v>1370.93654290667</v>
      </c>
      <c r="E37" s="426" t="n">
        <f aca="false">MAX('APA Inputs'!$B$17,MAX(0,E36)*'APA Inputs'!$B$16)</f>
        <v>800</v>
      </c>
      <c r="F37" s="426" t="n">
        <f aca="false">MAX('APA Inputs'!$B$17,MAX(0,F36)*'APA Inputs'!$B$16)</f>
        <v>800</v>
      </c>
      <c r="G37" s="426" t="n">
        <f aca="false">MAX('APA Inputs'!$B$17,MAX(0,G36)*'APA Inputs'!$B$16)</f>
        <v>800</v>
      </c>
      <c r="H37" s="426" t="n">
        <f aca="false">MAX('APA Inputs'!$B$17,MAX(0,H36)*'APA Inputs'!$B$16)</f>
        <v>800</v>
      </c>
      <c r="I37" s="426" t="n">
        <f aca="false">MAX('APA Inputs'!$B$17,MAX(0,I36)*'APA Inputs'!$B$16)</f>
        <v>800</v>
      </c>
      <c r="J37" s="426" t="n">
        <f aca="false">MAX('APA Inputs'!$B$17,MAX(0,J36)*'APA Inputs'!$B$16)</f>
        <v>800</v>
      </c>
      <c r="K37" s="434" t="n">
        <f aca="false">SUM(B37:J37)</f>
        <v>8282.6393516</v>
      </c>
    </row>
    <row r="38" customFormat="false" ht="15" hidden="false" customHeight="true" outlineLevel="0" collapsed="false">
      <c r="A38" s="414" t="s">
        <v>1574</v>
      </c>
      <c r="B38" s="426" t="n">
        <f aca="false">MAX(0,B36-B37)*'APA Inputs'!$B$15</f>
        <v>425.234333999998</v>
      </c>
      <c r="C38" s="426" t="n">
        <f aca="false">MAX(0,C36-C37)*'APA Inputs'!$B$15</f>
        <v>2840.5784941744</v>
      </c>
      <c r="D38" s="426" t="n">
        <f aca="false">MAX(0,D36-D37)*'APA Inputs'!$B$15</f>
        <v>2968.85303198961</v>
      </c>
      <c r="E38" s="426" t="n">
        <f aca="false">MAX(0,E36-E37)*'APA Inputs'!$B$15</f>
        <v>0</v>
      </c>
      <c r="F38" s="426" t="n">
        <f aca="false">MAX(0,F36-F37)*'APA Inputs'!$B$15</f>
        <v>0</v>
      </c>
      <c r="G38" s="426" t="n">
        <f aca="false">MAX(0,G36-G37)*'APA Inputs'!$B$15</f>
        <v>0</v>
      </c>
      <c r="H38" s="426" t="n">
        <f aca="false">MAX(0,H36-H37)*'APA Inputs'!$B$15</f>
        <v>0</v>
      </c>
      <c r="I38" s="426" t="n">
        <f aca="false">MAX(0,I36-I37)*'APA Inputs'!$B$15</f>
        <v>0</v>
      </c>
      <c r="J38" s="426" t="n">
        <f aca="false">MAX(0,J36-J37)*'APA Inputs'!$B$15</f>
        <v>0</v>
      </c>
      <c r="K38" s="434" t="n">
        <f aca="false">SUM(B38:J38)</f>
        <v>6234.66586016401</v>
      </c>
    </row>
    <row r="39" customFormat="false" ht="15" hidden="false" customHeight="true" outlineLevel="0" collapsed="false">
      <c r="A39" s="422" t="s">
        <v>1575</v>
      </c>
      <c r="B39" s="434" t="n">
        <f aca="false">B36-B37-B38</f>
        <v>1599.69106599999</v>
      </c>
      <c r="C39" s="434" t="n">
        <f aca="false">C36-C37-C38</f>
        <v>10685.9857637989</v>
      </c>
      <c r="D39" s="434" t="n">
        <f aca="false">D36-D37-D38</f>
        <v>11168.5423584371</v>
      </c>
      <c r="E39" s="434" t="n">
        <f aca="false">E36-E37-E38</f>
        <v>-252322.5</v>
      </c>
      <c r="F39" s="434" t="n">
        <f aca="false">F36-F37-F38</f>
        <v>-253118.175</v>
      </c>
      <c r="G39" s="434" t="n">
        <f aca="false">G36-G37-G38</f>
        <v>-253937.72025</v>
      </c>
      <c r="H39" s="434" t="n">
        <f aca="false">H36-H37-H38</f>
        <v>-254781.8518575</v>
      </c>
      <c r="I39" s="434" t="n">
        <f aca="false">I36-I37-I38</f>
        <v>-255651.307413225</v>
      </c>
      <c r="J39" s="434" t="n">
        <f aca="false">J36-J37-J38</f>
        <v>-256546.846635622</v>
      </c>
      <c r="K39" s="434" t="n">
        <f aca="false">SUM(B39:J39)</f>
        <v>-1502904.18196811</v>
      </c>
    </row>
    <row r="40" customFormat="false" ht="15" hidden="false" customHeight="true" outlineLevel="0" collapsed="false">
      <c r="A40" s="414" t="s">
        <v>1576</v>
      </c>
      <c r="B40" s="426" t="n">
        <f aca="false">MAX(0,B39)</f>
        <v>1599.69106599999</v>
      </c>
      <c r="C40" s="426" t="n">
        <f aca="false">MAX(0,C39)</f>
        <v>10685.9857637989</v>
      </c>
      <c r="D40" s="426" t="n">
        <f aca="false">MAX(0,D39)</f>
        <v>11168.5423584371</v>
      </c>
      <c r="E40" s="426" t="n">
        <f aca="false">MAX(0,E39)</f>
        <v>0</v>
      </c>
      <c r="F40" s="426" t="n">
        <f aca="false">MAX(0,F39)</f>
        <v>0</v>
      </c>
      <c r="G40" s="426" t="n">
        <f aca="false">MAX(0,G39)</f>
        <v>0</v>
      </c>
      <c r="H40" s="426" t="n">
        <f aca="false">MAX(0,H39)</f>
        <v>0</v>
      </c>
      <c r="I40" s="426" t="n">
        <f aca="false">MAX(0,I39)</f>
        <v>0</v>
      </c>
      <c r="J40" s="426" t="n">
        <f aca="false">MAX(0,J39)</f>
        <v>0</v>
      </c>
      <c r="K40" s="434" t="n">
        <f aca="false">SUM(B40:J40)</f>
        <v>23454.219188236</v>
      </c>
    </row>
    <row r="41" customFormat="false" ht="15" hidden="false" customHeight="true" outlineLevel="0" collapsed="false">
      <c r="A41" s="435" t="s">
        <v>1577</v>
      </c>
      <c r="B41" s="432"/>
      <c r="C41" s="432"/>
      <c r="D41" s="432"/>
      <c r="E41" s="432"/>
      <c r="F41" s="432"/>
      <c r="G41" s="432"/>
      <c r="H41" s="432"/>
      <c r="I41" s="432"/>
      <c r="J41" s="432"/>
      <c r="K41" s="432"/>
    </row>
    <row r="42" customFormat="false" ht="15" hidden="false" customHeight="true" outlineLevel="0" collapsed="false">
      <c r="A42" s="414" t="s">
        <v>1578</v>
      </c>
      <c r="B42" s="426" t="n">
        <f aca="false">B29+B31</f>
        <v>76919.6273</v>
      </c>
      <c r="C42" s="426" t="n">
        <f aca="false">C29+C31</f>
        <v>324260.317577778</v>
      </c>
      <c r="D42" s="426" t="n">
        <f aca="false">D29+D31</f>
        <v>350343.032922222</v>
      </c>
      <c r="E42" s="426" t="n">
        <f aca="false">E29+E31</f>
        <v>225000</v>
      </c>
      <c r="F42" s="426" t="n">
        <f aca="false">F29+F31</f>
        <v>225000</v>
      </c>
      <c r="G42" s="426" t="n">
        <f aca="false">G29+G31</f>
        <v>225000</v>
      </c>
      <c r="H42" s="426" t="n">
        <f aca="false">H29+H31</f>
        <v>225000</v>
      </c>
      <c r="I42" s="426" t="n">
        <f aca="false">I29+I31</f>
        <v>225000</v>
      </c>
      <c r="J42" s="426" t="n">
        <f aca="false">J29+J31</f>
        <v>225000</v>
      </c>
      <c r="K42" s="434" t="n">
        <f aca="false">SUM(B42:J42)</f>
        <v>2101522.9778</v>
      </c>
    </row>
    <row r="43" customFormat="false" ht="15" hidden="false" customHeight="true" outlineLevel="0" collapsed="false">
      <c r="A43" s="414" t="s">
        <v>1579</v>
      </c>
      <c r="B43" s="426" t="n">
        <f aca="false">B40*'APA Inputs'!$B$14</f>
        <v>799.845532999997</v>
      </c>
      <c r="C43" s="426" t="n">
        <f aca="false">C40*'APA Inputs'!$B$14</f>
        <v>5342.99288189947</v>
      </c>
      <c r="D43" s="426" t="n">
        <f aca="false">D40*'APA Inputs'!$B$14</f>
        <v>5584.27117921855</v>
      </c>
      <c r="E43" s="426" t="n">
        <f aca="false">E40*'APA Inputs'!$B$14</f>
        <v>0</v>
      </c>
      <c r="F43" s="426" t="n">
        <f aca="false">F40*'APA Inputs'!$B$14</f>
        <v>0</v>
      </c>
      <c r="G43" s="426" t="n">
        <f aca="false">G40*'APA Inputs'!$B$14</f>
        <v>0</v>
      </c>
      <c r="H43" s="426" t="n">
        <f aca="false">H40*'APA Inputs'!$B$14</f>
        <v>0</v>
      </c>
      <c r="I43" s="426" t="n">
        <f aca="false">I40*'APA Inputs'!$B$14</f>
        <v>0</v>
      </c>
      <c r="J43" s="426" t="n">
        <f aca="false">J40*'APA Inputs'!$B$14</f>
        <v>0</v>
      </c>
      <c r="K43" s="434" t="n">
        <f aca="false">SUM(B43:J43)</f>
        <v>11727.109594118</v>
      </c>
    </row>
    <row r="44" customFormat="false" ht="15" hidden="false" customHeight="true" outlineLevel="0" collapsed="false">
      <c r="A44" s="436" t="s">
        <v>1580</v>
      </c>
      <c r="B44" s="437" t="n">
        <f aca="false">B42+B43</f>
        <v>77719.472833</v>
      </c>
      <c r="C44" s="437" t="n">
        <f aca="false">C42+C43</f>
        <v>329603.310459677</v>
      </c>
      <c r="D44" s="437" t="n">
        <f aca="false">D42+D43</f>
        <v>355927.304101441</v>
      </c>
      <c r="E44" s="437" t="n">
        <f aca="false">E42+E43</f>
        <v>225000</v>
      </c>
      <c r="F44" s="437" t="n">
        <f aca="false">F42+F43</f>
        <v>225000</v>
      </c>
      <c r="G44" s="437" t="n">
        <f aca="false">G42+G43</f>
        <v>225000</v>
      </c>
      <c r="H44" s="437" t="n">
        <f aca="false">H42+H43</f>
        <v>225000</v>
      </c>
      <c r="I44" s="437" t="n">
        <f aca="false">I42+I43</f>
        <v>225000</v>
      </c>
      <c r="J44" s="437" t="n">
        <f aca="false">J42+J43</f>
        <v>225000</v>
      </c>
      <c r="K44" s="434" t="n">
        <f aca="false">SUM(B44:J44)</f>
        <v>2113250.08739412</v>
      </c>
    </row>
    <row r="45" customFormat="false" ht="15" hidden="false" customHeight="true" outlineLevel="0" collapsed="false">
      <c r="A45" s="435" t="s">
        <v>1581</v>
      </c>
      <c r="B45" s="432"/>
      <c r="C45" s="432"/>
      <c r="D45" s="432"/>
      <c r="E45" s="432"/>
      <c r="F45" s="432"/>
      <c r="G45" s="432"/>
      <c r="H45" s="432"/>
      <c r="I45" s="432"/>
      <c r="J45" s="432"/>
      <c r="K45" s="432"/>
    </row>
    <row r="46" customFormat="false" ht="15" hidden="false" customHeight="true" outlineLevel="0" collapsed="false">
      <c r="A46" s="414" t="s">
        <v>1582</v>
      </c>
      <c r="B46" s="426" t="n">
        <f aca="false">B32</f>
        <v>1919.6273</v>
      </c>
      <c r="C46" s="426" t="n">
        <f aca="false">C32</f>
        <v>130510.317577778</v>
      </c>
      <c r="D46" s="426" t="n">
        <f aca="false">D32</f>
        <v>125343.032922222</v>
      </c>
      <c r="E46" s="426" t="n">
        <f aca="false">E32</f>
        <v>0</v>
      </c>
      <c r="F46" s="426" t="n">
        <f aca="false">F32</f>
        <v>0</v>
      </c>
      <c r="G46" s="426" t="n">
        <f aca="false">G32</f>
        <v>0</v>
      </c>
      <c r="H46" s="426" t="n">
        <f aca="false">H32</f>
        <v>0</v>
      </c>
      <c r="I46" s="426" t="n">
        <f aca="false">I32</f>
        <v>0</v>
      </c>
      <c r="J46" s="426" t="n">
        <f aca="false">J32</f>
        <v>0</v>
      </c>
      <c r="K46" s="434" t="n">
        <f aca="false">SUM(B46:J46)</f>
        <v>257772.9778</v>
      </c>
    </row>
    <row r="47" customFormat="false" ht="15" hidden="false" customHeight="true" outlineLevel="0" collapsed="false">
      <c r="A47" s="414" t="s">
        <v>1579</v>
      </c>
      <c r="B47" s="426" t="n">
        <f aca="false">B40*(1-'APA Inputs'!$B$14)</f>
        <v>799.845532999997</v>
      </c>
      <c r="C47" s="426" t="n">
        <f aca="false">C40*(1-'APA Inputs'!$B$14)</f>
        <v>5342.99288189947</v>
      </c>
      <c r="D47" s="426" t="n">
        <f aca="false">D40*(1-'APA Inputs'!$B$14)</f>
        <v>5584.27117921855</v>
      </c>
      <c r="E47" s="426" t="n">
        <f aca="false">E40*(1-'APA Inputs'!$B$14)</f>
        <v>0</v>
      </c>
      <c r="F47" s="426" t="n">
        <f aca="false">F40*(1-'APA Inputs'!$B$14)</f>
        <v>0</v>
      </c>
      <c r="G47" s="426" t="n">
        <f aca="false">G40*(1-'APA Inputs'!$B$14)</f>
        <v>0</v>
      </c>
      <c r="H47" s="426" t="n">
        <f aca="false">H40*(1-'APA Inputs'!$B$14)</f>
        <v>0</v>
      </c>
      <c r="I47" s="426" t="n">
        <f aca="false">I40*(1-'APA Inputs'!$B$14)</f>
        <v>0</v>
      </c>
      <c r="J47" s="426" t="n">
        <f aca="false">J40*(1-'APA Inputs'!$B$14)</f>
        <v>0</v>
      </c>
      <c r="K47" s="434" t="n">
        <f aca="false">SUM(B47:J47)</f>
        <v>11727.109594118</v>
      </c>
    </row>
    <row r="48" customFormat="false" ht="15" hidden="false" customHeight="true" outlineLevel="0" collapsed="false">
      <c r="A48" s="436" t="s">
        <v>1583</v>
      </c>
      <c r="B48" s="437" t="n">
        <f aca="false">B46+B47</f>
        <v>2719.472833</v>
      </c>
      <c r="C48" s="437" t="n">
        <f aca="false">C46+C47</f>
        <v>135853.310459677</v>
      </c>
      <c r="D48" s="437" t="n">
        <f aca="false">D46+D47</f>
        <v>130927.304101441</v>
      </c>
      <c r="E48" s="437" t="n">
        <f aca="false">E46+E47</f>
        <v>0</v>
      </c>
      <c r="F48" s="437" t="n">
        <f aca="false">F46+F47</f>
        <v>0</v>
      </c>
      <c r="G48" s="437" t="n">
        <f aca="false">G46+G47</f>
        <v>0</v>
      </c>
      <c r="H48" s="437" t="n">
        <f aca="false">H46+H47</f>
        <v>0</v>
      </c>
      <c r="I48" s="437" t="n">
        <f aca="false">I46+I47</f>
        <v>0</v>
      </c>
      <c r="J48" s="437" t="n">
        <f aca="false">J46+J47</f>
        <v>0</v>
      </c>
      <c r="K48" s="434" t="n">
        <f aca="false">SUM(B48:J48)</f>
        <v>269500.087394118</v>
      </c>
    </row>
    <row r="49" customFormat="false" ht="15" hidden="false" customHeight="true" outlineLevel="0" collapsed="false">
      <c r="A49" s="435" t="s">
        <v>1584</v>
      </c>
      <c r="B49" s="432"/>
      <c r="C49" s="432"/>
      <c r="D49" s="432"/>
      <c r="E49" s="432"/>
      <c r="F49" s="432"/>
      <c r="G49" s="432"/>
      <c r="H49" s="432"/>
      <c r="I49" s="432"/>
      <c r="J49" s="432"/>
      <c r="K49" s="432"/>
    </row>
    <row r="50" customFormat="false" ht="15" hidden="false" customHeight="true" outlineLevel="0" collapsed="false">
      <c r="A50" s="414" t="s">
        <v>1585</v>
      </c>
      <c r="B50" s="426" t="n">
        <f aca="false">-MIN(0,B39)</f>
        <v>-0</v>
      </c>
      <c r="C50" s="426" t="n">
        <f aca="false">-MIN(0,C39)</f>
        <v>-0</v>
      </c>
      <c r="D50" s="426" t="n">
        <f aca="false">-MIN(0,D39)</f>
        <v>-0</v>
      </c>
      <c r="E50" s="426" t="n">
        <f aca="false">-MIN(0,E39)</f>
        <v>252322.5</v>
      </c>
      <c r="F50" s="426" t="n">
        <f aca="false">-MIN(0,F39)</f>
        <v>253118.175</v>
      </c>
      <c r="G50" s="426" t="n">
        <f aca="false">-MIN(0,G39)</f>
        <v>253937.72025</v>
      </c>
      <c r="H50" s="426" t="n">
        <f aca="false">-MIN(0,H39)</f>
        <v>254781.8518575</v>
      </c>
      <c r="I50" s="426" t="n">
        <f aca="false">-MIN(0,I39)</f>
        <v>255651.307413225</v>
      </c>
      <c r="J50" s="426" t="n">
        <f aca="false">-MIN(0,J39)</f>
        <v>256546.846635622</v>
      </c>
      <c r="K50" s="434" t="n">
        <f aca="false">SUM(B50:J50)</f>
        <v>1526358.40115635</v>
      </c>
    </row>
    <row r="51" customFormat="false" ht="15" hidden="false" customHeight="true" outlineLevel="0" collapsed="false">
      <c r="A51" s="439" t="s">
        <v>1586</v>
      </c>
      <c r="B51" s="440" t="n">
        <f aca="false">ROUND(B23-B25-B37-B38-B44-B48+B50,0)</f>
        <v>0</v>
      </c>
      <c r="C51" s="440" t="n">
        <f aca="false">ROUND(C23-C25-C37-C38-C44-C48+C50,0)</f>
        <v>0</v>
      </c>
      <c r="D51" s="440" t="n">
        <f aca="false">ROUND(D23-D25-D37-D38-D44-D48+D50,0)</f>
        <v>0</v>
      </c>
      <c r="E51" s="440" t="n">
        <f aca="false">ROUND(E23-E25-E37-E38-E44-E48+E50,0)</f>
        <v>0</v>
      </c>
      <c r="F51" s="440" t="n">
        <f aca="false">ROUND(F23-F25-F37-F38-F44-F48+F50,0)</f>
        <v>0</v>
      </c>
      <c r="G51" s="440" t="n">
        <f aca="false">ROUND(G23-G25-G37-G38-G44-G48+G50,0)</f>
        <v>0</v>
      </c>
      <c r="H51" s="440" t="n">
        <f aca="false">ROUND(H23-H25-H37-H38-H44-H48+H50,0)</f>
        <v>0</v>
      </c>
      <c r="I51" s="440" t="n">
        <f aca="false">ROUND(I23-I25-I37-I38-I44-I48+I50,0)</f>
        <v>0</v>
      </c>
      <c r="J51" s="440" t="n">
        <f aca="false">ROUND(J23-J25-J37-J38-J44-J48+J50,0)</f>
        <v>0</v>
      </c>
      <c r="K51" s="434" t="n">
        <f aca="false">SUM(B51:J51)</f>
        <v>0</v>
      </c>
    </row>
    <row r="53" customFormat="false" ht="15" hidden="false" customHeight="true" outlineLevel="0" collapsed="false">
      <c r="A53" s="414" t="s">
        <v>1587</v>
      </c>
      <c r="B53" s="426" t="n">
        <f aca="false">MIN(B29,B50)</f>
        <v>-0</v>
      </c>
      <c r="C53" s="426" t="n">
        <f aca="false">MIN(C29,C50)</f>
        <v>-0</v>
      </c>
      <c r="D53" s="426" t="n">
        <f aca="false">MIN(D29,D50)</f>
        <v>-0</v>
      </c>
      <c r="E53" s="426" t="n">
        <f aca="false">MIN(E29,E50)</f>
        <v>225000</v>
      </c>
      <c r="F53" s="426" t="n">
        <f aca="false">MIN(F29,F50)</f>
        <v>225000</v>
      </c>
      <c r="G53" s="426" t="n">
        <f aca="false">MIN(G29,G50)</f>
        <v>225000</v>
      </c>
      <c r="H53" s="426" t="n">
        <f aca="false">MIN(H29,H50)</f>
        <v>225000</v>
      </c>
      <c r="I53" s="426" t="n">
        <f aca="false">MIN(I29,I50)</f>
        <v>225000</v>
      </c>
      <c r="J53" s="426" t="n">
        <f aca="false">MIN(J29,J50)</f>
        <v>225000</v>
      </c>
      <c r="K53" s="426" t="n">
        <f aca="false">SUM(B53:J53)</f>
        <v>1350000</v>
      </c>
    </row>
    <row r="54" customFormat="false" ht="15" hidden="false" customHeight="true" outlineLevel="0" collapsed="false">
      <c r="A54" s="414" t="s">
        <v>1588</v>
      </c>
      <c r="B54" s="426" t="n">
        <f aca="false">B53</f>
        <v>-0</v>
      </c>
      <c r="C54" s="426" t="n">
        <f aca="false">B54+C53</f>
        <v>-0</v>
      </c>
      <c r="D54" s="426" t="n">
        <f aca="false">C54+D53</f>
        <v>-0</v>
      </c>
      <c r="E54" s="426" t="n">
        <f aca="false">D54+E53</f>
        <v>225000</v>
      </c>
      <c r="F54" s="426" t="n">
        <f aca="false">E54+F53</f>
        <v>450000</v>
      </c>
      <c r="G54" s="426" t="n">
        <f aca="false">F54+G53</f>
        <v>675000</v>
      </c>
      <c r="H54" s="426" t="n">
        <f aca="false">G54+H53</f>
        <v>900000</v>
      </c>
      <c r="I54" s="426" t="n">
        <f aca="false">H54+I53</f>
        <v>1125000</v>
      </c>
      <c r="J54" s="426" t="n">
        <f aca="false">I54+J53</f>
        <v>1350000</v>
      </c>
      <c r="K54" s="426"/>
    </row>
    <row r="56" customFormat="false" ht="15" hidden="false" customHeight="true" outlineLevel="0" collapsed="false">
      <c r="A56" s="412" t="s">
        <v>1589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2026-10-11T14:28:36Z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